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6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F17" i="181" s="1"/>
  <c r="E16" i="181"/>
  <c r="F16" i="181" s="1"/>
  <c r="G16" i="181" s="1"/>
  <c r="G17" i="181" l="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D285" i="29" l="1"/>
  <c r="B3722" i="106" s="1"/>
  <c r="D3722" i="106" s="1"/>
  <c r="D17" i="171"/>
  <c r="H137" i="29"/>
  <c r="L357" i="29"/>
  <c r="D12" i="171"/>
  <c r="L285" i="29"/>
  <c r="L137" i="29"/>
  <c r="L139" i="29" s="1"/>
  <c r="E137" i="29"/>
  <c r="E139" i="29" s="1"/>
  <c r="B4203" i="106" s="1"/>
  <c r="D4203" i="106" s="1"/>
  <c r="H357" i="29"/>
  <c r="K356" i="29"/>
  <c r="K357" i="29" s="1"/>
  <c r="K15" i="4" s="1"/>
  <c r="F163" i="34"/>
  <c r="B7769" i="106"/>
  <c r="D7769" i="106" s="1"/>
  <c r="B7768" i="106"/>
  <c r="B7766" i="106"/>
  <c r="D7766" i="106" s="1"/>
  <c r="B7765" i="106"/>
  <c r="D7765" i="106" s="1"/>
  <c r="B7764" i="106"/>
  <c r="D7764" i="106" s="1"/>
  <c r="J85" i="28"/>
  <c r="B7758" i="106" s="1"/>
  <c r="D7758" i="106" s="1"/>
  <c r="J88" i="28"/>
  <c r="K6" i="29"/>
  <c r="B7763" i="106" s="1"/>
  <c r="D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49" i="29"/>
  <c r="I7" i="145"/>
  <c r="I6" i="145"/>
  <c r="D78" i="36"/>
  <c r="K75" i="29"/>
  <c r="F52" i="34" s="1"/>
  <c r="K130" i="29"/>
  <c r="F56" i="34"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7" i="108"/>
  <c r="G27" i="108"/>
  <c r="F31" i="108"/>
  <c r="G28"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L22" i="37"/>
  <c r="L5" i="11"/>
  <c r="B2056" i="106" s="1"/>
  <c r="D2056" i="106" s="1"/>
  <c r="F64" i="34" l="1"/>
  <c r="B2805" i="106"/>
  <c r="D2805" i="106" s="1"/>
  <c r="G35" i="108"/>
  <c r="D36" i="108"/>
  <c r="F26" i="108"/>
  <c r="B1126" i="106"/>
  <c r="D1126" i="106" s="1"/>
  <c r="F27" i="108"/>
  <c r="G33" i="108"/>
  <c r="B6995" i="106"/>
  <c r="D6995" i="106" s="1"/>
  <c r="B7047" i="106"/>
  <c r="D7047" i="106" s="1"/>
  <c r="B1746" i="106"/>
  <c r="D1746" i="106" s="1"/>
  <c r="D5" i="4"/>
  <c r="B3406" i="106" s="1"/>
  <c r="D3406" i="106" s="1"/>
  <c r="B2027" i="106"/>
  <c r="D2027" i="106" s="1"/>
  <c r="B274" i="106"/>
  <c r="D274" i="106" s="1"/>
  <c r="B2026" i="106"/>
  <c r="D2026" i="106" s="1"/>
  <c r="B3454" i="106"/>
  <c r="D3454" i="106" s="1"/>
  <c r="B2864" i="106"/>
  <c r="D2864" i="106" s="1"/>
  <c r="B2029" i="106"/>
  <c r="D2029" i="106" s="1"/>
  <c r="B276" i="106"/>
  <c r="D276" i="106" s="1"/>
  <c r="B2028" i="106"/>
  <c r="D2028" i="106" s="1"/>
  <c r="B275" i="106"/>
  <c r="D275" i="106" s="1"/>
  <c r="E30" i="108"/>
  <c r="G30" i="108"/>
  <c r="H342" i="29"/>
  <c r="B7221" i="106" s="1"/>
  <c r="D7221" i="106" s="1"/>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3447" i="106"/>
  <c r="D3447" i="106" s="1"/>
  <c r="B7270" i="106"/>
  <c r="B7235" i="106" l="1"/>
  <c r="D7235" i="106" s="1"/>
  <c r="B1328" i="106"/>
  <c r="D1328" i="106" s="1"/>
  <c r="G6" i="4"/>
  <c r="B2604" i="106" s="1"/>
  <c r="D2604" i="106" s="1"/>
  <c r="B5770" i="106"/>
  <c r="D5770" i="106" s="1"/>
  <c r="H77" i="4"/>
  <c r="B3299" i="106" s="1"/>
  <c r="D3299" i="106" s="1"/>
  <c r="M23" i="3"/>
  <c r="B273" i="106"/>
  <c r="D273" i="106" s="1"/>
  <c r="B1266" i="106"/>
  <c r="D1266" i="106" s="1"/>
  <c r="F41" i="108"/>
  <c r="G43" i="108" s="1"/>
  <c r="D7253" i="106"/>
  <c r="C4" i="4"/>
  <c r="B2551" i="106" s="1"/>
  <c r="D2551" i="106"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K16" i="4"/>
  <c r="B3574" i="106" s="1"/>
  <c r="D3574" i="106" s="1"/>
  <c r="B7224" i="106"/>
  <c r="D7224" i="106" s="1"/>
  <c r="B279" i="106"/>
  <c r="D279" i="106" s="1"/>
  <c r="J17" i="4"/>
  <c r="J19" i="4" s="1"/>
  <c r="B6229" i="106" s="1"/>
  <c r="D6229" i="106" s="1"/>
  <c r="F24" i="37"/>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J20" i="4"/>
  <c r="B6230" i="106" s="1"/>
  <c r="D6230" i="106" s="1"/>
  <c r="B280" i="106"/>
  <c r="D280" i="106" s="1"/>
  <c r="M41" i="3"/>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J78" i="4"/>
  <c r="J81" i="4" s="1"/>
  <c r="H13" i="118"/>
  <c r="B2568" i="106"/>
  <c r="D2568" i="106" s="1"/>
  <c r="B281" i="106"/>
  <c r="D281" i="106" s="1"/>
  <c r="D54" i="36"/>
  <c r="C8" i="146"/>
  <c r="D20" i="4"/>
  <c r="D78" i="4" s="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B6263" i="106" l="1"/>
  <c r="D6263" i="106" s="1"/>
  <c r="B2574" i="106"/>
  <c r="D2574" i="106" s="1"/>
  <c r="F179" i="34"/>
  <c r="F79" i="34"/>
  <c r="C10" i="146"/>
  <c r="F8" i="146"/>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D51" i="36"/>
  <c r="B6216" i="106"/>
  <c r="D6216" i="106" s="1"/>
  <c r="B123" i="106"/>
  <c r="D123" i="106" s="1"/>
  <c r="D41" i="3"/>
  <c r="B3567" i="106"/>
  <c r="D3567" i="106" s="1"/>
  <c r="K41" i="3"/>
  <c r="B212" i="106"/>
  <c r="D212" i="106" s="1"/>
  <c r="H41" i="3"/>
  <c r="B2912" i="106"/>
  <c r="D2912" i="106" s="1"/>
  <c r="I41" i="3"/>
  <c r="B3278" i="106"/>
  <c r="D3278" i="106" s="1"/>
  <c r="E81" i="4"/>
  <c r="N21" i="3" s="1"/>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<sst xmlns="http://schemas.openxmlformats.org/spreadsheetml/2006/main" count="5086" uniqueCount="2135">
  <si>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</si>
  <si>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</si>
  <si>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</si>
  <si>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</si>
  <si>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</si>
  <si>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</si>
  <si>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</si>
  <si>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</si>
  <si>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</si>
  <si>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</si>
  <si>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</si>
  <si>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</si>
  <si>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</si>
  <si>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</si>
  <si>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</si>
  <si>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</si>
  <si>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</si>
  <si>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</si>
  <si>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</si>
  <si>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</si>
  <si>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</si>
  <si>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</si>
  <si>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</si>
  <si>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</si>
  <si>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</si>
  <si>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</si>
  <si>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</si>
  <si>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</si>
  <si>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</si>
  <si>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</si>
  <si>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</si>
  <si>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</si>
  <si>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</si>
  <si>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</si>
  <si>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</si>
  <si>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</si>
  <si>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</si>
  <si>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</si>
  <si>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</si>
  <si>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</si>
  <si>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</si>
  <si>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</si>
  <si>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</si>
  <si>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</si>
  <si>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</si>
  <si>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</si>
  <si>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</si>
  <si>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</si>
  <si>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</si>
  <si>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</si>
  <si>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</si>
  <si>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</si>
  <si>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</si>
  <si>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</si>
  <si>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</si>
  <si>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</si>
  <si>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</si>
  <si>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</si>
  <si>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</si>
  <si>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</si>
  <si>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</si>
  <si>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</si>
  <si>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</si>
  <si>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</si>
  <si>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</si>
  <si>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</si>
  <si>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</si>
  <si>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</si>
  <si>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</si>
  <si>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</si>
  <si>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</si>
  <si>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</si>
  <si>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</si>
  <si>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</si>
  <si>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</si>
  <si>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</si>
  <si>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</si>
  <si>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</si>
  <si>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</si>
  <si>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</si>
  <si>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</si>
  <si>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</si>
  <si>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</si>
  <si>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</si>
  <si>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</si>
  <si>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</si>
  <si>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</si>
  <si>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</si>
  <si>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</si>
  <si>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</si>
  <si>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</si>
  <si>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</si>
  <si>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</si>
  <si>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</si>
  <si>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</si>
  <si>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</si>
  <si>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</si>
  <si>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</si>
  <si>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</si>
  <si>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</si>
  <si>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</si>
  <si>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</si>
  <si>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</si>
  <si>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</si>
  <si>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</si>
  <si>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</si>
  <si>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</si>
  <si>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</si>
  <si>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</si>
  <si>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</si>
  <si>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</si>
  <si>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</si>
  <si>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</si>
  <si>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</si>
  <si>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</si>
  <si>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</si>
  <si>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</si>
  <si>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</si>
  <si>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</si>
  <si>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</si>
  <si>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</si>
  <si>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</si>
  <si>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</si>
  <si>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</si>
  <si>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</si>
  <si>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</si>
  <si>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</si>
  <si>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</si>
  <si>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</si>
  <si>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</si>
  <si>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</si>
  <si>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</si>
  <si>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</si>
  <si>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</si>
  <si>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</si>
  <si>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</si>
  <si>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</si>
  <si>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</si>
  <si>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</si>
  <si>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</si>
  <si>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</si>
  <si>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</si>
  <si>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</si>
  <si>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</si>
  <si>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</si>
  <si>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</si>
  <si>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</si>
  <si>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</si>
  <si>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</si>
  <si>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</si>
  <si>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</si>
  <si>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</si>
  <si>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</si>
  <si>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</si>
  <si>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</si>
  <si>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</si>
  <si>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</si>
  <si>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</si>
  <si>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</si>
  <si>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</si>
  <si>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</si>
  <si>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</si>
  <si>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</si>
  <si>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</si>
  <si>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</si>
  <si>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</si>
  <si>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</si>
  <si>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</si>
  <si>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</si>
  <si>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</si>
  <si>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</si>
  <si>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</si>
  <si>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</si>
  <si>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</si>
  <si>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</si>
  <si>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</si>
  <si>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</si>
  <si>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</si>
  <si>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</si>
  <si>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</si>
  <si>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</si>
  <si>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</si>
  <si>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</si>
  <si>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</si>
  <si>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</si>
  <si>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</si>
  <si>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</si>
  <si>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</si>
  <si>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</si>
  <si>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</si>
  <si>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</si>
  <si>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</si>
  <si>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</si>
  <si>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</si>
  <si>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</si>
  <si>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</si>
  <si>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</si>
  <si>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</si>
  <si>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</si>
  <si>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</si>
  <si>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</si>
  <si>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</si>
  <si>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</si>
  <si>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</si>
  <si>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</si>
  <si>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</si>
  <si>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</si>
  <si>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</si>
  <si>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</si>
  <si>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</si>
  <si>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</si>
  <si>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</si>
  <si>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</si>
  <si>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</si>
  <si>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</si>
  <si>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</si>
  <si>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</si>
  <si>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</si>
  <si>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</si>
  <si>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</si>
  <si>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</si>
  <si>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</si>
  <si>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</si>
  <si>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</si>
  <si>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</si>
  <si>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</si>
  <si>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</si>
  <si>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</si>
  <si>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</si>
  <si>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</si>
  <si>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</si>
  <si>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</si>
  <si>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</si>
  <si>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</si>
  <si>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</si>
  <si>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</si>
  <si>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</si>
  <si>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</si>
  <si>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</si>
  <si>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</si>
  <si>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</si>
  <si>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</si>
  <si>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</si>
  <si>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</si>
  <si>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</si>
  <si>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</si>
  <si>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</si>
  <si>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</si>
  <si>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</si>
  <si>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</si>
  <si>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</si>
  <si>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</si>
  <si>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</si>
  <si>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</si>
  <si>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</si>
  <si>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</si>
  <si>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</si>
  <si>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</si>
  <si>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</si>
  <si>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</si>
  <si>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</si>
  <si>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</si>
  <si>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</si>
  <si>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</si>
  <si>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</si>
  <si>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</si>
  <si>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</si>
  <si>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</si>
  <si>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</si>
  <si>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</si>
  <si>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</si>
  <si>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</si>
  <si>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</si>
  <si>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</si>
  <si>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</si>
  <si>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</si>
  <si>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</si>
  <si>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</si>
  <si>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</si>
  <si>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</si>
  <si>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</si>
  <si>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</si>
  <si>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</si>
  <si>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</si>
  <si>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</si>
  <si>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</si>
  <si>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</si>
  <si>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</si>
  <si>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</si>
  <si>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</si>
  <si>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</si>
  <si>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</si>
  <si>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</si>
  <si>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</si>
  <si>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</si>
  <si>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</si>
  <si>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</si>
  <si>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</si>
  <si>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</si>
  <si>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</si>
  <si>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</si>
  <si>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</si>
  <si>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</si>
  <si>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</si>
  <si>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</si>
  <si>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</si>
  <si>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</si>
  <si>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</si>
  <si>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</si>
  <si>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</si>
  <si>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</si>
  <si>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</si>
  <si>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</si>
  <si>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</si>
  <si>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</si>
  <si>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</si>
  <si>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</si>
  <si>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</si>
  <si>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</si>
  <si>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</si>
  <si>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</si>
  <si>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</si>
  <si>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</si>
  <si>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</si>
  <si>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</si>
  <si>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</si>
  <si>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</si>
  <si>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</si>
  <si>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</si>
  <si>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</si>
  <si>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</si>
  <si>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</si>
  <si>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</si>
  <si>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</si>
  <si>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</si>
  <si>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</si>
  <si>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</si>
  <si>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</si>
  <si>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</si>
  <si>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</si>
  <si>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</si>
  <si>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</si>
  <si>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</si>
  <si>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</si>
  <si>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</si>
  <si>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</si>
  <si>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</si>
  <si>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</si>
  <si>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</si>
  <si>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</si>
  <si>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</si>
  <si>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</si>
  <si>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</si>
  <si>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</si>
  <si>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</si>
  <si>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</si>
  <si>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</si>
  <si>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</si>
  <si>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</si>
  <si>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</si>
  <si>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</si>
  <si>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</si>
  <si>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</si>
  <si>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</si>
  <si>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</si>
  <si>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</si>
  <si>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</si>
  <si>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</si>
  <si>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</si>
  <si>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</si>
  <si>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</si>
  <si>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</si>
  <si>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</si>
  <si>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</si>
  <si>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</si>
  <si>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</si>
  <si>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</si>
  <si>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</si>
  <si>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</si>
  <si>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</si>
  <si>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</si>
  <si>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</si>
  <si>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</si>
  <si>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</si>
  <si>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</si>
  <si>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</si>
  <si>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</si>
  <si>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</si>
  <si>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</si>
  <si>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</si>
  <si>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</si>
  <si>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</si>
  <si>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</si>
  <si>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</si>
  <si>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</si>
  <si>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</si>
  <si>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</si>
  <si>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</si>
  <si>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</si>
  <si>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</si>
  <si>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</si>
  <si>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</si>
  <si>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</si>
  <si>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</si>
  <si>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</si>
  <si>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</si>
  <si>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</si>
  <si>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</si>
  <si>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</si>
  <si>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</si>
  <si>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</si>
  <si>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</si>
  <si>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</si>
  <si>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</si>
  <si>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</si>
  <si>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</si>
  <si>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</si>
  <si>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</si>
  <si>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</si>
  <si>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</si>
  <si>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</si>
  <si>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</si>
  <si>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</si>
  <si>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</si>
  <si>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</si>
  <si>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</si>
  <si>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</si>
  <si>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</si>
  <si>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</si>
  <si>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</si>
  <si>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</si>
  <si>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</si>
  <si>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</si>
  <si>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</si>
  <si>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</si>
  <si>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</si>
  <si>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</si>
  <si>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</si>
  <si>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</si>
  <si>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</si>
  <si>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</si>
  <si>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</si>
  <si>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</si>
  <si>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</si>
  <si>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</si>
  <si>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</si>
  <si>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</si>
  <si>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</si>
  <si>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</si>
  <si>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</si>
  <si>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</si>
  <si>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</si>
  <si>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</si>
  <si>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</si>
  <si>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</si>
  <si>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</si>
  <si>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</si>
  <si>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</si>
  <si>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</si>
  <si>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</si>
  <si>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</si>
  <si>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</si>
  <si>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</si>
  <si>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</si>
  <si>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</si>
  <si>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</si>
  <si>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</si>
  <si>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</si>
  <si>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</si>
  <si>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</si>
  <si>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</si>
  <si>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</si>
  <si>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</si>
  <si>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</si>
  <si>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</si>
  <si>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</si>
  <si>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</si>
  <si>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</si>
  <si>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</si>
  <si>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</si>
  <si>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</si>
  <si>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</si>
  <si>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</si>
  <si>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</si>
  <si>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</si>
  <si>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</si>
  <si>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</si>
  <si>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</si>
  <si>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</si>
  <si>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</si>
  <si>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</si>
  <si>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</si>
  <si>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</si>
  <si>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</si>
  <si>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</si>
  <si>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</si>
  <si>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</si>
  <si>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</si>
  <si>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</si>
  <si>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</si>
  <si>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</si>
  <si>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</si>
  <si>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</si>
  <si>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</si>
  <si>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</si>
  <si>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</si>
  <si>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</si>
  <si>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</si>
  <si>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</si>
  <si>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</si>
  <si>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</si>
  <si>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</si>
  <si>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</si>
  <si>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</si>
  <si>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</si>
  <si>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</si>
  <si>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</si>
  <si>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</si>
  <si>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</si>
  <si>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</si>
  <si>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</si>
  <si>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</si>
  <si>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</si>
  <si>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</si>
  <si>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</si>
  <si>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</si>
  <si>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</si>
  <si>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</si>
  <si>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</si>
  <si>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</si>
  <si>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</si>
  <si>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</si>
  <si>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</si>
  <si>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</si>
  <si>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</si>
  <si>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</si>
  <si>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</si>
  <si>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</si>
  <si>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</si>
  <si>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</si>
  <si>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</si>
  <si>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</si>
  <si>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</si>
  <si>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</si>
  <si>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</si>
  <si>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</si>
  <si>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</si>
  <si>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</si>
  <si>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</si>
  <si>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</si>
  <si>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</si>
  <si>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</si>
  <si>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</si>
  <si>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</si>
  <si>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</si>
  <si>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</si>
  <si>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</si>
  <si>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</si>
  <si>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</si>
  <si>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</si>
  <si>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</si>
  <si>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</si>
  <si>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</si>
  <si>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</si>
  <si>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</si>
  <si>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</si>
  <si>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</si>
  <si>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</si>
  <si>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</si>
  <si>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</si>
  <si>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</si>
  <si>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</si>
  <si>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</si>
  <si>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</si>
  <si>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</si>
  <si>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</si>
  <si>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</si>
  <si>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</si>
  <si>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</si>
  <si>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</si>
  <si>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</si>
  <si>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</si>
  <si>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</si>
  <si>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</si>
  <si>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</si>
  <si>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</si>
  <si>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</si>
  <si>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</si>
  <si>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</si>
  <si>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</si>
  <si>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</si>
  <si>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</si>
  <si>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</si>
  <si>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</si>
  <si>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</si>
  <si>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</si>
  <si>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</si>
  <si>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</si>
  <si>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</si>
  <si>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</si>
  <si>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</si>
  <si>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</si>
  <si>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</si>
  <si>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</si>
  <si>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</si>
  <si>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</si>
  <si>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</si>
  <si>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</si>
  <si>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</si>
  <si>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</si>
  <si>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</si>
  <si>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</si>
  <si>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</si>
  <si>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</si>
  <si>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</si>
  <si>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</si>
  <si>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</si>
  <si>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</si>
  <si>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</si>
  <si>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</si>
  <si>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</si>
  <si>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</si>
  <si>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</si>
  <si>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</si>
  <si>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</si>
  <si>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</si>
  <si>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</si>
  <si>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</si>
  <si>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</si>
  <si>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</si>
  <si>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</si>
  <si>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</si>
  <si>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</si>
  <si>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</si>
  <si>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</si>
  <si>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</si>
  <si>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</si>
  <si>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</si>
  <si>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</si>
  <si>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</si>
  <si>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</si>
  <si>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</si>
  <si>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</si>
  <si>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</si>
  <si>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</si>
  <si>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</si>
  <si>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</si>
  <si>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</si>
  <si>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</si>
  <si>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</si>
  <si>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</si>
  <si>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</si>
  <si>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</si>
  <si>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</si>
  <si>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</si>
  <si>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</si>
  <si>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</si>
  <si>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</si>
  <si>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</si>
  <si>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</si>
  <si>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</si>
  <si>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</si>
  <si>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</si>
  <si>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</si>
  <si>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</si>
  <si>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</si>
  <si>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</si>
  <si>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</si>
  <si>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</si>
  <si>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</si>
  <si>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</si>
  <si>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</si>
  <si>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</si>
  <si>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</si>
  <si>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</si>
  <si>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</si>
  <si>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</si>
  <si>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</si>
  <si>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</si>
  <si>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</si>
  <si>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</si>
  <si>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</si>
  <si>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</si>
  <si>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</si>
  <si>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</si>
  <si>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</si>
  <si>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</si>
  <si>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</si>
  <si>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</si>
  <si>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</si>
  <si>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</si>
  <si>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</si>
  <si>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</si>
  <si>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</si>
  <si>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</si>
  <si>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</si>
  <si>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</si>
  <si>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</si>
  <si>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</si>
  <si>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</si>
  <si>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</si>
  <si>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</si>
  <si>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</si>
  <si>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</si>
  <si>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</si>
  <si>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</si>
  <si>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</si>
  <si>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</si>
  <si>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</si>
  <si>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</si>
  <si>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</si>
  <si>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</si>
  <si>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</si>
  <si>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</si>
  <si>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</si>
  <si>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</si>
  <si>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</si>
  <si>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</si>
  <si>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</si>
  <si>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</si>
  <si>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</si>
  <si>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</si>
  <si>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</si>
  <si>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</si>
  <si>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</si>
  <si>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</si>
  <si>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</si>
  <si>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</si>
  <si>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</si>
  <si>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</si>
  <si>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</si>
  <si>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</si>
  <si>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</si>
  <si>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</si>
  <si>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</si>
  <si>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</si>
  <si>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</si>
  <si>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</si>
  <si>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</si>
  <si>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</si>
  <si>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</si>
  <si>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</si>
  <si>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</si>
  <si>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</si>
  <si>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</si>
  <si>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</si>
  <si>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</si>
  <si>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</si>
  <si>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</si>
  <si>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</si>
  <si>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</si>
  <si>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</si>
  <si>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</si>
  <si>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</si>
  <si>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</si>
  <si>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</si>
  <si>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</si>
  <si>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</si>
  <si>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</si>
  <si>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</si>
  <si>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</si>
  <si>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</si>
  <si>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</si>
  <si>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</si>
  <si>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</si>
  <si>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</si>
  <si>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</si>
  <si>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</si>
  <si>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</si>
  <si>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</si>
  <si>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</si>
  <si>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</si>
  <si>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</si>
  <si>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</si>
  <si>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</si>
  <si>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</si>
  <si>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</si>
  <si>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</si>
  <si>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</si>
  <si>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</si>
  <si>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</si>
  <si>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</si>
  <si>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</si>
  <si>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</si>
  <si>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</si>
  <si>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</si>
  <si>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</si>
  <si>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</si>
  <si>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</si>
  <si>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</si>
  <si>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</si>
  <si>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</si>
  <si>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</si>
  <si>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</si>
  <si>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</si>
  <si>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</si>
  <si>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</si>
  <si>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</si>
  <si>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</si>
  <si>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</si>
  <si>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</si>
  <si>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</si>
  <si>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</si>
  <si>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</si>
  <si>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</si>
  <si>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</si>
  <si>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</si>
  <si>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</si>
  <si>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</si>
  <si>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</si>
  <si>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</si>
  <si>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</si>
  <si>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</si>
  <si>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</si>
  <si>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</si>
  <si>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</si>
  <si>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</si>
  <si>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</si>
  <si>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</si>
  <si>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</si>
  <si>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</si>
  <si>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</si>
  <si>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</si>
  <si>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</si>
  <si>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</si>
  <si>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</si>
  <si>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</si>
  <si>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</si>
  <si>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</si>
  <si>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</si>
  <si>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</si>
  <si>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</si>
  <si>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</si>
  <si>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</si>
  <si>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</si>
  <si>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</si>
  <si>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</si>
  <si>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</si>
  <si>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</si>
  <si>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</si>
  <si>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</si>
  <si>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</si>
  <si>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</si>
  <si>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</si>
  <si>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</si>
  <si>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</si>
  <si>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</si>
  <si>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</si>
  <si>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</si>
  <si>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</si>
  <si>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</si>
  <si>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</si>
  <si>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</si>
  <si>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</si>
  <si>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</si>
  <si>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</si>
  <si>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</si>
  <si>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</si>
  <si>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</si>
  <si>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</si>
  <si>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</si>
  <si>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</si>
  <si>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</si>
  <si>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</si>
  <si>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</si>
  <si>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</si>
  <si>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</si>
  <si>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</si>
  <si>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</si>
  <si>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</si>
  <si>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</si>
  <si>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</si>
  <si>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</si>
  <si>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</si>
  <si>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</si>
  <si>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</si>
  <si>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</si>
  <si>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</si>
  <si>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</si>
  <si>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</si>
  <si>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</si>
  <si>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</si>
  <si>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</si>
  <si>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</si>
  <si>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</si>
  <si>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</si>
  <si>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</si>
  <si>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</si>
  <si>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</si>
  <si>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</si>
  <si>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</si>
  <si>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</si>
  <si>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</si>
  <si>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</si>
  <si>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</si>
  <si>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</si>
  <si>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</si>
  <si>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</si>
  <si>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</si>
  <si>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</si>
  <si>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</si>
  <si>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</si>
  <si>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</si>
  <si>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</si>
  <si>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</si>
  <si>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</si>
  <si>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</si>
  <si>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</si>
  <si>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</si>
  <si>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</si>
  <si>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</si>
  <si>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</si>
  <si>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</si>
  <si>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</si>
  <si>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</si>
  <si>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</si>
  <si>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</si>
  <si>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</si>
  <si>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</si>
  <si>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</si>
  <si>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</si>
  <si>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</si>
  <si>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</si>
  <si>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</si>
  <si>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</si>
  <si>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</si>
  <si>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</si>
  <si>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</si>
  <si>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</si>
  <si>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</si>
  <si>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</si>
  <si>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</si>
  <si>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</si>
  <si>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</si>
  <si>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</si>
  <si>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</si>
  <si>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</si>
  <si>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</si>
  <si>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</si>
  <si>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</si>
  <si>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</si>
  <si>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</si>
  <si>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</si>
  <si>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</si>
  <si>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</si>
  <si>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</si>
  <si>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</si>
  <si>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</si>
  <si>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</si>
  <si>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</si>
  <si>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</si>
  <si>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</si>
  <si>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</si>
  <si>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</si>
  <si>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</si>
  <si>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</si>
  <si>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</si>
  <si>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</si>
  <si>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</si>
  <si>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</si>
  <si>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</si>
  <si>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</si>
  <si>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</si>
  <si>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</si>
  <si>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</si>
  <si>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</si>
  <si>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</si>
  <si>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</si>
  <si>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</si>
  <si>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</si>
  <si>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</si>
  <si>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</si>
  <si>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</si>
  <si>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</si>
  <si>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</si>
  <si>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</si>
  <si>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</si>
  <si>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</si>
  <si>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</si>
  <si>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</si>
  <si>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</si>
  <si>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</si>
  <si>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</si>
  <si>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</si>
  <si>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</si>
  <si>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</si>
  <si>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</si>
  <si>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</si>
  <si>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</si>
  <si>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</si>
  <si>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</si>
  <si>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</si>
  <si>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</si>
  <si>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</si>
  <si>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</si>
  <si>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</si>
  <si>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</si>
  <si>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</si>
  <si>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</si>
  <si>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</si>
  <si>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</si>
  <si>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</si>
  <si>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</si>
  <si>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</si>
  <si>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</si>
  <si>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</si>
  <si>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</si>
  <si>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</si>
  <si>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</si>
  <si>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</si>
  <si>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</si>
  <si>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</si>
  <si>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</si>
  <si>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</si>
  <si>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</si>
  <si>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</si>
  <si>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</si>
  <si>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</si>
  <si>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</si>
  <si>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</si>
  <si>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</si>
  <si>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</si>
  <si>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</si>
  <si>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</si>
  <si>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</si>
  <si>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</si>
  <si>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</si>
  <si>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</si>
  <si>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</si>
  <si>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</si>
  <si>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</si>
  <si>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</si>
  <si>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</si>
  <si>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</si>
  <si>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</si>
  <si>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</si>
  <si>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</si>
  <si>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</si>
  <si>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</si>
  <si>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</si>
  <si>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</si>
  <si>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</si>
  <si>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</si>
  <si>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</si>
  <si>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</si>
  <si>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</si>
  <si>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</si>
  <si>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</si>
  <si>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</si>
  <si>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</si>
  <si>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</si>
  <si>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</si>
  <si>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</si>
  <si>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</si>
  <si>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</si>
  <si>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</si>
  <si>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</si>
  <si>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</si>
  <si>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</si>
  <si>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</si>
  <si>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</si>
  <si>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</si>
  <si>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</si>
  <si>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</si>
  <si>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</si>
  <si>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</si>
  <si>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</si>
  <si>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</si>
  <si>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</si>
  <si>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</si>
  <si>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</si>
  <si>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</si>
  <si>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</si>
  <si>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</si>
  <si>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</si>
  <si>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</si>
  <si>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</si>
  <si>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</si>
  <si>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</si>
  <si>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</si>
  <si>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</si>
  <si>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</si>
  <si>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</si>
  <si>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</si>
  <si>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</si>
  <si>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</si>
  <si>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</si>
  <si>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</si>
  <si>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</si>
  <si>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</si>
  <si>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</si>
  <si>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</si>
  <si>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</si>
  <si>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</si>
  <si>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</si>
  <si>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</si>
  <si>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</si>
  <si>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</si>
  <si>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</si>
  <si>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</si>
  <si>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</si>
  <si>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</si>
  <si>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</si>
  <si>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</si>
  <si>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</si>
  <si>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</si>
  <si>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</si>
  <si>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</si>
  <si>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</si>
  <si>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</si>
  <si>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</si>
  <si>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</si>
  <si>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</si>
  <si>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</si>
  <si>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</si>
  <si>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</si>
  <si>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</si>
  <si>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</si>
  <si>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</si>
  <si>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</si>
  <si>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</si>
  <si>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</si>
  <si>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</si>
  <si>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</si>
  <si>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</si>
  <si>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</si>
  <si>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</si>
  <si>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</si>
  <si>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</si>
  <si>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</si>
  <si>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</si>
  <si>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</si>
  <si>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</si>
  <si>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</si>
  <si>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</si>
  <si>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</si>
  <si>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</si>
  <si>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</si>
  <si>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</si>
  <si>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</si>
  <si>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</si>
  <si>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</si>
  <si>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</si>
  <si>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</si>
  <si>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</si>
  <si>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</si>
  <si>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</si>
  <si>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</si>
  <si>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</si>
  <si>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</si>
  <si>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</si>
  <si>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</si>
  <si>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</si>
  <si>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</si>
  <si>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</si>
  <si>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</si>
  <si>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</si>
  <si>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</si>
  <si>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</si>
  <si>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</si>
  <si>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</si>
  <si>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</si>
  <si>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</si>
  <si>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</si>
  <si>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</si>
  <si>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</si>
  <si>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</si>
  <si>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</si>
  <si>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</si>
  <si>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</si>
  <si>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</si>
  <si>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</si>
  <si>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</si>
  <si>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</si>
  <si>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</si>
  <si>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</si>
  <si>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</si>
  <si>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</si>
  <si>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</si>
  <si>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</si>
  <si>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</si>
  <si>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</si>
  <si>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</si>
  <si>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</si>
  <si>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</si>
  <si>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</si>
  <si>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</si>
  <si>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</si>
  <si>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</si>
  <si>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</si>
  <si>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</si>
  <si>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</si>
  <si>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</si>
  <si>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</si>
  <si>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</si>
  <si>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</si>
  <si>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</si>
  <si>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</si>
  <si>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</si>
  <si>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</si>
  <si>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</si>
  <si>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</si>
  <si>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</si>
  <si>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</si>
  <si>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</si>
  <si>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</si>
  <si>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</si>
  <si>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</si>
  <si>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</si>
  <si>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</si>
  <si>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</si>
  <si>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</si>
  <si>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</si>
  <si>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</si>
  <si>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</si>
  <si>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</si>
  <si>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</si>
  <si>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</si>
  <si>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</si>
  <si>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</si>
  <si>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</si>
  <si>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</si>
  <si>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</si>
  <si>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</si>
  <si>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</si>
  <si>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</si>
  <si>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</si>
  <si>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</si>
  <si>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</si>
  <si>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</si>
  <si>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</si>
  <si>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</si>
  <si>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</si>
  <si>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</si>
  <si>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</si>
  <si>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</si>
  <si>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</si>
  <si>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</si>
  <si>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</si>
  <si>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</si>
  <si>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</si>
  <si>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</si>
  <si>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</si>
  <si>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</si>
  <si>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</si>
  <si>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</si>
  <si>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</si>
  <si>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</si>
  <si>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</si>
  <si>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</si>
  <si>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</si>
  <si>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</si>
  <si>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</si>
  <si>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</si>
  <si>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</si>
  <si>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</si>
  <si>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</si>
  <si>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</si>
  <si>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</si>
  <si>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</si>
  <si>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</si>
  <si>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</si>
  <si>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</si>
  <si>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</si>
  <si>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</si>
  <si>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</si>
  <si>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</si>
  <si>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</si>
  <si>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</si>
  <si>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</si>
  <si>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</si>
  <si>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</si>
  <si>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</si>
  <si>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</si>
  <si>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</si>
  <si>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</si>
  <si>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</si>
  <si>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</si>
  <si>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</si>
  <si>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</si>
  <si>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</si>
  <si>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</si>
  <si>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</si>
  <si>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</si>
  <si>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</si>
  <si>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</si>
  <si>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</si>
  <si>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</si>
  <si>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</si>
  <si>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</si>
  <si>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</si>
  <si>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</si>
  <si>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</si>
  <si>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</si>
  <si>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</si>
  <si>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</si>
  <si>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</si>
  <si>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</si>
  <si>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</si>
  <si>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</si>
  <si>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</si>
  <si>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</si>
  <si>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</si>
  <si>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</si>
  <si>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</si>
  <si>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</si>
  <si>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</si>
  <si>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</si>
  <si>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</si>
  <si>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</si>
  <si>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</si>
  <si>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</si>
  <si>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</si>
  <si>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</si>
  <si>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</si>
  <si>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</si>
  <si>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</si>
  <si>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</si>
  <si>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</si>
  <si>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</si>
  <si>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</si>
  <si>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</si>
  <si>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</si>
  <si>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</si>
  <si>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</si>
  <si>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</si>
  <si>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</si>
  <si>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</si>
  <si>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</si>
  <si>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</si>
  <si>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</si>
  <si>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</si>
  <si>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</si>
  <si>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</si>
  <si>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</si>
  <si>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</si>
  <si>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</si>
  <si>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</si>
  <si>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</si>
  <si>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</si>
  <si>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</si>
  <si>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</si>
  <si>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</si>
  <si>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</si>
  <si>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</si>
  <si>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</si>
  <si>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</si>
  <si>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</si>
  <si>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</si>
  <si>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</si>
  <si>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</si>
  <si>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</si>
  <si>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</si>
  <si>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</si>
  <si>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</si>
  <si>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</si>
  <si>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</si>
  <si>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</si>
  <si>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</si>
  <si>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</si>
  <si>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</si>
  <si>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</si>
  <si>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</si>
  <si>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</si>
  <si>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</si>
  <si>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</si>
  <si>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</si>
  <si>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</si>
  <si>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</si>
  <si>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</si>
  <si>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</si>
  <si>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</si>
  <si>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</si>
  <si>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</si>
  <si>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</si>
  <si>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</si>
  <si>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</si>
  <si>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</si>
  <si>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</si>
  <si>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</si>
  <si>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</si>
  <si>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</si>
  <si>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</si>
  <si>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</si>
  <si>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</si>
  <si>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</si>
  <si>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</si>
  <si>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</si>
  <si>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</si>
  <si>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</si>
  <si>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</si>
  <si>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</si>
  <si>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</si>
  <si>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</si>
  <si>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</si>
  <si>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</si>
  <si>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</si>
  <si>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</si>
  <si>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</si>
  <si>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</si>
  <si>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</si>
  <si>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</si>
  <si>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</si>
  <si>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</si>
  <si>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</si>
  <si>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</si>
  <si>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</si>
  <si>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</si>
  <si>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</si>
  <si>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</si>
  <si>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</si>
  <si>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</si>
  <si>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</si>
  <si>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</si>
  <si>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</si>
  <si>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</si>
  <si>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</si>
  <si>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</si>
  <si>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</si>
  <si>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</si>
  <si>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</si>
  <si>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</si>
  <si>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</si>
  <si>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</si>
  <si>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</si>
  <si>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</si>
  <si>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</si>
  <si>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</si>
  <si>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</si>
  <si>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</si>
  <si>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</si>
  <si>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</si>
  <si>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</si>
  <si>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</si>
  <si>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</si>
  <si>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</si>
  <si>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</si>
  <si>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</si>
  <si>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</si>
  <si>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</si>
  <si>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</si>
  <si>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</si>
  <si>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</si>
  <si>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</si>
  <si>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</si>
  <si>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</si>
  <si>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</si>
  <si>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</si>
  <si>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</si>
  <si>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</si>
  <si>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</si>
  <si>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</si>
  <si>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</si>
  <si>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</si>
  <si>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</si>
  <si>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</si>
  <si>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</si>
  <si>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</si>
  <si>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</si>
  <si>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</si>
  <si>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</si>
  <si>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</si>
  <si>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</si>
  <si>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</si>
  <si>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</si>
  <si>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</si>
  <si>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</si>
  <si>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</si>
  <si>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</si>
  <si>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</si>
  <si>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</si>
  <si>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</si>
  <si>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</si>
  <si>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</si>
  <si>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</si>
  <si>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</si>
  <si>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</si>
  <si>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</si>
  <si>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</si>
  <si>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</si>
  <si>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</si>
  <si>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</si>
  <si>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</si>
  <si>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</si>
  <si>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</si>
  <si>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</si>
  <si>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</si>
  <si>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</si>
  <si>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</si>
  <si>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</si>
  <si>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</si>
  <si>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</si>
  <si>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</si>
  <si>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</si>
  <si>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</si>
  <si>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</si>
  <si>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</si>
  <si>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</si>
  <si>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</si>
  <si>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</si>
  <si>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</si>
  <si>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</si>
  <si>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</si>
  <si>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</si>
  <si>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</si>
  <si>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</si>
  <si>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</si>
  <si>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</si>
  <si>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</si>
  <si>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</si>
  <si>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</si>
  <si>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</si>
  <si>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</si>
  <si>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</si>
  <si>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</si>
  <si>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</si>
  <si>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</si>
  <si>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</si>
  <si>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</si>
  <si>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</si>
  <si>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</si>
  <si>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</si>
  <si>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</si>
  <si>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</si>
  <si>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</si>
  <si>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</si>
  <si>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</si>
  <si>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</si>
  <si>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</si>
  <si>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</si>
  <si>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</si>
  <si>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</si>
  <si>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</si>
  <si>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</si>
  <si>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</si>
  <si>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</si>
  <si>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</si>
  <si>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</si>
  <si>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</si>
  <si>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</si>
  <si>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</si>
  <si>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</si>
  <si>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</si>
  <si>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</si>
  <si>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</si>
  <si>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</si>
  <si>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</si>
  <si>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</si>
  <si>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</si>
  <si>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</si>
  <si>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</si>
  <si>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</si>
  <si>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</si>
  <si>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</si>
  <si>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</si>
  <si>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</si>
  <si>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</si>
  <si>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</si>
  <si>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</si>
  <si>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</si>
  <si>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</si>
  <si>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</si>
  <si>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</si>
  <si>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</si>
  <si>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</si>
  <si>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</si>
  <si>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</si>
  <si>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</si>
  <si>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</si>
  <si>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</si>
  <si>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</si>
  <si>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</si>
  <si>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</si>
  <si>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</si>
  <si>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</si>
  <si>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</si>
  <si>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</si>
  <si>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</si>
  <si>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</si>
  <si>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</si>
  <si>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</si>
  <si>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</si>
  <si>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</si>
  <si>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</si>
  <si>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</si>
  <si>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</si>
  <si>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</si>
  <si>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</si>
  <si>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</si>
  <si>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</si>
  <si>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</si>
  <si>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</si>
  <si>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</si>
  <si>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</si>
  <si>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</si>
  <si>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</si>
  <si>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</si>
  <si>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</si>
  <si>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</si>
  <si>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</si>
  <si>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</si>
  <si>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</si>
  <si>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</si>
  <si>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</si>
  <si>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</si>
  <si>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</si>
  <si>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</si>
  <si>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</si>
  <si>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</si>
  <si>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</si>
  <si>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</si>
  <si>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</si>
  <si>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</si>
  <si>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</si>
  <si>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</si>
  <si>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</si>
  <si>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</si>
  <si>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</si>
  <si>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</si>
  <si>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</si>
  <si>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</si>
  <si>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</si>
  <si>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</si>
  <si>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</si>
  <si>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</si>
  <si>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</si>
  <si>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</si>
  <si>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</si>
  <si>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</si>
  <si>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</si>
  <si>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</si>
  <si>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</si>
  <si>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</si>
  <si>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</si>
  <si>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</si>
  <si>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</si>
  <si>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</si>
  <si>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</si>
  <si>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</si>
  <si>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</si>
  <si>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</si>
  <si>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</si>
  <si>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</si>
  <si>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</si>
  <si>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</si>
  <si>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</si>
  <si>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</si>
  <si>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</si>
  <si>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</si>
  <si>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</si>
  <si>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</si>
  <si>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</si>
  <si>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</si>
  <si>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</si>
  <si>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</si>
  <si>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</si>
  <si>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</si>
  <si>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</si>
  <si>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</si>
  <si>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</si>
  <si>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</si>
  <si>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</si>
  <si>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</si>
  <si>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</si>
  <si>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</si>
  <si>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</si>
  <si>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</si>
  <si>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</si>
  <si>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</si>
  <si>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</si>
  <si>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</si>
  <si>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</si>
  <si>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</si>
  <si>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</si>
  <si>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</si>
  <si>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</si>
  <si>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</si>
  <si>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</si>
  <si>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</si>
  <si>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</si>
  <si>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</si>
  <si>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</si>
  <si>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</si>
  <si>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</si>
  <si>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</si>
  <si>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</si>
  <si>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</si>
  <si>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</si>
  <si>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</si>
  <si>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</si>
  <si>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</si>
  <si>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</si>
  <si>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</si>
  <si>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</si>
  <si>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</si>
  <si>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</si>
  <si>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</si>
  <si>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</si>
  <si>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</si>
  <si>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</si>
  <si>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</si>
  <si>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</si>
  <si>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</si>
  <si>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</si>
  <si>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</si>
  <si>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</si>
  <si>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</si>
  <si>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</si>
  <si>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</si>
  <si>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</si>
  <si>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</si>
  <si>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</si>
  <si>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</si>
  <si>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</si>
  <si>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</si>
  <si>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</si>
  <si>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</si>
  <si>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</si>
  <si>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</si>
  <si>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</si>
  <si>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</si>
  <si>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</si>
  <si>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</si>
  <si>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</si>
  <si>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</si>
  <si>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</si>
  <si>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</si>
  <si>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</si>
  <si>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</si>
  <si>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</si>
  <si>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</si>
  <si>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</si>
  <si>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</si>
  <si>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</si>
  <si>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</si>
  <si>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</si>
  <si>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</si>
  <si>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</si>
  <si>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</si>
  <si>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</si>
  <si>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</si>
  <si>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</si>
  <si>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</si>
  <si>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</si>
  <si>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</si>
  <si>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</si>
  <si>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</si>
  <si>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</si>
  <si>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</si>
  <si>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</si>
  <si>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</si>
  <si>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</si>
  <si>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</si>
  <si>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</si>
  <si>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</si>
  <si>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</si>
  <si>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</si>
  <si>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</si>
  <si>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</si>
  <si>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</si>
  <si>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</si>
  <si>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</si>
  <si>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</si>
  <si>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</si>
  <si>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</si>
  <si>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</si>
  <si>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</si>
  <si>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</si>
  <si>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</si>
  <si>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</si>
  <si>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</si>
  <si>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</si>
  <si>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</si>
  <si>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</si>
  <si>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</si>
  <si>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</si>
  <si>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</si>
  <si>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</si>
  <si>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</si>
  <si>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</si>
  <si>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</si>
  <si>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</si>
  <si>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</si>
  <si>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</si>
  <si>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</si>
  <si>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</si>
  <si>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</si>
  <si>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</si>
  <si>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</si>
  <si>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</si>
  <si>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</si>
  <si>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</si>
  <si>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</si>
  <si>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</si>
  <si>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</si>
  <si>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</si>
  <si>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</si>
  <si>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</si>
  <si>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</si>
  <si>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</si>
  <si>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</si>
  <si>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</si>
  <si>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</si>
  <si>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</si>
  <si>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</si>
  <si>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</si>
  <si>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</si>
  <si>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</si>
  <si>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</si>
  <si>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</si>
  <si>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</si>
  <si>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</si>
  <si>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</si>
  <si>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</si>
  <si>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</si>
  <si>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</si>
  <si>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</si>
  <si>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</si>
  <si>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</si>
  <si>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</si>
  <si>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</si>
  <si>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</si>
  <si>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</si>
  <si>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</si>
  <si>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</si>
  <si>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</si>
  <si>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</si>
  <si>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</si>
  <si>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</si>
  <si>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</si>
  <si>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</si>
  <si>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</si>
  <si>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</si>
  <si>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</si>
  <si>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</si>
  <si>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</si>
  <si>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</si>
  <si>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</si>
  <si>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</si>
  <si>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</si>
  <si>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</si>
  <si>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</si>
  <si>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</si>
  <si>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</si>
  <si>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</si>
  <si>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</si>
  <si>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</si>
  <si>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</si>
  <si>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</si>
  <si>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</si>
  <si>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</si>
  <si>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</si>
  <si>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</si>
  <si>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</si>
  <si>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</si>
  <si>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</si>
  <si>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</si>
  <si>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</si>
  <si>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</si>
  <si>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</si>
  <si>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</si>
  <si>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</si>
  <si>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</si>
  <si>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</si>
  <si>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</si>
  <si>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</si>
  <si>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</si>
  <si>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</si>
  <si>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</si>
  <si>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</si>
  <si>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</si>
  <si>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</si>
  <si>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</si>
  <si>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</si>
  <si>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</si>
  <si>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</si>
  <si>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</si>
  <si>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</si>
  <si>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</si>
  <si>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</si>
  <si>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</si>
  <si>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</si>
  <si>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</si>
  <si>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</si>
  <si>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</si>
  <si>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</si>
  <si>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</si>
  <si>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</si>
  <si>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</si>
  <si>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</si>
  <si>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</si>
  <si>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</si>
  <si>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</si>
  <si>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</si>
  <si>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</si>
  <si>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</si>
  <si>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</si>
  <si>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</si>
  <si>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</si>
  <si>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</si>
  <si>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</si>
  <si>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</si>
  <si>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</si>
  <si>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</si>
  <si>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</si>
  <si>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</si>
  <si>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</si>
  <si>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</si>
  <si>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</si>
  <si>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</si>
  <si>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</si>
  <si>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</si>
  <si>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</si>
  <si>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</si>
  <si>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</si>
  <si>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</si>
  <si>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</si>
  <si>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</si>
  <si>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</si>
  <si>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</si>
  <si>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</si>
  <si>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</si>
  <si>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</si>
  <si>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</si>
  <si>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</si>
  <si>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</si>
  <si>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</si>
  <si>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</si>
  <si>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</si>
  <si>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</si>
  <si>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</si>
  <si>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</si>
  <si>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</si>
  <si>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</si>
  <si>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</si>
  <si>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</si>
  <si>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</si>
  <si>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</si>
  <si>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</si>
  <si>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</si>
  <si>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</si>
  <si>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</si>
  <si>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</si>
  <si>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</si>
  <si>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</si>
  <si>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</si>
  <si>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</si>
  <si>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</si>
  <si>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</si>
  <si>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</si>
  <si>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</si>
  <si>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</si>
  <si>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</si>
  <si>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</si>
  <si>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</si>
  <si>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</si>
  <si>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</si>
  <si>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</si>
  <si>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</si>
  <si>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</si>
  <si>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</si>
  <si>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</si>
  <si>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</si>
  <si>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</si>
  <si>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</si>
  <si>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</si>
  <si>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</si>
  <si>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</si>
  <si>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</si>
  <si>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</si>
  <si>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</si>
  <si>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</si>
  <si>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</si>
  <si>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</si>
  <si>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</si>
  <si>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</si>
  <si>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</si>
  <si>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</si>
  <si>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</si>
  <si>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</si>
  <si>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</si>
  <si>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</si>
  <si>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</si>
  <si>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</si>
  <si>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</si>
  <si>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</si>
  <si>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</si>
  <si>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</si>
  <si>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</si>
  <si>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</si>
  <si>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</si>
  <si>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</si>
  <si>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</si>
  <si>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</si>
  <si>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</si>
  <si>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</si>
  <si>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</si>
  <si>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</si>
  <si>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</si>
  <si>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</si>
  <si>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</si>
  <si>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</si>
  <si>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</si>
  <si>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</si>
  <si>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</si>
  <si>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</si>
  <si>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</si>
  <si>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</si>
  <si>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</si>
  <si>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</si>
  <si>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</si>
  <si>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</si>
  <si>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</si>
  <si>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</si>
  <si>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</si>
  <si>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</si>
  <si>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</si>
  <si>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</si>
  <si>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</si>
  <si>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</si>
  <si>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</si>
  <si>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</si>
  <si>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</si>
  <si>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</si>
  <si>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</si>
  <si>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</si>
  <si>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</si>
  <si>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</si>
  <si>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</si>
  <si>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</si>
  <si>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</si>
  <si>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</si>
  <si>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</si>
  <si>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</si>
  <si>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</si>
  <si>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</si>
  <si>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</si>
  <si>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</si>
  <si>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</si>
  <si>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</si>
  <si>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</si>
  <si>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</si>
  <si>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</si>
  <si>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</si>
  <si>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</si>
  <si>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</si>
  <si>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</si>
  <si>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</si>
  <si>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</si>
  <si>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</si>
  <si>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</si>
  <si>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</si>
  <si>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</si>
  <si>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</si>
  <si>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</si>
  <si>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</si>
  <si>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</si>
  <si>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</si>
  <si>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</si>
  <si>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</si>
  <si>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</si>
  <si>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</si>
  <si>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</si>
  <si>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</si>
  <si>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</si>
  <si>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</si>
  <si>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</si>
  <si>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</si>
  <si>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</si>
  <si>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</si>
  <si>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</si>
  <si>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</si>
  <si>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</si>
  <si>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</si>
  <si>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</si>
  <si>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</si>
  <si>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</si>
  <si>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Page 10, Line 78 - Admissions - Other : Enrichment</t>
  </si>
  <si>
    <t>Page 12, Line 171 - Other Restricted Revenue from State Sources : Other Income State/Library Grant</t>
  </si>
  <si>
    <t>Page 11, Line 107 - Other Local Revenues : Miscellaneous revenue</t>
  </si>
  <si>
    <t>Page 10, Line 81 - Other Districts/School Activity Revenue : Field Trips</t>
  </si>
  <si>
    <t>x</t>
  </si>
  <si>
    <t>COOK</t>
  </si>
  <si>
    <t>800 EAST PRAIRIE ROAD</t>
  </si>
  <si>
    <t>SKOKIE</t>
  </si>
  <si>
    <t>ANNWILLIAMS@SD735.ORG</t>
  </si>
  <si>
    <t>X</t>
  </si>
  <si>
    <t>KATE DONEGAN</t>
  </si>
  <si>
    <t>KDONEGAN@SD735.ORG</t>
  </si>
  <si>
    <t>847-324-0509</t>
  </si>
  <si>
    <t>MARTY PALTZER</t>
  </si>
  <si>
    <t>MARTY@NTST.ORG</t>
  </si>
  <si>
    <t>847-965-0034</t>
  </si>
  <si>
    <t>EDER, CASELLA &amp; CO</t>
  </si>
  <si>
    <t>CHERYDEN JUERGENSEN</t>
  </si>
  <si>
    <t>5400 WEST ELM STREET, SUITE 203</t>
  </si>
  <si>
    <t xml:space="preserve">MCHENRY </t>
  </si>
  <si>
    <t>IL</t>
  </si>
  <si>
    <t>815-344-1300</t>
  </si>
  <si>
    <t>815-344-1320</t>
  </si>
  <si>
    <t>066-005142</t>
  </si>
  <si>
    <t>CPAS@EDERCASELLA.COM</t>
  </si>
  <si>
    <t>GO LIMITED TAX SCHOOL BONDS, SERIES 2007 A</t>
  </si>
  <si>
    <t>GO LIMITED SCHOOL BONDS, SERIES 2016A</t>
  </si>
  <si>
    <t>GO LIMITED SCHOOL BONDS, SERIES 2016B</t>
  </si>
  <si>
    <t>Niles Township Curriculum Coordinating Council</t>
  </si>
  <si>
    <t>Harvard (outsourced)</t>
  </si>
  <si>
    <t>Niles Township HS 219</t>
  </si>
  <si>
    <t>EBC (Education Benefit Cooperative)</t>
  </si>
  <si>
    <t>Shared services with District 73 Organic Life Foodservice (outsourced)</t>
  </si>
  <si>
    <t>Select Schools Insurance Cooperative</t>
  </si>
  <si>
    <t>Township Treasurer, IPTIP, IIIT, Liquid Asset Fund</t>
  </si>
  <si>
    <t>Stanton Mechanicals (outsourced)</t>
  </si>
  <si>
    <t>Niles Twp Dist 67, 68, 69, 70, 71, 72, 73, 74, 219, 807</t>
  </si>
  <si>
    <t>Niles Township District for Special Education 807</t>
  </si>
  <si>
    <t>Bidding/Purchasing - National IPA, US communities</t>
  </si>
  <si>
    <t>Village of Skokie - INET</t>
  </si>
  <si>
    <t>North Shore Transit, A&amp;B Bus (outsourced)</t>
  </si>
  <si>
    <t>Niles Township ELL Parent Center</t>
  </si>
  <si>
    <t>Page 15 Line 41 - Other Support Services - Pupils : Recess/Playground staff</t>
  </si>
  <si>
    <t>Ed- Food Service - Purchased Services</t>
  </si>
  <si>
    <t>Organic Life</t>
  </si>
  <si>
    <t>Tort - Worker's Comp - Purchased Services</t>
  </si>
  <si>
    <t>Accident Fund</t>
  </si>
  <si>
    <t>Ed- BOE - Purchased Services</t>
  </si>
  <si>
    <t>Eder Casella</t>
  </si>
  <si>
    <t>10-2300-300</t>
  </si>
  <si>
    <t>10-2560-300</t>
  </si>
  <si>
    <t>80-2300-300</t>
  </si>
  <si>
    <t>Page 18, Line 171 - Debt Services - Other : Debt Fees</t>
  </si>
  <si>
    <t>Page 19, Line 237 - Other Support Services - Pupils : Board Share FICA/ Medicare</t>
  </si>
  <si>
    <t>Page 14, Line 272 (Operations &amp; Maintenance Fund) - Other Restricted Revenue from Federal Sources : E-Rate</t>
  </si>
  <si>
    <t>Page 14, Line 272 (Educational Fund) - Other Restricted Revenue from Federal Sources : Reading 1st Grant</t>
  </si>
  <si>
    <t>Eder, Casella &amp; Co.</t>
  </si>
  <si>
    <t>Skokie SD 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</si>
</sst>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cellStyleXfs>
  <cellXfs count="25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1428750</xdr:colOff>
          <xdr:row>3</xdr:row>
          <xdr:rowOff>38100</xdr:rowOff>
        </xdr:from>
        <xdr:to>
          <xdr:col>1</xdr:col>
          <xdr:colOff>2343150</xdr:colOff>
          <xdr:row>7</xdr:row>
          <xdr:rowOff>76200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BF654BE-6815-4F9A-BCFD-3DE506375CC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2081</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t="s">
        <v>2081</v>
      </c>
      <c r="P12" s="100" t="s">
        <v>211</v>
      </c>
      <c r="Q12" s="74"/>
      <c r="R12" s="30"/>
      <c r="S12" s="30"/>
      <c r="T12" s="85" t="s">
        <v>283</v>
      </c>
      <c r="U12" s="51"/>
      <c r="V12" s="51"/>
      <c r="W12" s="51"/>
      <c r="X12" s="51"/>
      <c r="Y12" s="45"/>
      <c r="Z12" s="45"/>
      <c r="AA12" s="46"/>
    </row>
    <row r="13" spans="1:28" ht="13.5" customHeight="1" x14ac:dyDescent="0.2">
      <c r="A13" s="2037">
        <v>5016073502</v>
      </c>
      <c r="B13" s="2038"/>
      <c r="C13" s="2038"/>
      <c r="D13" s="2038"/>
      <c r="E13" s="2038"/>
      <c r="F13" s="2038"/>
      <c r="G13" s="2038"/>
      <c r="H13" s="2039"/>
      <c r="I13" s="31"/>
      <c r="J13" s="30"/>
      <c r="K13" s="28"/>
      <c r="L13" s="30"/>
      <c r="M13" s="30"/>
      <c r="N13" s="30"/>
      <c r="O13" s="30"/>
      <c r="P13" s="30"/>
      <c r="Q13" s="30"/>
      <c r="R13" s="30"/>
      <c r="S13" s="30"/>
      <c r="T13" s="2042" t="s">
        <v>2093</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2082</v>
      </c>
      <c r="B15" s="2040"/>
      <c r="C15" s="2040"/>
      <c r="D15" s="2040"/>
      <c r="E15" s="2040"/>
      <c r="F15" s="2040"/>
      <c r="G15" s="2040"/>
      <c r="H15" s="2041"/>
      <c r="T15" s="2046" t="s">
        <v>2094</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2134</v>
      </c>
      <c r="B17" s="1997"/>
      <c r="C17" s="1997"/>
      <c r="D17" s="1997"/>
      <c r="E17" s="1997"/>
      <c r="F17" s="1997"/>
      <c r="G17" s="1997"/>
      <c r="H17" s="2022"/>
      <c r="T17" s="2053" t="s">
        <v>2095</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2083</v>
      </c>
      <c r="B19" s="1982"/>
      <c r="C19" s="1982"/>
      <c r="D19" s="1982"/>
      <c r="E19" s="1982"/>
      <c r="F19" s="1982"/>
      <c r="G19" s="1982"/>
      <c r="H19" s="1962"/>
      <c r="I19" s="30"/>
      <c r="J19" s="99"/>
      <c r="K19" s="40"/>
      <c r="L19" s="38"/>
      <c r="M19" s="112" t="s">
        <v>333</v>
      </c>
      <c r="P19" s="27"/>
      <c r="Q19" s="27"/>
      <c r="R19" s="27"/>
      <c r="S19" s="31"/>
      <c r="T19" s="2036" t="s">
        <v>2096</v>
      </c>
      <c r="U19" s="1961"/>
      <c r="V19" s="1961"/>
      <c r="W19" s="1962"/>
      <c r="X19" s="2051" t="s">
        <v>2097</v>
      </c>
      <c r="Y19" s="2052"/>
      <c r="Z19" s="2049">
        <v>60050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2084</v>
      </c>
      <c r="B21" s="1961"/>
      <c r="C21" s="1961"/>
      <c r="D21" s="1961"/>
      <c r="E21" s="1961"/>
      <c r="F21" s="1961"/>
      <c r="G21" s="1961"/>
      <c r="H21" s="1962"/>
      <c r="I21" s="2016" t="s">
        <v>699</v>
      </c>
      <c r="J21" s="2011"/>
      <c r="K21" s="2011"/>
      <c r="L21" s="2011"/>
      <c r="M21" s="2011"/>
      <c r="N21" s="2011"/>
      <c r="O21" s="2011"/>
      <c r="P21" s="2011"/>
      <c r="Q21" s="2011"/>
      <c r="R21" s="2011"/>
      <c r="S21" s="2017"/>
      <c r="T21" s="2060" t="s">
        <v>2098</v>
      </c>
      <c r="U21" s="2061"/>
      <c r="V21" s="2061"/>
      <c r="W21" s="2061"/>
      <c r="X21" s="2066" t="s">
        <v>2099</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2085</v>
      </c>
      <c r="B23" s="2014"/>
      <c r="C23" s="2014"/>
      <c r="D23" s="2014"/>
      <c r="E23" s="2014"/>
      <c r="F23" s="2014"/>
      <c r="G23" s="2014"/>
      <c r="H23" s="2015"/>
      <c r="T23" s="1996" t="s">
        <v>2100</v>
      </c>
      <c r="U23" s="2059"/>
      <c r="V23" s="2059"/>
      <c r="W23" s="2059"/>
      <c r="X23" s="2063">
        <v>44530</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60076</v>
      </c>
      <c r="B25" s="1961"/>
      <c r="C25" s="1961"/>
      <c r="D25" s="1961"/>
      <c r="E25" s="1961"/>
      <c r="F25" s="1961"/>
      <c r="G25" s="1961"/>
      <c r="H25" s="1962"/>
      <c r="I25" s="113"/>
      <c r="J25" s="1985"/>
      <c r="K25" s="1985"/>
      <c r="L25" s="1985"/>
      <c r="M25" s="1985"/>
      <c r="N25" s="1985"/>
      <c r="O25" s="1985"/>
      <c r="P25" s="1985"/>
      <c r="Q25" s="1985"/>
      <c r="R25" s="1985"/>
      <c r="S25" s="1986"/>
      <c r="T25" s="2056" t="s">
        <v>2101</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2086</v>
      </c>
      <c r="F29" s="141" t="s">
        <v>1383</v>
      </c>
      <c r="G29" s="114"/>
      <c r="I29" s="54"/>
      <c r="J29" s="102"/>
      <c r="K29" s="28" t="s">
        <v>597</v>
      </c>
      <c r="L29" s="148" t="s">
        <v>2081</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2087</v>
      </c>
      <c r="B38" s="1997"/>
      <c r="C38" s="1997"/>
      <c r="D38" s="1997"/>
      <c r="E38" s="1997"/>
      <c r="F38" s="1961"/>
      <c r="G38" s="1961"/>
      <c r="H38" s="1962"/>
      <c r="I38" s="1989" t="s">
        <v>2090</v>
      </c>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2088</v>
      </c>
      <c r="B40" s="1975"/>
      <c r="C40" s="1976"/>
      <c r="D40" s="1976"/>
      <c r="E40" s="1976"/>
      <c r="F40" s="1977"/>
      <c r="G40" s="1977"/>
      <c r="H40" s="1978"/>
      <c r="I40" s="1999" t="s">
        <v>2091</v>
      </c>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2089</v>
      </c>
      <c r="B42" s="1980"/>
      <c r="C42" s="1981"/>
      <c r="D42" s="1979"/>
      <c r="E42" s="1980"/>
      <c r="F42" s="1980"/>
      <c r="G42" s="1980"/>
      <c r="H42" s="1981"/>
      <c r="I42" s="1963" t="s">
        <v>2092</v>
      </c>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6" zoomScaleNormal="10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43329</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v>86209</v>
      </c>
      <c r="H88" s="276">
        <v>13512</v>
      </c>
      <c r="I88" s="276"/>
      <c r="J88" s="277">
        <f>SUM(E88:I88)</f>
        <v>99721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99721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2133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302892327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3.5706000000000002E-2</v>
      </c>
      <c r="E10" s="356" t="s">
        <v>1062</v>
      </c>
      <c r="F10" s="355">
        <v>5.4999999999999997E-3</v>
      </c>
      <c r="G10" s="356" t="s">
        <v>1062</v>
      </c>
      <c r="H10" s="355">
        <v>2.3210000000000001E-3</v>
      </c>
      <c r="I10" s="356" t="s">
        <v>1063</v>
      </c>
      <c r="J10" s="1754">
        <f>ROUND(D10+F10+H10,5)</f>
        <v>4.3529999999999999E-2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17623163</v>
      </c>
      <c r="E16" s="356"/>
      <c r="F16" s="1755">
        <f>SUM('Acct Summary 7-8'!C17,'Acct Summary 7-8'!D17,'Acct Summary 7-8'!F17)</f>
        <v>17204830</v>
      </c>
      <c r="G16" s="356"/>
      <c r="H16" s="1755">
        <f>SUM(D16-F16)</f>
        <v>418333</v>
      </c>
      <c r="I16" s="222"/>
      <c r="J16" s="1755">
        <f>SUM('Acct Summary 7-8'!C81,'Acct Summary 7-8'!D81,'Acct Summary 7-8'!F81,'Acct Summary 7-8'!I81)</f>
        <v>25422872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7">
        <f>IF(B31="X",(J7*0.069),IF(B32="X",(J7*0.138),"Enter x in a.or b."))</f>
        <v>20899570.563000001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11285000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Normal="10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Skokie SD 73-5</v>
      </c>
      <c r="E7" s="391"/>
      <c r="G7" s="252"/>
      <c r="H7" s="387"/>
      <c r="I7" s="387"/>
      <c r="J7" s="387"/>
      <c r="K7" s="387"/>
      <c r="L7" s="329"/>
      <c r="M7" s="329"/>
      <c r="N7" s="329"/>
      <c r="O7" s="329"/>
      <c r="P7" s="329"/>
    </row>
    <row r="8" spans="1:18" ht="12.75" x14ac:dyDescent="0.2">
      <c r="A8" s="329"/>
      <c r="B8" s="329"/>
      <c r="C8" s="389" t="s">
        <v>1187</v>
      </c>
      <c r="D8" s="392">
        <f>COVER!A13</f>
        <v>5016073502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25422872</v>
      </c>
      <c r="I12" s="404"/>
      <c r="J12" s="404"/>
      <c r="K12" s="405">
        <f>TRUNC((H12/H13*100000),5)/100000</f>
        <v>1.4425828099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17623163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17204830</v>
      </c>
      <c r="I17" s="404"/>
      <c r="J17" s="416"/>
      <c r="K17" s="405">
        <f>TRUNC((H17/H18*100000),5)/100000</f>
        <v>0.97626232019999992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17623163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25523902</v>
      </c>
      <c r="I24" s="422"/>
      <c r="J24" s="422"/>
      <c r="K24" s="423">
        <f>TRUNC(((H24/H25*100000)/100000),2)</f>
        <v>534.07000000000005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47791.194439999999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11207167.545159999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11285000</v>
      </c>
      <c r="I32" s="420"/>
      <c r="J32" s="420"/>
      <c r="K32" s="423">
        <f>TRUNC(100-((((H32/H33*100))*100)/100),2)</f>
        <v>46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20899570.563000001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sqref="A1:F1"/>
      <selection pane="bottomLeft"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15601801</v>
      </c>
      <c r="D4" s="466">
        <v>3593532</v>
      </c>
      <c r="E4" s="466">
        <v>1553635</v>
      </c>
      <c r="F4" s="466">
        <v>733134</v>
      </c>
      <c r="G4" s="466">
        <v>1561390</v>
      </c>
      <c r="H4" s="466">
        <v>217875</v>
      </c>
      <c r="I4" s="466">
        <v>5595435</v>
      </c>
      <c r="J4" s="467">
        <v>1220408</v>
      </c>
      <c r="K4" s="466">
        <v>446703</v>
      </c>
      <c r="L4" s="466">
        <v>108534</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5932432</v>
      </c>
      <c r="D6" s="466">
        <v>838292</v>
      </c>
      <c r="E6" s="466">
        <v>724893</v>
      </c>
      <c r="F6" s="466">
        <v>343152</v>
      </c>
      <c r="G6" s="471">
        <v>289041</v>
      </c>
      <c r="H6" s="471">
        <v>0</v>
      </c>
      <c r="I6" s="466">
        <v>73923</v>
      </c>
      <c r="J6" s="474">
        <v>100536</v>
      </c>
      <c r="K6" s="471">
        <v>147844</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21079</v>
      </c>
      <c r="D8" s="467">
        <v>0</v>
      </c>
      <c r="E8" s="467">
        <v>0</v>
      </c>
      <c r="F8" s="467">
        <v>86209</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21555312</v>
      </c>
      <c r="D13" s="1759">
        <f t="shared" ref="D13:L13" si="0">SUM(D4:D12)</f>
        <v>4431824</v>
      </c>
      <c r="E13" s="1759">
        <f t="shared" si="0"/>
        <v>2278528</v>
      </c>
      <c r="F13" s="1759">
        <f t="shared" si="0"/>
        <v>1162495</v>
      </c>
      <c r="G13" s="1759">
        <f t="shared" si="0"/>
        <v>1850431</v>
      </c>
      <c r="H13" s="1759">
        <f t="shared" si="0"/>
        <v>217875</v>
      </c>
      <c r="I13" s="1759">
        <f t="shared" si="0"/>
        <v>5669358</v>
      </c>
      <c r="J13" s="1759">
        <f t="shared" si="0"/>
        <v>1320944</v>
      </c>
      <c r="K13" s="1759">
        <f t="shared" si="0"/>
        <v>594547</v>
      </c>
      <c r="L13" s="1759">
        <f t="shared" si="0"/>
        <v>108534</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369846</v>
      </c>
      <c r="N16" s="484"/>
    </row>
    <row r="17" spans="1:14" s="485" customFormat="1" ht="12.75" customHeight="1" x14ac:dyDescent="0.2">
      <c r="A17" s="482" t="s">
        <v>1470</v>
      </c>
      <c r="B17" s="483">
        <v>230</v>
      </c>
      <c r="C17" s="477"/>
      <c r="D17" s="477"/>
      <c r="E17" s="477"/>
      <c r="F17" s="477"/>
      <c r="G17" s="477"/>
      <c r="H17" s="477"/>
      <c r="I17" s="477"/>
      <c r="J17" s="477"/>
      <c r="K17" s="477"/>
      <c r="L17" s="477"/>
      <c r="M17" s="467">
        <v>30435366</v>
      </c>
      <c r="N17" s="484"/>
    </row>
    <row r="18" spans="1:14" s="485" customFormat="1" ht="12.75" customHeight="1" x14ac:dyDescent="0.2">
      <c r="A18" s="482" t="s">
        <v>1471</v>
      </c>
      <c r="B18" s="483">
        <v>240</v>
      </c>
      <c r="C18" s="477"/>
      <c r="D18" s="477"/>
      <c r="E18" s="477"/>
      <c r="F18" s="477"/>
      <c r="G18" s="477"/>
      <c r="H18" s="477"/>
      <c r="I18" s="477"/>
      <c r="J18" s="477"/>
      <c r="K18" s="477"/>
      <c r="L18" s="477"/>
      <c r="M18" s="467">
        <v>2287195</v>
      </c>
      <c r="N18" s="484"/>
    </row>
    <row r="19" spans="1:14" s="485" customFormat="1" ht="12.75" customHeight="1" x14ac:dyDescent="0.2">
      <c r="A19" s="482" t="s">
        <v>1472</v>
      </c>
      <c r="B19" s="483">
        <v>250</v>
      </c>
      <c r="C19" s="477"/>
      <c r="D19" s="477"/>
      <c r="E19" s="477"/>
      <c r="F19" s="477"/>
      <c r="G19" s="477"/>
      <c r="H19" s="477"/>
      <c r="I19" s="477"/>
      <c r="J19" s="477"/>
      <c r="K19" s="477"/>
      <c r="L19" s="477"/>
      <c r="M19" s="467">
        <v>2236013</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1552385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9732615</v>
      </c>
    </row>
    <row r="23" spans="1:14" ht="13.5" customHeight="1" thickBot="1" x14ac:dyDescent="0.25">
      <c r="A23" s="1758" t="s">
        <v>664</v>
      </c>
      <c r="B23" s="1763"/>
      <c r="C23" s="468"/>
      <c r="D23" s="468"/>
      <c r="E23" s="468"/>
      <c r="F23" s="468"/>
      <c r="G23" s="468"/>
      <c r="H23" s="468"/>
      <c r="I23" s="468"/>
      <c r="J23" s="468"/>
      <c r="K23" s="468"/>
      <c r="L23" s="468"/>
      <c r="M23" s="1710">
        <f>SUM(M15:M22)</f>
        <v>35328420</v>
      </c>
      <c r="N23" s="1710">
        <f>SUM(N21:N22)</f>
        <v>11285000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226079</v>
      </c>
      <c r="D27" s="467">
        <v>7980</v>
      </c>
      <c r="E27" s="467">
        <v>1250</v>
      </c>
      <c r="F27" s="467">
        <v>25058</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5881633</v>
      </c>
      <c r="D32" s="492">
        <v>838292</v>
      </c>
      <c r="E32" s="474">
        <v>724893</v>
      </c>
      <c r="F32" s="474">
        <v>343152</v>
      </c>
      <c r="G32" s="474">
        <v>289041</v>
      </c>
      <c r="H32" s="474">
        <v>0</v>
      </c>
      <c r="I32" s="474">
        <v>73923</v>
      </c>
      <c r="J32" s="474">
        <v>100536</v>
      </c>
      <c r="K32" s="479">
        <v>147844</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108534</v>
      </c>
      <c r="M33" s="468"/>
      <c r="N33" s="469"/>
    </row>
    <row r="34" spans="1:14" ht="13.5" customHeight="1" thickBot="1" x14ac:dyDescent="0.25">
      <c r="A34" s="1760" t="s">
        <v>675</v>
      </c>
      <c r="B34" s="1761"/>
      <c r="C34" s="1762">
        <f>SUM(C25:C33)</f>
        <v>6107712</v>
      </c>
      <c r="D34" s="1762">
        <f t="shared" ref="D34:K34" si="1">SUM(D25:D33)</f>
        <v>846272</v>
      </c>
      <c r="E34" s="1762">
        <f t="shared" si="1"/>
        <v>726143</v>
      </c>
      <c r="F34" s="1762">
        <f t="shared" si="1"/>
        <v>368210</v>
      </c>
      <c r="G34" s="1762">
        <f t="shared" si="1"/>
        <v>289041</v>
      </c>
      <c r="H34" s="1762">
        <f t="shared" si="1"/>
        <v>0</v>
      </c>
      <c r="I34" s="1762">
        <f t="shared" si="1"/>
        <v>73923</v>
      </c>
      <c r="J34" s="1762">
        <f t="shared" si="1"/>
        <v>100536</v>
      </c>
      <c r="K34" s="1762">
        <f t="shared" si="1"/>
        <v>147844</v>
      </c>
      <c r="L34" s="1743">
        <f>SUM(L33)</f>
        <v>108534</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11285000</v>
      </c>
    </row>
    <row r="37" spans="1:14" ht="13.5" thickBot="1" x14ac:dyDescent="0.25">
      <c r="A37" s="1758" t="s">
        <v>674</v>
      </c>
      <c r="B37" s="1763"/>
      <c r="C37" s="477"/>
      <c r="D37" s="477"/>
      <c r="E37" s="477"/>
      <c r="F37" s="477"/>
      <c r="G37" s="477"/>
      <c r="H37" s="477"/>
      <c r="I37" s="477"/>
      <c r="J37" s="477"/>
      <c r="K37" s="477"/>
      <c r="L37" s="480"/>
      <c r="M37" s="468"/>
      <c r="N37" s="1710">
        <f>SUM(N36:N36)</f>
        <v>11285000</v>
      </c>
    </row>
    <row r="38" spans="1:14" s="329" customFormat="1" ht="13.5" customHeight="1" thickTop="1" x14ac:dyDescent="0.2">
      <c r="A38" s="496" t="s">
        <v>440</v>
      </c>
      <c r="B38" s="483">
        <v>714</v>
      </c>
      <c r="C38" s="466"/>
      <c r="D38" s="466"/>
      <c r="E38" s="466"/>
      <c r="F38" s="466"/>
      <c r="G38" s="466">
        <v>908749</v>
      </c>
      <c r="H38" s="466"/>
      <c r="I38" s="466"/>
      <c r="J38" s="467"/>
      <c r="K38" s="466"/>
      <c r="L38" s="481"/>
      <c r="M38" s="497"/>
      <c r="N38" s="497"/>
    </row>
    <row r="39" spans="1:14" s="329" customFormat="1" ht="13.5" customHeight="1" x14ac:dyDescent="0.2">
      <c r="A39" s="496" t="s">
        <v>360</v>
      </c>
      <c r="B39" s="483">
        <v>730</v>
      </c>
      <c r="C39" s="466">
        <v>15447600</v>
      </c>
      <c r="D39" s="466">
        <v>3585552</v>
      </c>
      <c r="E39" s="466">
        <v>1552385</v>
      </c>
      <c r="F39" s="466">
        <v>794285</v>
      </c>
      <c r="G39" s="466">
        <v>652641</v>
      </c>
      <c r="H39" s="466">
        <v>217875</v>
      </c>
      <c r="I39" s="466">
        <v>5595435</v>
      </c>
      <c r="J39" s="467">
        <v>1220408</v>
      </c>
      <c r="K39" s="466">
        <v>446703</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35328420</v>
      </c>
      <c r="N40" s="497"/>
    </row>
    <row r="41" spans="1:14" ht="13.5" customHeight="1" thickBot="1" x14ac:dyDescent="0.25">
      <c r="A41" s="1758" t="s">
        <v>676</v>
      </c>
      <c r="B41" s="1728"/>
      <c r="C41" s="1710">
        <f>(SUM(C34,C37,C38,C39))</f>
        <v>21555312</v>
      </c>
      <c r="D41" s="1710">
        <f t="shared" ref="D41:L41" si="2">SUM(D34,D37,D38:D39)</f>
        <v>4431824</v>
      </c>
      <c r="E41" s="1710">
        <f t="shared" si="2"/>
        <v>2278528</v>
      </c>
      <c r="F41" s="1710">
        <f t="shared" si="2"/>
        <v>1162495</v>
      </c>
      <c r="G41" s="1710">
        <f t="shared" si="2"/>
        <v>1850431</v>
      </c>
      <c r="H41" s="1710">
        <f t="shared" si="2"/>
        <v>217875</v>
      </c>
      <c r="I41" s="1710">
        <f t="shared" si="2"/>
        <v>5669358</v>
      </c>
      <c r="J41" s="1710">
        <f t="shared" si="2"/>
        <v>1320944</v>
      </c>
      <c r="K41" s="1710">
        <f t="shared" si="2"/>
        <v>594547</v>
      </c>
      <c r="L41" s="1710">
        <f t="shared" si="2"/>
        <v>108534</v>
      </c>
      <c r="M41" s="1710">
        <f>SUM(M40)</f>
        <v>35328420</v>
      </c>
      <c r="N41" s="1710">
        <f>SUM(N37)</f>
        <v>11285000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1" activePane="bottomLeft" state="frozenSplit"/>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11961465</v>
      </c>
      <c r="D4" s="1764">
        <f>'Revenues 9-14'!D109</f>
        <v>1683353</v>
      </c>
      <c r="E4" s="1764">
        <f>'Revenues 9-14'!E109</f>
        <v>1411134</v>
      </c>
      <c r="F4" s="1764">
        <f>'Revenues 9-14'!F109</f>
        <v>1681780</v>
      </c>
      <c r="G4" s="1764">
        <f>'Revenues 9-14'!G109</f>
        <v>678412</v>
      </c>
      <c r="H4" s="1764">
        <f>'Revenues 9-14'!H109</f>
        <v>40892</v>
      </c>
      <c r="I4" s="1764">
        <f>'Revenues 9-14'!I109</f>
        <v>143722</v>
      </c>
      <c r="J4" s="1764">
        <f>'Revenues 9-14'!J109</f>
        <v>183915</v>
      </c>
      <c r="K4" s="1764">
        <f>'Revenues 9-14'!K109</f>
        <v>145926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1371900</v>
      </c>
      <c r="D6" s="1765">
        <f>'Revenues 9-14'!D173</f>
        <v>0</v>
      </c>
      <c r="E6" s="1765">
        <f>'Revenues 9-14'!E173</f>
        <v>0</v>
      </c>
      <c r="F6" s="1765">
        <f>'Revenues 9-14'!F173</f>
        <v>344485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429049</v>
      </c>
      <c r="D7" s="1765">
        <f>'Revenues 9-14'!D274</f>
        <v>7409</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13762414</v>
      </c>
      <c r="D8" s="1710">
        <f t="shared" ref="D8:K8" si="0">SUM(D4:D7)</f>
        <v>1690762</v>
      </c>
      <c r="E8" s="1710">
        <f t="shared" si="0"/>
        <v>1411134</v>
      </c>
      <c r="F8" s="1710">
        <f t="shared" si="0"/>
        <v>2026265</v>
      </c>
      <c r="G8" s="1710">
        <f t="shared" si="0"/>
        <v>678412</v>
      </c>
      <c r="H8" s="1710">
        <f t="shared" si="0"/>
        <v>40892</v>
      </c>
      <c r="I8" s="1710">
        <f t="shared" si="0"/>
        <v>143722</v>
      </c>
      <c r="J8" s="1710">
        <f t="shared" si="0"/>
        <v>183915</v>
      </c>
      <c r="K8" s="1710">
        <f t="shared" si="0"/>
        <v>145926</v>
      </c>
      <c r="L8" s="347"/>
    </row>
    <row r="9" spans="1:13" ht="15.75" thickTop="1" x14ac:dyDescent="0.2">
      <c r="A9" s="514" t="s">
        <v>1752</v>
      </c>
      <c r="B9" s="515">
        <v>3998</v>
      </c>
      <c r="C9" s="481">
        <v>6247689</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20010103</v>
      </c>
      <c r="D10" s="1710">
        <f t="shared" ref="D10:K10" si="1">SUM(D8:D9)</f>
        <v>1690762</v>
      </c>
      <c r="E10" s="1710">
        <f t="shared" si="1"/>
        <v>1411134</v>
      </c>
      <c r="F10" s="1710">
        <f t="shared" si="1"/>
        <v>2026265</v>
      </c>
      <c r="G10" s="1710">
        <f t="shared" si="1"/>
        <v>678412</v>
      </c>
      <c r="H10" s="1710">
        <f t="shared" si="1"/>
        <v>40892</v>
      </c>
      <c r="I10" s="1710">
        <f t="shared" si="1"/>
        <v>143722</v>
      </c>
      <c r="J10" s="1710">
        <f t="shared" si="1"/>
        <v>183915</v>
      </c>
      <c r="K10" s="1710">
        <f t="shared" si="1"/>
        <v>145926</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8355368</v>
      </c>
      <c r="D12" s="520" t="s">
        <v>1231</v>
      </c>
      <c r="E12" s="468" t="s">
        <v>1231</v>
      </c>
      <c r="F12" s="468" t="s">
        <v>1231</v>
      </c>
      <c r="G12" s="1764">
        <f>'Expenditures 15-22'!K229</f>
        <v>137119</v>
      </c>
      <c r="H12" s="521"/>
      <c r="I12" s="468" t="s">
        <v>1231</v>
      </c>
      <c r="J12" s="468" t="s">
        <v>1231</v>
      </c>
      <c r="K12" s="521" t="s">
        <v>1231</v>
      </c>
      <c r="L12" s="347"/>
    </row>
    <row r="13" spans="1:13" ht="15.75" customHeight="1" x14ac:dyDescent="0.2">
      <c r="A13" s="1598" t="s">
        <v>477</v>
      </c>
      <c r="B13" s="1600">
        <v>2000</v>
      </c>
      <c r="C13" s="1765">
        <f>'Expenditures 15-22'!K74</f>
        <v>5097849</v>
      </c>
      <c r="D13" s="1765">
        <f>'Expenditures 15-22'!K129</f>
        <v>1125342</v>
      </c>
      <c r="E13" s="469" t="s">
        <v>1231</v>
      </c>
      <c r="F13" s="1765">
        <f>'Expenditures 15-22'!K184</f>
        <v>797827</v>
      </c>
      <c r="G13" s="1765">
        <f>'Expenditures 15-22'!K279</f>
        <v>284268</v>
      </c>
      <c r="H13" s="1765">
        <f>'Expenditures 15-22'!K303</f>
        <v>3870203</v>
      </c>
      <c r="I13" s="468" t="s">
        <v>1231</v>
      </c>
      <c r="J13" s="1765">
        <f>'Expenditures 15-22'!K330</f>
        <v>115738</v>
      </c>
      <c r="K13" s="1769">
        <f>'Expenditures 15-22'!K352</f>
        <v>0</v>
      </c>
      <c r="L13" s="347"/>
    </row>
    <row r="14" spans="1:13" ht="15.75" customHeight="1" x14ac:dyDescent="0.2">
      <c r="A14" s="1598" t="s">
        <v>469</v>
      </c>
      <c r="B14" s="1600">
        <v>3000</v>
      </c>
      <c r="C14" s="1765">
        <f>'Expenditures 15-22'!K75</f>
        <v>806500</v>
      </c>
      <c r="D14" s="1765">
        <f>'Expenditures 15-22'!K130</f>
        <v>0</v>
      </c>
      <c r="E14" s="520" t="s">
        <v>1231</v>
      </c>
      <c r="F14" s="1765">
        <f>'Expenditures 15-22'!K185</f>
        <v>0</v>
      </c>
      <c r="G14" s="1765">
        <f>'Expenditures 15-22'!K280</f>
        <v>762</v>
      </c>
      <c r="H14" s="512"/>
      <c r="I14" s="468" t="s">
        <v>1231</v>
      </c>
      <c r="J14" s="468" t="s">
        <v>1231</v>
      </c>
      <c r="K14" s="512" t="s">
        <v>1231</v>
      </c>
      <c r="L14" s="347"/>
    </row>
    <row r="15" spans="1:13" ht="15.75" customHeight="1" x14ac:dyDescent="0.2">
      <c r="A15" s="1598" t="s">
        <v>109</v>
      </c>
      <c r="B15" s="1600">
        <v>4000</v>
      </c>
      <c r="C15" s="1765">
        <f>'Expenditures 15-22'!K102</f>
        <v>993232</v>
      </c>
      <c r="D15" s="1765">
        <f>'Expenditures 15-22'!K139</f>
        <v>28712</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1683313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15252949</v>
      </c>
      <c r="D17" s="1710">
        <f t="shared" si="2"/>
        <v>1154054</v>
      </c>
      <c r="E17" s="1710">
        <f t="shared" si="2"/>
        <v>1683313</v>
      </c>
      <c r="F17" s="1710">
        <f t="shared" si="2"/>
        <v>797827</v>
      </c>
      <c r="G17" s="1710">
        <f t="shared" si="2"/>
        <v>422149</v>
      </c>
      <c r="H17" s="1710">
        <f t="shared" si="2"/>
        <v>3870203</v>
      </c>
      <c r="I17" s="468"/>
      <c r="J17" s="1710">
        <f>SUM(J12:J16)</f>
        <v>115738</v>
      </c>
      <c r="K17" s="1710">
        <f>SUM(K12:K16)</f>
        <v>0</v>
      </c>
      <c r="L17" s="347"/>
    </row>
    <row r="18" spans="1:12" ht="15" customHeight="1" thickTop="1" x14ac:dyDescent="0.2">
      <c r="A18" s="1766" t="s">
        <v>1753</v>
      </c>
      <c r="B18" s="1767">
        <v>4180</v>
      </c>
      <c r="C18" s="1764">
        <f t="shared" ref="C18:H18" si="3">C9</f>
        <v>6247689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21500638</v>
      </c>
      <c r="D19" s="1710">
        <f t="shared" si="4"/>
        <v>1154054</v>
      </c>
      <c r="E19" s="1710">
        <f t="shared" si="4"/>
        <v>1683313</v>
      </c>
      <c r="F19" s="1710">
        <f t="shared" si="4"/>
        <v>797827</v>
      </c>
      <c r="G19" s="1710">
        <f t="shared" si="4"/>
        <v>422149</v>
      </c>
      <c r="H19" s="1710">
        <f t="shared" si="4"/>
        <v>3870203</v>
      </c>
      <c r="I19" s="468"/>
      <c r="J19" s="1710">
        <f>SUM(J17:J18)</f>
        <v>115738</v>
      </c>
      <c r="K19" s="1710">
        <f>SUM(K17:K18)</f>
        <v>0</v>
      </c>
      <c r="L19" s="347"/>
    </row>
    <row r="20" spans="1:12" ht="16.5" thickTop="1" thickBot="1" x14ac:dyDescent="0.25">
      <c r="A20" s="2145" t="s">
        <v>1754</v>
      </c>
      <c r="B20" s="2146"/>
      <c r="C20" s="1768">
        <f>C8-C17</f>
        <v>-1490535</v>
      </c>
      <c r="D20" s="1768">
        <f t="shared" ref="D20:K20" si="5">D8-D17</f>
        <v>536708</v>
      </c>
      <c r="E20" s="1768">
        <f t="shared" si="5"/>
        <v>-272179</v>
      </c>
      <c r="F20" s="1768">
        <f t="shared" si="5"/>
        <v>1228438</v>
      </c>
      <c r="G20" s="1768">
        <f t="shared" si="5"/>
        <v>256263</v>
      </c>
      <c r="H20" s="1768">
        <f t="shared" si="5"/>
        <v>-3829311</v>
      </c>
      <c r="I20" s="1768">
        <f t="shared" si="5"/>
        <v>143722</v>
      </c>
      <c r="J20" s="1768">
        <f t="shared" si="5"/>
        <v>68177</v>
      </c>
      <c r="K20" s="1768">
        <f t="shared" si="5"/>
        <v>145926</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800000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1000000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800000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9" t="s">
        <v>392</v>
      </c>
      <c r="B44" s="2160"/>
      <c r="C44" s="1725">
        <f>SUM(C24:C43)</f>
        <v>1000000</v>
      </c>
      <c r="D44" s="1725">
        <f t="shared" ref="D44:K44" si="6">SUM(D24:D43)</f>
        <v>800000</v>
      </c>
      <c r="E44" s="1725">
        <f t="shared" si="6"/>
        <v>0</v>
      </c>
      <c r="F44" s="1725">
        <f t="shared" si="6"/>
        <v>0</v>
      </c>
      <c r="G44" s="1725">
        <f t="shared" si="6"/>
        <v>0</v>
      </c>
      <c r="H44" s="1725">
        <f t="shared" si="6"/>
        <v>800000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800000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1000000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800000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5" t="s">
        <v>460</v>
      </c>
      <c r="B76" s="2136"/>
      <c r="C76" s="1725">
        <f t="shared" ref="C76:K76" si="7">SUM(C47:C75)</f>
        <v>0</v>
      </c>
      <c r="D76" s="1725">
        <f t="shared" si="7"/>
        <v>800000</v>
      </c>
      <c r="E76" s="1725">
        <f t="shared" si="7"/>
        <v>0</v>
      </c>
      <c r="F76" s="1725">
        <f t="shared" si="7"/>
        <v>1000000</v>
      </c>
      <c r="G76" s="1725">
        <f t="shared" si="7"/>
        <v>0</v>
      </c>
      <c r="H76" s="1725">
        <f t="shared" si="7"/>
        <v>0</v>
      </c>
      <c r="I76" s="1725">
        <f t="shared" si="7"/>
        <v>800000</v>
      </c>
      <c r="J76" s="1725">
        <f t="shared" si="7"/>
        <v>0</v>
      </c>
      <c r="K76" s="1725">
        <f t="shared" si="7"/>
        <v>0</v>
      </c>
      <c r="L76" s="524"/>
    </row>
    <row r="77" spans="1:12" ht="14.25" thickTop="1" thickBot="1" x14ac:dyDescent="0.25">
      <c r="A77" s="2137" t="s">
        <v>1239</v>
      </c>
      <c r="B77" s="2138"/>
      <c r="C77" s="1725">
        <f t="shared" ref="C77:K77" si="8">C44-C76</f>
        <v>1000000</v>
      </c>
      <c r="D77" s="1725">
        <f t="shared" si="8"/>
        <v>0</v>
      </c>
      <c r="E77" s="1725">
        <f t="shared" si="8"/>
        <v>0</v>
      </c>
      <c r="F77" s="1725">
        <f t="shared" si="8"/>
        <v>-1000000</v>
      </c>
      <c r="G77" s="1725">
        <f t="shared" si="8"/>
        <v>0</v>
      </c>
      <c r="H77" s="1725">
        <f t="shared" si="8"/>
        <v>800000</v>
      </c>
      <c r="I77" s="1725">
        <f t="shared" si="8"/>
        <v>-800000</v>
      </c>
      <c r="J77" s="1725">
        <f t="shared" si="8"/>
        <v>0</v>
      </c>
      <c r="K77" s="1725">
        <f t="shared" si="8"/>
        <v>0</v>
      </c>
      <c r="L77" s="347"/>
    </row>
    <row r="78" spans="1:12" ht="21.75" customHeight="1" thickTop="1" thickBot="1" x14ac:dyDescent="0.25">
      <c r="A78" s="2141" t="s">
        <v>618</v>
      </c>
      <c r="B78" s="2142"/>
      <c r="C78" s="1724">
        <f t="shared" ref="C78:K78" si="9">C20+C77</f>
        <v>-490535</v>
      </c>
      <c r="D78" s="1724">
        <f t="shared" si="9"/>
        <v>536708</v>
      </c>
      <c r="E78" s="1724">
        <f t="shared" si="9"/>
        <v>-272179</v>
      </c>
      <c r="F78" s="1724">
        <f t="shared" si="9"/>
        <v>228438</v>
      </c>
      <c r="G78" s="1724">
        <f t="shared" si="9"/>
        <v>256263</v>
      </c>
      <c r="H78" s="1724">
        <f t="shared" si="9"/>
        <v>-3029311</v>
      </c>
      <c r="I78" s="1724">
        <f t="shared" si="9"/>
        <v>-656278</v>
      </c>
      <c r="J78" s="1724">
        <f t="shared" si="9"/>
        <v>68177</v>
      </c>
      <c r="K78" s="1724">
        <f t="shared" si="9"/>
        <v>145926</v>
      </c>
      <c r="L78" s="533"/>
    </row>
    <row r="79" spans="1:12" ht="13.5" thickTop="1" x14ac:dyDescent="0.2">
      <c r="A79" s="1516" t="s">
        <v>2073</v>
      </c>
      <c r="B79" s="534"/>
      <c r="C79" s="478">
        <v>15938135</v>
      </c>
      <c r="D79" s="535">
        <v>3048844</v>
      </c>
      <c r="E79" s="535">
        <v>1824564</v>
      </c>
      <c r="F79" s="535">
        <v>565847</v>
      </c>
      <c r="G79" s="535">
        <v>1305127</v>
      </c>
      <c r="H79" s="535">
        <v>3247186</v>
      </c>
      <c r="I79" s="535">
        <v>6251713</v>
      </c>
      <c r="J79" s="535">
        <v>1152231</v>
      </c>
      <c r="K79" s="535">
        <v>300777</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15447600</v>
      </c>
      <c r="D81" s="1710">
        <f>SUM(D78:D80)</f>
        <v>3585552</v>
      </c>
      <c r="E81" s="1710">
        <f t="shared" ref="E81:K81" si="10">SUM(E78:E80)</f>
        <v>1552385</v>
      </c>
      <c r="F81" s="1710">
        <f t="shared" si="10"/>
        <v>794285</v>
      </c>
      <c r="G81" s="1710">
        <f t="shared" si="10"/>
        <v>1561390</v>
      </c>
      <c r="H81" s="1710">
        <f t="shared" si="10"/>
        <v>217875</v>
      </c>
      <c r="I81" s="1710">
        <f t="shared" si="10"/>
        <v>5595435</v>
      </c>
      <c r="J81" s="1710">
        <f t="shared" si="10"/>
        <v>1220408</v>
      </c>
      <c r="K81" s="1710">
        <f t="shared" si="10"/>
        <v>446703</v>
      </c>
      <c r="L81" s="347"/>
    </row>
    <row r="82" spans="1:12" ht="0.75" customHeight="1" thickTop="1" thickBot="1" x14ac:dyDescent="0.25">
      <c r="A82" s="536" t="s">
        <v>361</v>
      </c>
      <c r="B82" s="537"/>
      <c r="C82" s="538">
        <f>(C81-C79)</f>
        <v>-490535</v>
      </c>
      <c r="D82" s="538">
        <f t="shared" ref="D82:K82" si="11">(D81-D79)</f>
        <v>536708</v>
      </c>
      <c r="E82" s="538">
        <f t="shared" si="11"/>
        <v>-272179</v>
      </c>
      <c r="F82" s="538">
        <f t="shared" si="11"/>
        <v>228438</v>
      </c>
      <c r="G82" s="538">
        <f t="shared" si="11"/>
        <v>256263</v>
      </c>
      <c r="H82" s="538">
        <f t="shared" si="11"/>
        <v>-3029311</v>
      </c>
      <c r="I82" s="538">
        <f t="shared" si="11"/>
        <v>-656278</v>
      </c>
      <c r="J82" s="538">
        <f t="shared" si="11"/>
        <v>68177</v>
      </c>
      <c r="K82" s="538">
        <f t="shared" si="11"/>
        <v>145926</v>
      </c>
    </row>
    <row r="83" spans="1:12" ht="14.25" hidden="1" thickTop="1" thickBot="1" x14ac:dyDescent="0.25">
      <c r="A83" s="539" t="s">
        <v>362</v>
      </c>
      <c r="B83" s="464"/>
      <c r="C83" s="540">
        <f>C82/C81</f>
        <v>-3.1754770967658406E-2</v>
      </c>
      <c r="D83" s="540">
        <f t="shared" ref="D83:K83" si="12">D82/D81</f>
        <v>0.14968629655907933</v>
      </c>
      <c r="E83" s="540">
        <f t="shared" si="12"/>
        <v>-0.17532957352718559</v>
      </c>
      <c r="F83" s="540">
        <f t="shared" si="12"/>
        <v>0.28760205719609461</v>
      </c>
      <c r="G83" s="540">
        <f t="shared" si="12"/>
        <v>0.16412491433914653</v>
      </c>
      <c r="H83" s="540">
        <f t="shared" si="12"/>
        <v>-13.903894434882387</v>
      </c>
      <c r="I83" s="540">
        <f t="shared" si="12"/>
        <v>-0.11728811075457046</v>
      </c>
      <c r="J83" s="540">
        <f t="shared" si="12"/>
        <v>5.5864104463425344E-2</v>
      </c>
      <c r="K83" s="540">
        <f t="shared" si="12"/>
        <v>0.32667342731076354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sqref="A1:F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9657004</v>
      </c>
      <c r="D5" s="481">
        <v>1500284</v>
      </c>
      <c r="E5" s="466">
        <v>1403565</v>
      </c>
      <c r="F5" s="548">
        <v>1616065</v>
      </c>
      <c r="G5" s="466">
        <v>334696</v>
      </c>
      <c r="H5" s="466">
        <v>0</v>
      </c>
      <c r="I5" s="466">
        <v>136350</v>
      </c>
      <c r="J5" s="467">
        <v>186316</v>
      </c>
      <c r="K5" s="466">
        <v>151465</v>
      </c>
    </row>
    <row r="6" spans="1:12" ht="15" x14ac:dyDescent="0.2">
      <c r="A6" s="463" t="s">
        <v>1761</v>
      </c>
      <c r="B6" s="470">
        <v>1130</v>
      </c>
      <c r="C6" s="466">
        <v>0</v>
      </c>
      <c r="D6" s="466">
        <v>66122</v>
      </c>
      <c r="E6" s="475"/>
      <c r="F6" s="475"/>
      <c r="G6" s="468"/>
      <c r="H6" s="468"/>
      <c r="I6" s="468"/>
      <c r="J6" s="468"/>
      <c r="K6" s="468"/>
    </row>
    <row r="7" spans="1:12" x14ac:dyDescent="0.2">
      <c r="A7" s="463" t="s">
        <v>112</v>
      </c>
      <c r="B7" s="549">
        <v>1140</v>
      </c>
      <c r="C7" s="466">
        <v>1091090</v>
      </c>
      <c r="D7" s="466">
        <v>0</v>
      </c>
      <c r="E7" s="468"/>
      <c r="F7" s="467">
        <v>0</v>
      </c>
      <c r="G7" s="467">
        <v>0</v>
      </c>
      <c r="H7" s="467">
        <v>0</v>
      </c>
      <c r="I7" s="468"/>
      <c r="J7" s="468"/>
      <c r="K7" s="468"/>
    </row>
    <row r="8" spans="1:12" x14ac:dyDescent="0.2">
      <c r="A8" s="463" t="s">
        <v>433</v>
      </c>
      <c r="B8" s="470">
        <v>1150</v>
      </c>
      <c r="C8" s="475"/>
      <c r="D8" s="475"/>
      <c r="E8" s="477"/>
      <c r="F8" s="477"/>
      <c r="G8" s="481">
        <v>347875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10748094</v>
      </c>
      <c r="D12" s="1729">
        <f t="shared" si="0"/>
        <v>1566406</v>
      </c>
      <c r="E12" s="1729">
        <f t="shared" si="0"/>
        <v>1403565</v>
      </c>
      <c r="F12" s="1729">
        <f t="shared" si="0"/>
        <v>1616065</v>
      </c>
      <c r="G12" s="1729">
        <f t="shared" si="0"/>
        <v>682571</v>
      </c>
      <c r="H12" s="1729">
        <f t="shared" si="0"/>
        <v>0</v>
      </c>
      <c r="I12" s="1729">
        <f t="shared" si="0"/>
        <v>136350</v>
      </c>
      <c r="J12" s="1729">
        <f t="shared" si="0"/>
        <v>186316</v>
      </c>
      <c r="K12" s="1710">
        <f t="shared" si="0"/>
        <v>151465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344223</v>
      </c>
      <c r="D16" s="466">
        <v>0</v>
      </c>
      <c r="E16" s="466">
        <v>0</v>
      </c>
      <c r="F16" s="466">
        <v>0</v>
      </c>
      <c r="G16" s="466">
        <v>72551</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344223</v>
      </c>
      <c r="D18" s="1732">
        <f t="shared" ref="D18:K18" si="1">SUM(D14:D17)</f>
        <v>0</v>
      </c>
      <c r="E18" s="1732">
        <f t="shared" si="1"/>
        <v>0</v>
      </c>
      <c r="F18" s="1732">
        <f t="shared" si="1"/>
        <v>0</v>
      </c>
      <c r="G18" s="1732">
        <f t="shared" si="1"/>
        <v>72551</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49805</v>
      </c>
      <c r="D20" s="468"/>
      <c r="E20" s="468"/>
      <c r="F20" s="468"/>
      <c r="G20" s="468"/>
      <c r="H20" s="468"/>
      <c r="I20" s="468"/>
      <c r="J20" s="468"/>
      <c r="K20" s="468"/>
    </row>
    <row r="21" spans="1:11" ht="12.75" customHeight="1" x14ac:dyDescent="0.2">
      <c r="A21" s="463" t="s">
        <v>887</v>
      </c>
      <c r="B21" s="470">
        <v>1312</v>
      </c>
      <c r="C21" s="551">
        <v>193445</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10420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29750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283420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51362</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51362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345230</v>
      </c>
      <c r="D65" s="466">
        <v>74191</v>
      </c>
      <c r="E65" s="466">
        <v>39956</v>
      </c>
      <c r="F65" s="467">
        <v>42624</v>
      </c>
      <c r="G65" s="466">
        <v>34853</v>
      </c>
      <c r="H65" s="466">
        <v>12315</v>
      </c>
      <c r="I65" s="466">
        <v>127920</v>
      </c>
      <c r="J65" s="467">
        <v>26383</v>
      </c>
      <c r="K65" s="466">
        <v>6510</v>
      </c>
    </row>
    <row r="66" spans="1:11" ht="12.75" customHeight="1" x14ac:dyDescent="0.2">
      <c r="A66" s="463" t="s">
        <v>700</v>
      </c>
      <c r="B66" s="470">
        <v>1520</v>
      </c>
      <c r="C66" s="466">
        <v>-288674</v>
      </c>
      <c r="D66" s="466">
        <v>-89063</v>
      </c>
      <c r="E66" s="466">
        <v>-32387</v>
      </c>
      <c r="F66" s="466">
        <v>-28271</v>
      </c>
      <c r="G66" s="466">
        <v>-111563</v>
      </c>
      <c r="H66" s="466">
        <v>28577</v>
      </c>
      <c r="I66" s="466">
        <v>-120548</v>
      </c>
      <c r="J66" s="467">
        <v>-28784</v>
      </c>
      <c r="K66" s="466">
        <v>-12049</v>
      </c>
    </row>
    <row r="67" spans="1:11" ht="12.75" customHeight="1" thickBot="1" x14ac:dyDescent="0.25">
      <c r="A67" s="1730" t="s">
        <v>507</v>
      </c>
      <c r="B67" s="1731"/>
      <c r="C67" s="1710">
        <f>SUM(C65:C66)</f>
        <v>56556</v>
      </c>
      <c r="D67" s="1710">
        <f t="shared" ref="D67:K67" si="2">SUM(D65:D66)</f>
        <v>-14872</v>
      </c>
      <c r="E67" s="1710">
        <f t="shared" si="2"/>
        <v>7569</v>
      </c>
      <c r="F67" s="1710">
        <f t="shared" si="2"/>
        <v>14353</v>
      </c>
      <c r="G67" s="1710">
        <f t="shared" si="2"/>
        <v>-76710</v>
      </c>
      <c r="H67" s="1710">
        <f t="shared" si="2"/>
        <v>40892</v>
      </c>
      <c r="I67" s="1710">
        <f t="shared" si="2"/>
        <v>7372</v>
      </c>
      <c r="J67" s="1710">
        <f t="shared" si="2"/>
        <v>-2401</v>
      </c>
      <c r="K67" s="1710">
        <f t="shared" si="2"/>
        <v>-5539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166612</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56681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9914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233207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100</v>
      </c>
      <c r="D77" s="466">
        <v>0</v>
      </c>
      <c r="E77" s="468"/>
      <c r="F77" s="468"/>
      <c r="G77" s="468"/>
      <c r="H77" s="468"/>
      <c r="I77" s="468"/>
      <c r="J77" s="468"/>
      <c r="K77" s="468"/>
    </row>
    <row r="78" spans="1:11" ht="12.75" customHeight="1" x14ac:dyDescent="0.2">
      <c r="A78" s="463" t="s">
        <v>78</v>
      </c>
      <c r="B78" s="470">
        <v>1719</v>
      </c>
      <c r="C78" s="551">
        <v>117165</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8916</v>
      </c>
      <c r="D81" s="466">
        <v>0</v>
      </c>
      <c r="E81" s="468"/>
      <c r="F81" s="468"/>
      <c r="G81" s="468"/>
      <c r="H81" s="468"/>
      <c r="I81" s="468"/>
      <c r="J81" s="468"/>
      <c r="K81" s="468"/>
    </row>
    <row r="82" spans="1:11" ht="12.75" customHeight="1" thickBot="1" x14ac:dyDescent="0.25">
      <c r="A82" s="1730" t="s">
        <v>259</v>
      </c>
      <c r="B82" s="1731"/>
      <c r="C82" s="1729">
        <f>SUM(C77:C81)</f>
        <v>126181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121680</v>
      </c>
      <c r="D84" s="468"/>
      <c r="E84" s="468"/>
      <c r="F84" s="468"/>
      <c r="G84" s="468"/>
      <c r="H84" s="468"/>
      <c r="I84" s="468"/>
      <c r="J84" s="468"/>
      <c r="K84" s="468"/>
    </row>
    <row r="85" spans="1:11" ht="12.75" customHeight="1" x14ac:dyDescent="0.2">
      <c r="A85" s="463" t="s">
        <v>574</v>
      </c>
      <c r="B85" s="470">
        <v>1812</v>
      </c>
      <c r="C85" s="551">
        <v>17593</v>
      </c>
      <c r="D85" s="468"/>
      <c r="E85" s="468"/>
      <c r="F85" s="468"/>
      <c r="G85" s="468"/>
      <c r="H85" s="468"/>
      <c r="I85" s="468"/>
      <c r="J85" s="468"/>
      <c r="K85" s="468"/>
    </row>
    <row r="86" spans="1:11" ht="12.75" customHeight="1" x14ac:dyDescent="0.2">
      <c r="A86" s="463" t="s">
        <v>1056</v>
      </c>
      <c r="B86" s="470">
        <v>1813</v>
      </c>
      <c r="C86" s="551">
        <v>1200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140473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131819</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17213</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1165</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10933</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29311</v>
      </c>
      <c r="D108" s="1729">
        <f t="shared" ref="D108:K108" si="3">SUM(D95:D107)</f>
        <v>131819</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11961465</v>
      </c>
      <c r="D109" s="1737">
        <f t="shared" si="4"/>
        <v>1683353</v>
      </c>
      <c r="E109" s="1737">
        <f t="shared" si="4"/>
        <v>1411134</v>
      </c>
      <c r="F109" s="1737">
        <f t="shared" si="4"/>
        <v>1681780</v>
      </c>
      <c r="G109" s="1737">
        <f t="shared" si="4"/>
        <v>678412</v>
      </c>
      <c r="H109" s="1737">
        <f t="shared" si="4"/>
        <v>40892</v>
      </c>
      <c r="I109" s="1737">
        <f t="shared" si="4"/>
        <v>143722</v>
      </c>
      <c r="J109" s="1737">
        <f t="shared" si="4"/>
        <v>183915</v>
      </c>
      <c r="K109" s="1724">
        <f t="shared" si="4"/>
        <v>145926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1246899</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1246899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40536</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40536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17699</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17699</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1372</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344485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344485</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63894</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3" t="s">
        <v>418</v>
      </c>
      <c r="B172" s="2164"/>
      <c r="C172" s="1744">
        <f t="shared" ref="C172:K172" si="6">SUM(C131,C140,C144,C145:C149,C154,C155:C170,C171)</f>
        <v>125001</v>
      </c>
      <c r="D172" s="1744">
        <f t="shared" si="6"/>
        <v>0</v>
      </c>
      <c r="E172" s="1744">
        <f t="shared" si="6"/>
        <v>0</v>
      </c>
      <c r="F172" s="1744">
        <f t="shared" si="6"/>
        <v>344485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1371900</v>
      </c>
      <c r="D173" s="1737">
        <f>SUM(D121,D172)</f>
        <v>0</v>
      </c>
      <c r="E173" s="1737">
        <f>SUM(E121,E172)</f>
        <v>0</v>
      </c>
      <c r="F173" s="1737">
        <f t="shared" ref="F173:K173" si="7">SUM(F121,F172)</f>
        <v>344485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158775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158775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122900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122900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840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840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102589</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102589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15477</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24468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4000</v>
      </c>
      <c r="D272" s="576">
        <v>7409</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429049</v>
      </c>
      <c r="D273" s="1737">
        <f t="shared" si="10"/>
        <v>7409</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429049</v>
      </c>
      <c r="D274" s="1737">
        <f>SUM(D178,D184,D273)</f>
        <v>7409</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13762414</v>
      </c>
      <c r="D275" s="1737">
        <f t="shared" si="12"/>
        <v>1690762</v>
      </c>
      <c r="E275" s="1737">
        <f t="shared" si="12"/>
        <v>1411134</v>
      </c>
      <c r="F275" s="1737">
        <f t="shared" si="12"/>
        <v>2026265</v>
      </c>
      <c r="G275" s="1737">
        <f t="shared" si="12"/>
        <v>678412</v>
      </c>
      <c r="H275" s="1737">
        <f t="shared" si="12"/>
        <v>40892</v>
      </c>
      <c r="I275" s="1737">
        <f t="shared" si="12"/>
        <v>143722</v>
      </c>
      <c r="J275" s="1737">
        <f t="shared" si="12"/>
        <v>183915</v>
      </c>
      <c r="K275" s="1724">
        <f t="shared" si="12"/>
        <v>145926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2"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4515636</v>
      </c>
      <c r="D5" s="466">
        <v>668268</v>
      </c>
      <c r="E5" s="466">
        <v>80095</v>
      </c>
      <c r="F5" s="466">
        <v>254703</v>
      </c>
      <c r="G5" s="466">
        <v>39352</v>
      </c>
      <c r="H5" s="466">
        <v>4406</v>
      </c>
      <c r="I5" s="467">
        <v>355905</v>
      </c>
      <c r="J5" s="467">
        <v>0</v>
      </c>
      <c r="K5" s="1693">
        <f>SUM(C5:J5)</f>
        <v>5918365</v>
      </c>
      <c r="L5" s="466">
        <v>6195833</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91784</v>
      </c>
      <c r="D7" s="467">
        <v>38941</v>
      </c>
      <c r="E7" s="467">
        <v>0</v>
      </c>
      <c r="F7" s="467">
        <v>3451</v>
      </c>
      <c r="G7" s="467">
        <v>0</v>
      </c>
      <c r="H7" s="467">
        <v>0</v>
      </c>
      <c r="I7" s="467">
        <v>0</v>
      </c>
      <c r="J7" s="467">
        <v>0</v>
      </c>
      <c r="K7" s="1693">
        <f t="shared" ref="K7:K32" si="0">SUM(C7:J7)</f>
        <v>134176</v>
      </c>
      <c r="L7" s="466">
        <v>121463</v>
      </c>
    </row>
    <row r="8" spans="1:14" x14ac:dyDescent="0.2">
      <c r="A8" s="1526" t="s">
        <v>166</v>
      </c>
      <c r="B8" s="615">
        <v>1200</v>
      </c>
      <c r="C8" s="466">
        <v>971467</v>
      </c>
      <c r="D8" s="466">
        <v>181399</v>
      </c>
      <c r="E8" s="466">
        <v>525</v>
      </c>
      <c r="F8" s="466">
        <v>4701</v>
      </c>
      <c r="G8" s="466">
        <v>0</v>
      </c>
      <c r="H8" s="466">
        <v>0</v>
      </c>
      <c r="I8" s="467">
        <v>3725</v>
      </c>
      <c r="J8" s="467">
        <v>0</v>
      </c>
      <c r="K8" s="1693">
        <f t="shared" si="0"/>
        <v>1161817</v>
      </c>
      <c r="L8" s="466">
        <v>1455159</v>
      </c>
    </row>
    <row r="9" spans="1:14" x14ac:dyDescent="0.2">
      <c r="A9" s="1526" t="s">
        <v>745</v>
      </c>
      <c r="B9" s="615" t="s">
        <v>1025</v>
      </c>
      <c r="C9" s="467">
        <v>58195</v>
      </c>
      <c r="D9" s="467">
        <v>19905</v>
      </c>
      <c r="E9" s="467">
        <v>0</v>
      </c>
      <c r="F9" s="467">
        <v>0</v>
      </c>
      <c r="G9" s="467">
        <v>0</v>
      </c>
      <c r="H9" s="467">
        <v>0</v>
      </c>
      <c r="I9" s="467">
        <v>0</v>
      </c>
      <c r="J9" s="467">
        <v>0</v>
      </c>
      <c r="K9" s="1693">
        <f t="shared" si="0"/>
        <v>78100</v>
      </c>
      <c r="L9" s="466">
        <v>101941</v>
      </c>
    </row>
    <row r="10" spans="1:14" x14ac:dyDescent="0.2">
      <c r="A10" s="1526" t="s">
        <v>746</v>
      </c>
      <c r="B10" s="615">
        <v>1250</v>
      </c>
      <c r="C10" s="466">
        <v>202760</v>
      </c>
      <c r="D10" s="466">
        <v>61321</v>
      </c>
      <c r="E10" s="466">
        <v>0</v>
      </c>
      <c r="F10" s="466">
        <v>0</v>
      </c>
      <c r="G10" s="466">
        <v>0</v>
      </c>
      <c r="H10" s="466">
        <v>0</v>
      </c>
      <c r="I10" s="467">
        <v>0</v>
      </c>
      <c r="J10" s="467">
        <v>0</v>
      </c>
      <c r="K10" s="1693">
        <f t="shared" si="0"/>
        <v>264081</v>
      </c>
      <c r="L10" s="466">
        <v>276190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37803</v>
      </c>
      <c r="D14" s="466">
        <v>481</v>
      </c>
      <c r="E14" s="466">
        <v>16240</v>
      </c>
      <c r="F14" s="466">
        <v>0</v>
      </c>
      <c r="G14" s="466">
        <v>0</v>
      </c>
      <c r="H14" s="466">
        <v>0</v>
      </c>
      <c r="I14" s="467">
        <v>0</v>
      </c>
      <c r="J14" s="467">
        <v>0</v>
      </c>
      <c r="K14" s="1693">
        <f t="shared" si="0"/>
        <v>54524</v>
      </c>
      <c r="L14" s="466">
        <v>84486</v>
      </c>
    </row>
    <row r="15" spans="1:14" x14ac:dyDescent="0.2">
      <c r="A15" s="1526" t="s">
        <v>1021</v>
      </c>
      <c r="B15" s="615">
        <v>1600</v>
      </c>
      <c r="C15" s="466">
        <v>19998</v>
      </c>
      <c r="D15" s="466">
        <v>1160</v>
      </c>
      <c r="E15" s="466">
        <v>0</v>
      </c>
      <c r="F15" s="466">
        <v>135</v>
      </c>
      <c r="G15" s="466">
        <v>0</v>
      </c>
      <c r="H15" s="466">
        <v>0</v>
      </c>
      <c r="I15" s="467">
        <v>0</v>
      </c>
      <c r="J15" s="467">
        <v>0</v>
      </c>
      <c r="K15" s="1693">
        <f t="shared" si="0"/>
        <v>21293</v>
      </c>
      <c r="L15" s="466">
        <v>34000</v>
      </c>
    </row>
    <row r="16" spans="1:14" x14ac:dyDescent="0.2">
      <c r="A16" s="1526" t="s">
        <v>1044</v>
      </c>
      <c r="B16" s="615" t="s">
        <v>444</v>
      </c>
      <c r="C16" s="466">
        <v>124085</v>
      </c>
      <c r="D16" s="466">
        <v>13275</v>
      </c>
      <c r="E16" s="466">
        <v>0</v>
      </c>
      <c r="F16" s="466">
        <v>1768</v>
      </c>
      <c r="G16" s="466">
        <v>0</v>
      </c>
      <c r="H16" s="466">
        <v>0</v>
      </c>
      <c r="I16" s="467">
        <v>0</v>
      </c>
      <c r="J16" s="467">
        <v>0</v>
      </c>
      <c r="K16" s="1693">
        <f t="shared" si="0"/>
        <v>139128</v>
      </c>
      <c r="L16" s="466">
        <v>143502</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503678</v>
      </c>
      <c r="D18" s="466">
        <v>72304</v>
      </c>
      <c r="E18" s="466">
        <v>2146</v>
      </c>
      <c r="F18" s="466">
        <v>5756</v>
      </c>
      <c r="G18" s="466">
        <v>0</v>
      </c>
      <c r="H18" s="466">
        <v>0</v>
      </c>
      <c r="I18" s="467">
        <v>0</v>
      </c>
      <c r="J18" s="467">
        <v>0</v>
      </c>
      <c r="K18" s="1693">
        <f t="shared" si="0"/>
        <v>583884</v>
      </c>
      <c r="L18" s="466">
        <v>485344</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6525406</v>
      </c>
      <c r="D33" s="1692">
        <f t="shared" ref="D33:L33" si="1">SUM(D5:D32)</f>
        <v>1057054</v>
      </c>
      <c r="E33" s="1692">
        <f t="shared" si="1"/>
        <v>99006</v>
      </c>
      <c r="F33" s="1692">
        <f t="shared" si="1"/>
        <v>270514</v>
      </c>
      <c r="G33" s="1692">
        <f t="shared" si="1"/>
        <v>39352</v>
      </c>
      <c r="H33" s="1692">
        <f t="shared" si="1"/>
        <v>4406</v>
      </c>
      <c r="I33" s="1692">
        <f t="shared" si="1"/>
        <v>359630</v>
      </c>
      <c r="J33" s="1692">
        <f t="shared" si="1"/>
        <v>0</v>
      </c>
      <c r="K33" s="1692">
        <f t="shared" si="1"/>
        <v>8355368</v>
      </c>
      <c r="L33" s="1692">
        <f t="shared" si="1"/>
        <v>8897918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251136</v>
      </c>
      <c r="D36" s="481">
        <v>36510</v>
      </c>
      <c r="E36" s="481">
        <v>0</v>
      </c>
      <c r="F36" s="481">
        <v>6123</v>
      </c>
      <c r="G36" s="481">
        <v>0</v>
      </c>
      <c r="H36" s="481">
        <v>0</v>
      </c>
      <c r="I36" s="467">
        <v>0</v>
      </c>
      <c r="J36" s="467">
        <v>0</v>
      </c>
      <c r="K36" s="1693">
        <f t="shared" ref="K36:K41" si="2">SUM(C36:J36)</f>
        <v>293769</v>
      </c>
      <c r="L36" s="466">
        <v>290350</v>
      </c>
    </row>
    <row r="37" spans="1:14" x14ac:dyDescent="0.2">
      <c r="A37" s="1526" t="s">
        <v>1151</v>
      </c>
      <c r="B37" s="615">
        <v>2120</v>
      </c>
      <c r="C37" s="466">
        <v>150324</v>
      </c>
      <c r="D37" s="466">
        <v>52048</v>
      </c>
      <c r="E37" s="466">
        <v>0</v>
      </c>
      <c r="F37" s="466">
        <v>0</v>
      </c>
      <c r="G37" s="466">
        <v>0</v>
      </c>
      <c r="H37" s="466">
        <v>0</v>
      </c>
      <c r="I37" s="467">
        <v>0</v>
      </c>
      <c r="J37" s="467">
        <v>0</v>
      </c>
      <c r="K37" s="1693">
        <f t="shared" si="2"/>
        <v>202372</v>
      </c>
      <c r="L37" s="466">
        <v>202900</v>
      </c>
    </row>
    <row r="38" spans="1:14" x14ac:dyDescent="0.2">
      <c r="A38" s="1526" t="s">
        <v>207</v>
      </c>
      <c r="B38" s="615">
        <v>2130</v>
      </c>
      <c r="C38" s="466">
        <v>76083</v>
      </c>
      <c r="D38" s="466">
        <v>16200</v>
      </c>
      <c r="E38" s="466">
        <v>36708</v>
      </c>
      <c r="F38" s="466">
        <v>1822</v>
      </c>
      <c r="G38" s="466">
        <v>0</v>
      </c>
      <c r="H38" s="466">
        <v>0</v>
      </c>
      <c r="I38" s="467">
        <v>0</v>
      </c>
      <c r="J38" s="467">
        <v>0</v>
      </c>
      <c r="K38" s="1693">
        <f t="shared" si="2"/>
        <v>130813</v>
      </c>
      <c r="L38" s="466">
        <v>137637</v>
      </c>
    </row>
    <row r="39" spans="1:14" x14ac:dyDescent="0.2">
      <c r="A39" s="1526" t="s">
        <v>208</v>
      </c>
      <c r="B39" s="615">
        <v>2140</v>
      </c>
      <c r="C39" s="466">
        <v>155642</v>
      </c>
      <c r="D39" s="466">
        <v>22761</v>
      </c>
      <c r="E39" s="466">
        <v>1628</v>
      </c>
      <c r="F39" s="466">
        <v>1415</v>
      </c>
      <c r="G39" s="466">
        <v>0</v>
      </c>
      <c r="H39" s="466">
        <v>670</v>
      </c>
      <c r="I39" s="467">
        <v>0</v>
      </c>
      <c r="J39" s="467">
        <v>0</v>
      </c>
      <c r="K39" s="1693">
        <f t="shared" si="2"/>
        <v>182116</v>
      </c>
      <c r="L39" s="466">
        <v>183656</v>
      </c>
    </row>
    <row r="40" spans="1:14" x14ac:dyDescent="0.2">
      <c r="A40" s="1526" t="s">
        <v>209</v>
      </c>
      <c r="B40" s="615">
        <v>2150</v>
      </c>
      <c r="C40" s="466">
        <v>165766</v>
      </c>
      <c r="D40" s="466">
        <v>21303</v>
      </c>
      <c r="E40" s="466">
        <v>0</v>
      </c>
      <c r="F40" s="466">
        <v>1974</v>
      </c>
      <c r="G40" s="466">
        <v>0</v>
      </c>
      <c r="H40" s="466">
        <v>0</v>
      </c>
      <c r="I40" s="467">
        <v>0</v>
      </c>
      <c r="J40" s="467">
        <v>0</v>
      </c>
      <c r="K40" s="1693">
        <f t="shared" si="2"/>
        <v>189043</v>
      </c>
      <c r="L40" s="466">
        <v>192034</v>
      </c>
    </row>
    <row r="41" spans="1:14" x14ac:dyDescent="0.2">
      <c r="A41" s="1526" t="s">
        <v>1768</v>
      </c>
      <c r="B41" s="615">
        <v>2190</v>
      </c>
      <c r="C41" s="466">
        <v>83109</v>
      </c>
      <c r="D41" s="466">
        <v>0</v>
      </c>
      <c r="E41" s="466">
        <v>170</v>
      </c>
      <c r="F41" s="466">
        <v>263</v>
      </c>
      <c r="G41" s="466">
        <v>0</v>
      </c>
      <c r="H41" s="466">
        <v>0</v>
      </c>
      <c r="I41" s="467">
        <v>0</v>
      </c>
      <c r="J41" s="467">
        <v>0</v>
      </c>
      <c r="K41" s="1693">
        <f t="shared" si="2"/>
        <v>83542</v>
      </c>
      <c r="L41" s="466">
        <v>86500</v>
      </c>
    </row>
    <row r="42" spans="1:14" ht="12.75" customHeight="1" thickBot="1" x14ac:dyDescent="0.25">
      <c r="A42" s="1690" t="s">
        <v>581</v>
      </c>
      <c r="B42" s="1691" t="s">
        <v>740</v>
      </c>
      <c r="C42" s="1692">
        <f>SUM(C36:C41)</f>
        <v>882060</v>
      </c>
      <c r="D42" s="1692">
        <f t="shared" ref="D42:L42" si="3">SUM(D36:D41)</f>
        <v>148822</v>
      </c>
      <c r="E42" s="1692">
        <f t="shared" si="3"/>
        <v>38506</v>
      </c>
      <c r="F42" s="1692">
        <f t="shared" si="3"/>
        <v>11597</v>
      </c>
      <c r="G42" s="1692">
        <f t="shared" si="3"/>
        <v>0</v>
      </c>
      <c r="H42" s="1692">
        <f t="shared" si="3"/>
        <v>670</v>
      </c>
      <c r="I42" s="1692">
        <f t="shared" si="3"/>
        <v>0</v>
      </c>
      <c r="J42" s="1692">
        <f t="shared" si="3"/>
        <v>0</v>
      </c>
      <c r="K42" s="1692">
        <f t="shared" si="3"/>
        <v>1081655</v>
      </c>
      <c r="L42" s="1692">
        <f t="shared" si="3"/>
        <v>1093077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170688</v>
      </c>
      <c r="D44" s="481">
        <v>26517</v>
      </c>
      <c r="E44" s="481">
        <v>37846</v>
      </c>
      <c r="F44" s="481">
        <v>1126</v>
      </c>
      <c r="G44" s="481">
        <v>0</v>
      </c>
      <c r="H44" s="481">
        <v>0</v>
      </c>
      <c r="I44" s="467">
        <v>0</v>
      </c>
      <c r="J44" s="467">
        <v>0</v>
      </c>
      <c r="K44" s="1694">
        <f>SUM(C44:J44)</f>
        <v>236177</v>
      </c>
      <c r="L44" s="481">
        <v>276962</v>
      </c>
    </row>
    <row r="45" spans="1:14" x14ac:dyDescent="0.2">
      <c r="A45" s="1526" t="s">
        <v>869</v>
      </c>
      <c r="B45" s="615">
        <v>2220</v>
      </c>
      <c r="C45" s="466">
        <v>469809</v>
      </c>
      <c r="D45" s="466">
        <v>76447</v>
      </c>
      <c r="E45" s="466">
        <v>0</v>
      </c>
      <c r="F45" s="466">
        <v>9848</v>
      </c>
      <c r="G45" s="466">
        <v>0</v>
      </c>
      <c r="H45" s="466">
        <v>0</v>
      </c>
      <c r="I45" s="467">
        <v>0</v>
      </c>
      <c r="J45" s="467">
        <v>0</v>
      </c>
      <c r="K45" s="1694">
        <f>SUM(C45:J45)</f>
        <v>556104</v>
      </c>
      <c r="L45" s="466">
        <v>602948</v>
      </c>
    </row>
    <row r="46" spans="1:14" x14ac:dyDescent="0.2">
      <c r="A46" s="1526" t="s">
        <v>870</v>
      </c>
      <c r="B46" s="615">
        <v>2230</v>
      </c>
      <c r="C46" s="466">
        <v>35667</v>
      </c>
      <c r="D46" s="466">
        <v>535</v>
      </c>
      <c r="E46" s="466">
        <v>2974</v>
      </c>
      <c r="F46" s="466">
        <v>15344</v>
      </c>
      <c r="G46" s="466">
        <v>0</v>
      </c>
      <c r="H46" s="466">
        <v>0</v>
      </c>
      <c r="I46" s="467">
        <v>0</v>
      </c>
      <c r="J46" s="467">
        <v>0</v>
      </c>
      <c r="K46" s="1694">
        <f>SUM(C46:J46)</f>
        <v>54520</v>
      </c>
      <c r="L46" s="466">
        <v>60378</v>
      </c>
    </row>
    <row r="47" spans="1:14" ht="12.75" customHeight="1" thickBot="1" x14ac:dyDescent="0.25">
      <c r="A47" s="1690" t="s">
        <v>582</v>
      </c>
      <c r="B47" s="1691" t="s">
        <v>32</v>
      </c>
      <c r="C47" s="1692">
        <f>SUM(C44:C46)</f>
        <v>676164</v>
      </c>
      <c r="D47" s="1692">
        <f t="shared" ref="D47:K47" si="4">SUM(D44:D46)</f>
        <v>103499</v>
      </c>
      <c r="E47" s="1692">
        <f t="shared" si="4"/>
        <v>40820</v>
      </c>
      <c r="F47" s="1692">
        <f t="shared" si="4"/>
        <v>26318</v>
      </c>
      <c r="G47" s="1692">
        <f t="shared" si="4"/>
        <v>0</v>
      </c>
      <c r="H47" s="1692">
        <f t="shared" si="4"/>
        <v>0</v>
      </c>
      <c r="I47" s="1692">
        <f t="shared" si="4"/>
        <v>0</v>
      </c>
      <c r="J47" s="1692">
        <f t="shared" si="4"/>
        <v>0</v>
      </c>
      <c r="K47" s="1692">
        <f t="shared" si="4"/>
        <v>846801</v>
      </c>
      <c r="L47" s="1692">
        <f>SUM(L44:L46)</f>
        <v>940288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13070</v>
      </c>
      <c r="E49" s="481">
        <v>74674</v>
      </c>
      <c r="F49" s="481">
        <v>6840</v>
      </c>
      <c r="G49" s="481">
        <v>0</v>
      </c>
      <c r="H49" s="481">
        <v>14901</v>
      </c>
      <c r="I49" s="467">
        <v>0</v>
      </c>
      <c r="J49" s="467">
        <v>0</v>
      </c>
      <c r="K49" s="1694">
        <f>SUM(C49:J49)</f>
        <v>109485</v>
      </c>
      <c r="L49" s="481">
        <v>194500</v>
      </c>
    </row>
    <row r="50" spans="1:14" x14ac:dyDescent="0.2">
      <c r="A50" s="1526" t="s">
        <v>872</v>
      </c>
      <c r="B50" s="615">
        <v>2320</v>
      </c>
      <c r="C50" s="466">
        <v>334359</v>
      </c>
      <c r="D50" s="466">
        <v>77338</v>
      </c>
      <c r="E50" s="466">
        <v>9063</v>
      </c>
      <c r="F50" s="466">
        <v>2125</v>
      </c>
      <c r="G50" s="466">
        <v>0</v>
      </c>
      <c r="H50" s="466">
        <v>6827</v>
      </c>
      <c r="I50" s="467">
        <v>0</v>
      </c>
      <c r="J50" s="467">
        <v>0</v>
      </c>
      <c r="K50" s="1694">
        <f>SUM(C50:J50)</f>
        <v>429712</v>
      </c>
      <c r="L50" s="466">
        <v>433555</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334359</v>
      </c>
      <c r="D53" s="1692">
        <f t="shared" ref="D53:L53" si="5">SUM(D49:D52)</f>
        <v>90408</v>
      </c>
      <c r="E53" s="1692">
        <f t="shared" si="5"/>
        <v>83737</v>
      </c>
      <c r="F53" s="1692">
        <f t="shared" si="5"/>
        <v>8965</v>
      </c>
      <c r="G53" s="1692">
        <f t="shared" si="5"/>
        <v>0</v>
      </c>
      <c r="H53" s="1692">
        <f t="shared" si="5"/>
        <v>21728</v>
      </c>
      <c r="I53" s="1692">
        <f t="shared" si="5"/>
        <v>0</v>
      </c>
      <c r="J53" s="1692">
        <f t="shared" si="5"/>
        <v>0</v>
      </c>
      <c r="K53" s="1692">
        <f t="shared" si="5"/>
        <v>539197</v>
      </c>
      <c r="L53" s="1692">
        <f t="shared" si="5"/>
        <v>628055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960098</v>
      </c>
      <c r="D55" s="481">
        <v>301580</v>
      </c>
      <c r="E55" s="481">
        <v>21633</v>
      </c>
      <c r="F55" s="481">
        <v>1521</v>
      </c>
      <c r="G55" s="481">
        <v>0</v>
      </c>
      <c r="H55" s="481">
        <v>1678</v>
      </c>
      <c r="I55" s="467">
        <v>184</v>
      </c>
      <c r="J55" s="467">
        <v>0</v>
      </c>
      <c r="K55" s="1694">
        <f>SUM(C55:J55)</f>
        <v>1286694</v>
      </c>
      <c r="L55" s="481">
        <v>1404496</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960098</v>
      </c>
      <c r="D57" s="1696">
        <f t="shared" ref="D57:K57" si="6">SUM(D55:D56)</f>
        <v>301580</v>
      </c>
      <c r="E57" s="1696">
        <f t="shared" si="6"/>
        <v>21633</v>
      </c>
      <c r="F57" s="1696">
        <f t="shared" si="6"/>
        <v>1521</v>
      </c>
      <c r="G57" s="1696">
        <f t="shared" si="6"/>
        <v>0</v>
      </c>
      <c r="H57" s="1696">
        <f t="shared" si="6"/>
        <v>1678</v>
      </c>
      <c r="I57" s="1696">
        <f t="shared" si="6"/>
        <v>184</v>
      </c>
      <c r="J57" s="1696">
        <f t="shared" si="6"/>
        <v>0</v>
      </c>
      <c r="K57" s="1696">
        <f t="shared" si="6"/>
        <v>1286694</v>
      </c>
      <c r="L57" s="1692">
        <f>SUM(L55:L56)</f>
        <v>1404496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135063</v>
      </c>
      <c r="D59" s="481">
        <v>29350</v>
      </c>
      <c r="E59" s="481">
        <v>0</v>
      </c>
      <c r="F59" s="481">
        <v>0</v>
      </c>
      <c r="G59" s="481">
        <v>0</v>
      </c>
      <c r="H59" s="481">
        <v>0</v>
      </c>
      <c r="I59" s="467">
        <v>0</v>
      </c>
      <c r="J59" s="467">
        <v>0</v>
      </c>
      <c r="K59" s="1694">
        <f t="shared" ref="K59:K64" si="7">SUM(C59:J59)</f>
        <v>164413</v>
      </c>
      <c r="L59" s="481">
        <v>133063</v>
      </c>
      <c r="M59" s="610"/>
      <c r="N59" s="610"/>
    </row>
    <row r="60" spans="1:14" s="343" customFormat="1" x14ac:dyDescent="0.2">
      <c r="A60" s="1526" t="s">
        <v>483</v>
      </c>
      <c r="B60" s="615">
        <v>2520</v>
      </c>
      <c r="C60" s="466">
        <v>208945</v>
      </c>
      <c r="D60" s="466">
        <v>39168</v>
      </c>
      <c r="E60" s="466">
        <v>19890</v>
      </c>
      <c r="F60" s="466">
        <v>4610</v>
      </c>
      <c r="G60" s="466">
        <v>0</v>
      </c>
      <c r="H60" s="466">
        <v>3423</v>
      </c>
      <c r="I60" s="467">
        <v>250</v>
      </c>
      <c r="J60" s="467">
        <v>0</v>
      </c>
      <c r="K60" s="1694">
        <f t="shared" si="7"/>
        <v>276286</v>
      </c>
      <c r="L60" s="466">
        <v>406356</v>
      </c>
      <c r="M60" s="610"/>
      <c r="N60" s="610"/>
    </row>
    <row r="61" spans="1:14" s="343" customFormat="1" x14ac:dyDescent="0.2">
      <c r="A61" s="1526" t="s">
        <v>206</v>
      </c>
      <c r="B61" s="615">
        <v>2540</v>
      </c>
      <c r="C61" s="466">
        <v>0</v>
      </c>
      <c r="D61" s="466">
        <v>0</v>
      </c>
      <c r="E61" s="466">
        <v>4654</v>
      </c>
      <c r="F61" s="466">
        <v>0</v>
      </c>
      <c r="G61" s="466">
        <v>0</v>
      </c>
      <c r="H61" s="466">
        <v>0</v>
      </c>
      <c r="I61" s="467">
        <v>0</v>
      </c>
      <c r="J61" s="467">
        <v>0</v>
      </c>
      <c r="K61" s="1694">
        <f t="shared" si="7"/>
        <v>4654</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335819</v>
      </c>
      <c r="F63" s="466">
        <v>378</v>
      </c>
      <c r="G63" s="466">
        <v>0</v>
      </c>
      <c r="H63" s="466">
        <v>0</v>
      </c>
      <c r="I63" s="467">
        <v>1324</v>
      </c>
      <c r="J63" s="467">
        <v>0</v>
      </c>
      <c r="K63" s="1694">
        <f t="shared" si="7"/>
        <v>337521</v>
      </c>
      <c r="L63" s="466">
        <v>345000</v>
      </c>
    </row>
    <row r="64" spans="1:14" s="610" customFormat="1" x14ac:dyDescent="0.2">
      <c r="A64" s="1531" t="s">
        <v>103</v>
      </c>
      <c r="B64" s="631">
        <v>2570</v>
      </c>
      <c r="C64" s="481">
        <v>0</v>
      </c>
      <c r="D64" s="481">
        <v>0</v>
      </c>
      <c r="E64" s="481">
        <v>66617</v>
      </c>
      <c r="F64" s="481">
        <v>17215</v>
      </c>
      <c r="G64" s="481">
        <v>0</v>
      </c>
      <c r="H64" s="481">
        <v>0</v>
      </c>
      <c r="I64" s="467">
        <v>0</v>
      </c>
      <c r="J64" s="467">
        <v>0</v>
      </c>
      <c r="K64" s="1694">
        <f t="shared" si="7"/>
        <v>83832</v>
      </c>
      <c r="L64" s="481">
        <v>92000</v>
      </c>
    </row>
    <row r="65" spans="1:14" s="343" customFormat="1" ht="12.75" customHeight="1" thickBot="1" x14ac:dyDescent="0.25">
      <c r="A65" s="1690" t="s">
        <v>743</v>
      </c>
      <c r="B65" s="1691" t="s">
        <v>35</v>
      </c>
      <c r="C65" s="1692">
        <f>SUM(C59:C64)</f>
        <v>344008</v>
      </c>
      <c r="D65" s="1692">
        <f t="shared" ref="D65:L65" si="8">SUM(D59:D64)</f>
        <v>68518</v>
      </c>
      <c r="E65" s="1692">
        <f t="shared" si="8"/>
        <v>426980</v>
      </c>
      <c r="F65" s="1692">
        <f t="shared" si="8"/>
        <v>22203</v>
      </c>
      <c r="G65" s="1692">
        <f t="shared" si="8"/>
        <v>0</v>
      </c>
      <c r="H65" s="1692">
        <f t="shared" si="8"/>
        <v>3423</v>
      </c>
      <c r="I65" s="1692">
        <f t="shared" si="8"/>
        <v>1574</v>
      </c>
      <c r="J65" s="1692">
        <f t="shared" si="8"/>
        <v>0</v>
      </c>
      <c r="K65" s="1692">
        <f t="shared" si="8"/>
        <v>866706</v>
      </c>
      <c r="L65" s="1692">
        <f t="shared" si="8"/>
        <v>976419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8600</v>
      </c>
      <c r="F69" s="466">
        <v>7100</v>
      </c>
      <c r="G69" s="466">
        <v>0</v>
      </c>
      <c r="H69" s="466">
        <v>0</v>
      </c>
      <c r="I69" s="467">
        <v>0</v>
      </c>
      <c r="J69" s="467">
        <v>0</v>
      </c>
      <c r="K69" s="1694">
        <f>SUM(C69:J69)</f>
        <v>15700</v>
      </c>
      <c r="L69" s="466">
        <v>21000</v>
      </c>
      <c r="M69" s="610"/>
      <c r="N69" s="610"/>
    </row>
    <row r="70" spans="1:14" s="343" customFormat="1" x14ac:dyDescent="0.2">
      <c r="A70" s="1526" t="s">
        <v>423</v>
      </c>
      <c r="B70" s="615">
        <v>2640</v>
      </c>
      <c r="C70" s="466">
        <v>0</v>
      </c>
      <c r="D70" s="466">
        <v>0</v>
      </c>
      <c r="E70" s="466">
        <v>0</v>
      </c>
      <c r="F70" s="466">
        <v>61</v>
      </c>
      <c r="G70" s="466">
        <v>0</v>
      </c>
      <c r="H70" s="466">
        <v>0</v>
      </c>
      <c r="I70" s="467">
        <v>0</v>
      </c>
      <c r="J70" s="467">
        <v>0</v>
      </c>
      <c r="K70" s="1694">
        <f>SUM(C70:J70)</f>
        <v>61</v>
      </c>
      <c r="L70" s="466">
        <v>0</v>
      </c>
      <c r="M70" s="610"/>
      <c r="N70" s="610"/>
    </row>
    <row r="71" spans="1:14" s="343" customFormat="1" x14ac:dyDescent="0.2">
      <c r="A71" s="1526" t="s">
        <v>424</v>
      </c>
      <c r="B71" s="615">
        <v>2660</v>
      </c>
      <c r="C71" s="466">
        <v>373968</v>
      </c>
      <c r="D71" s="466">
        <v>74111</v>
      </c>
      <c r="E71" s="466">
        <v>9795</v>
      </c>
      <c r="F71" s="466">
        <v>1056</v>
      </c>
      <c r="G71" s="466">
        <v>0</v>
      </c>
      <c r="H71" s="466">
        <v>212</v>
      </c>
      <c r="I71" s="467">
        <v>1893</v>
      </c>
      <c r="J71" s="467">
        <v>0</v>
      </c>
      <c r="K71" s="1694">
        <f>SUM(C71:J71)</f>
        <v>461035</v>
      </c>
      <c r="L71" s="466">
        <v>497100</v>
      </c>
      <c r="M71" s="610"/>
      <c r="N71" s="610"/>
    </row>
    <row r="72" spans="1:14" s="343" customFormat="1" ht="12.75" customHeight="1" thickBot="1" x14ac:dyDescent="0.25">
      <c r="A72" s="1690" t="s">
        <v>37</v>
      </c>
      <c r="B72" s="1697" t="s">
        <v>36</v>
      </c>
      <c r="C72" s="1692">
        <f>SUM(C67:C71)</f>
        <v>373968</v>
      </c>
      <c r="D72" s="1692">
        <f t="shared" ref="D72:K72" si="9">SUM(D67:D71)</f>
        <v>74111</v>
      </c>
      <c r="E72" s="1692">
        <f t="shared" si="9"/>
        <v>18395</v>
      </c>
      <c r="F72" s="1692">
        <f t="shared" si="9"/>
        <v>8217</v>
      </c>
      <c r="G72" s="1692">
        <f t="shared" si="9"/>
        <v>0</v>
      </c>
      <c r="H72" s="1692">
        <f t="shared" si="9"/>
        <v>212</v>
      </c>
      <c r="I72" s="1692">
        <f t="shared" si="9"/>
        <v>1893</v>
      </c>
      <c r="J72" s="1692">
        <f t="shared" si="9"/>
        <v>0</v>
      </c>
      <c r="K72" s="1692">
        <f t="shared" si="9"/>
        <v>476796</v>
      </c>
      <c r="L72" s="1692">
        <f>SUM(L67:L71)</f>
        <v>518100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3570657</v>
      </c>
      <c r="D74" s="1699">
        <f t="shared" ref="D74:K74" si="10">SUM(D42,D47,D53,D57,D65,D72,D73)</f>
        <v>786938</v>
      </c>
      <c r="E74" s="1699">
        <f t="shared" si="10"/>
        <v>630071</v>
      </c>
      <c r="F74" s="1699">
        <f t="shared" si="10"/>
        <v>78821</v>
      </c>
      <c r="G74" s="1699">
        <f t="shared" si="10"/>
        <v>0</v>
      </c>
      <c r="H74" s="1699">
        <f t="shared" si="10"/>
        <v>27711</v>
      </c>
      <c r="I74" s="1699">
        <f t="shared" si="10"/>
        <v>3651</v>
      </c>
      <c r="J74" s="1699">
        <f t="shared" si="10"/>
        <v>0</v>
      </c>
      <c r="K74" s="1699">
        <f t="shared" si="10"/>
        <v>5097849</v>
      </c>
      <c r="L74" s="1699">
        <f>SUM(L42,L47,L53,L57,L65,L72,L73)</f>
        <v>5560435</v>
      </c>
    </row>
    <row r="75" spans="1:14" s="259" customFormat="1" ht="15.75" customHeight="1" thickTop="1" thickBot="1" x14ac:dyDescent="0.25">
      <c r="A75" s="1632" t="s">
        <v>49</v>
      </c>
      <c r="B75" s="1633" t="s">
        <v>596</v>
      </c>
      <c r="C75" s="573">
        <v>10000</v>
      </c>
      <c r="D75" s="573">
        <v>657</v>
      </c>
      <c r="E75" s="573">
        <v>37542</v>
      </c>
      <c r="F75" s="573">
        <v>1135</v>
      </c>
      <c r="G75" s="573">
        <v>0</v>
      </c>
      <c r="H75" s="573">
        <v>0</v>
      </c>
      <c r="I75" s="531">
        <v>757166</v>
      </c>
      <c r="J75" s="531">
        <v>0</v>
      </c>
      <c r="K75" s="1692">
        <f>SUM(C75:J75)</f>
        <v>806500</v>
      </c>
      <c r="L75" s="576">
        <v>74943</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1300</v>
      </c>
      <c r="F78" s="617"/>
      <c r="G78" s="617"/>
      <c r="H78" s="635">
        <v>0</v>
      </c>
      <c r="I78" s="477"/>
      <c r="J78" s="477"/>
      <c r="K78" s="1693">
        <f t="shared" ref="K78:K83" si="11">SUM(C78:J78)</f>
        <v>1300</v>
      </c>
      <c r="L78" s="481">
        <v>0</v>
      </c>
    </row>
    <row r="79" spans="1:14" x14ac:dyDescent="0.2">
      <c r="A79" s="1526" t="s">
        <v>322</v>
      </c>
      <c r="B79" s="615">
        <v>4120</v>
      </c>
      <c r="C79" s="617"/>
      <c r="D79" s="617"/>
      <c r="E79" s="466">
        <v>235073</v>
      </c>
      <c r="F79" s="617"/>
      <c r="G79" s="617"/>
      <c r="H79" s="466">
        <v>292077</v>
      </c>
      <c r="I79" s="477"/>
      <c r="J79" s="477"/>
      <c r="K79" s="1693">
        <f t="shared" si="11"/>
        <v>527150</v>
      </c>
      <c r="L79" s="466">
        <v>1547125</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236373</v>
      </c>
      <c r="F84" s="617"/>
      <c r="G84" s="617"/>
      <c r="H84" s="1692">
        <f>SUM(H78:H83)</f>
        <v>292077</v>
      </c>
      <c r="I84" s="477"/>
      <c r="J84" s="477"/>
      <c r="K84" s="1692">
        <f>SUM(K78:K83)</f>
        <v>528450</v>
      </c>
      <c r="L84" s="1692">
        <f>SUM(L78:L83)</f>
        <v>1547125</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464782</v>
      </c>
      <c r="I86" s="477"/>
      <c r="J86" s="477"/>
      <c r="K86" s="1699">
        <f t="shared" ref="K86:K98" si="12">H86</f>
        <v>464782</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464782</v>
      </c>
      <c r="I92" s="477"/>
      <c r="J92" s="477"/>
      <c r="K92" s="1699">
        <f t="shared" si="12"/>
        <v>464782</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236373</v>
      </c>
      <c r="F102" s="617"/>
      <c r="G102" s="617"/>
      <c r="H102" s="1699">
        <f>SUM(H84,H92,H100,H101)</f>
        <v>756859</v>
      </c>
      <c r="I102" s="477"/>
      <c r="J102" s="477"/>
      <c r="K102" s="1699">
        <f>SUM(K84,K92,K100,K101)</f>
        <v>993232</v>
      </c>
      <c r="L102" s="1699">
        <f>SUM(L84,L92,L100,L101)</f>
        <v>1547125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10106063</v>
      </c>
      <c r="D114" s="1692">
        <f t="shared" ref="D114:K114" si="13">SUM(D33,D74,D75,D102,D112,D113)</f>
        <v>1844649</v>
      </c>
      <c r="E114" s="1692">
        <f t="shared" si="13"/>
        <v>1002992</v>
      </c>
      <c r="F114" s="1692">
        <f t="shared" si="13"/>
        <v>350470</v>
      </c>
      <c r="G114" s="1692">
        <f t="shared" si="13"/>
        <v>39352</v>
      </c>
      <c r="H114" s="1692">
        <f>SUM(H33,H74,H75,H102,H112,H113)</f>
        <v>788976</v>
      </c>
      <c r="I114" s="1692">
        <f t="shared" si="13"/>
        <v>1120447</v>
      </c>
      <c r="J114" s="1692">
        <f t="shared" si="13"/>
        <v>0</v>
      </c>
      <c r="K114" s="1692">
        <f t="shared" si="13"/>
        <v>15252949</v>
      </c>
      <c r="L114" s="1692">
        <f>SUM(L33,L74,L75,L102,L112,L113)</f>
        <v>16080421</v>
      </c>
    </row>
    <row r="115" spans="1:14" ht="13.5" thickTop="1" x14ac:dyDescent="0.2">
      <c r="A115" s="2175" t="s">
        <v>1053</v>
      </c>
      <c r="B115" s="2176"/>
      <c r="C115" s="619"/>
      <c r="D115" s="619"/>
      <c r="E115" s="619"/>
      <c r="F115" s="619"/>
      <c r="G115" s="619"/>
      <c r="H115" s="619"/>
      <c r="I115" s="619"/>
      <c r="J115" s="619"/>
      <c r="K115" s="1706">
        <f>'Revenues 9-14'!C275-'Expenditures 15-22'!K114</f>
        <v>-1490535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292720</v>
      </c>
      <c r="D124" s="466">
        <v>51678</v>
      </c>
      <c r="E124" s="466">
        <v>459771</v>
      </c>
      <c r="F124" s="466">
        <v>284705</v>
      </c>
      <c r="G124" s="466">
        <v>16565</v>
      </c>
      <c r="H124" s="466">
        <v>662</v>
      </c>
      <c r="I124" s="467">
        <v>19241</v>
      </c>
      <c r="J124" s="467">
        <v>0</v>
      </c>
      <c r="K124" s="1692">
        <f>SUM(C124:J124)</f>
        <v>1125342</v>
      </c>
      <c r="L124" s="466">
        <v>1640084</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292720</v>
      </c>
      <c r="D127" s="1692">
        <f t="shared" ref="D127:L127" si="14">SUM(D122:D126)</f>
        <v>51678</v>
      </c>
      <c r="E127" s="1692">
        <f t="shared" si="14"/>
        <v>459771</v>
      </c>
      <c r="F127" s="1692">
        <f t="shared" si="14"/>
        <v>284705</v>
      </c>
      <c r="G127" s="1692">
        <f t="shared" si="14"/>
        <v>16565</v>
      </c>
      <c r="H127" s="1692">
        <f t="shared" si="14"/>
        <v>662</v>
      </c>
      <c r="I127" s="1692">
        <f t="shared" si="14"/>
        <v>19241</v>
      </c>
      <c r="J127" s="1692">
        <f t="shared" si="14"/>
        <v>0</v>
      </c>
      <c r="K127" s="1692">
        <f t="shared" si="14"/>
        <v>1125342</v>
      </c>
      <c r="L127" s="1692">
        <f t="shared" si="14"/>
        <v>1640084</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292720</v>
      </c>
      <c r="D129" s="1699">
        <f t="shared" ref="D129:L129" si="15">SUM(D120,D127,D128)</f>
        <v>51678</v>
      </c>
      <c r="E129" s="1699">
        <f t="shared" si="15"/>
        <v>459771</v>
      </c>
      <c r="F129" s="1699">
        <f t="shared" si="15"/>
        <v>284705</v>
      </c>
      <c r="G129" s="1699">
        <f t="shared" si="15"/>
        <v>16565</v>
      </c>
      <c r="H129" s="1699">
        <f t="shared" si="15"/>
        <v>662</v>
      </c>
      <c r="I129" s="1699">
        <f t="shared" si="15"/>
        <v>19241</v>
      </c>
      <c r="J129" s="1699">
        <f t="shared" si="15"/>
        <v>0</v>
      </c>
      <c r="K129" s="1699">
        <f t="shared" si="15"/>
        <v>1125342</v>
      </c>
      <c r="L129" s="1699">
        <f t="shared" si="15"/>
        <v>1640084</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28712</v>
      </c>
      <c r="F134" s="617"/>
      <c r="G134" s="617"/>
      <c r="H134" s="481">
        <v>0</v>
      </c>
      <c r="I134" s="477"/>
      <c r="J134" s="617"/>
      <c r="K134" s="1694">
        <f>SUM(E134,H134)</f>
        <v>28712</v>
      </c>
      <c r="L134" s="481">
        <v>28712</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28712</v>
      </c>
      <c r="F137" s="617"/>
      <c r="G137" s="617"/>
      <c r="H137" s="1692">
        <f>SUM(H133:H136)</f>
        <v>0</v>
      </c>
      <c r="I137" s="477"/>
      <c r="J137" s="617"/>
      <c r="K137" s="1692">
        <f>SUM(K133:K136)</f>
        <v>28712</v>
      </c>
      <c r="L137" s="1692">
        <f>SUM(L133:L136)</f>
        <v>28712</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28712</v>
      </c>
      <c r="F139" s="617"/>
      <c r="G139" s="617"/>
      <c r="H139" s="1701">
        <f>SUM(H137:H138)</f>
        <v>0</v>
      </c>
      <c r="I139" s="477"/>
      <c r="J139" s="617"/>
      <c r="K139" s="1694">
        <f>SUM(K137,K138)</f>
        <v>28712</v>
      </c>
      <c r="L139" s="1701">
        <f>SUM(L137,L138)</f>
        <v>28712</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20000</v>
      </c>
    </row>
    <row r="151" spans="1:14" ht="12.75" customHeight="1" thickTop="1" thickBot="1" x14ac:dyDescent="0.25">
      <c r="A151" s="2192" t="s">
        <v>641</v>
      </c>
      <c r="B151" s="2172"/>
      <c r="C151" s="1692">
        <f>SUM(C129,C130,C139,C149,C150)</f>
        <v>292720</v>
      </c>
      <c r="D151" s="1692">
        <f t="shared" ref="D151:K151" si="16">SUM(D129,D130,D139,D149,D150)</f>
        <v>51678</v>
      </c>
      <c r="E151" s="1692">
        <f t="shared" si="16"/>
        <v>488483</v>
      </c>
      <c r="F151" s="1692">
        <f t="shared" si="16"/>
        <v>284705</v>
      </c>
      <c r="G151" s="1692">
        <f t="shared" si="16"/>
        <v>16565</v>
      </c>
      <c r="H151" s="1692">
        <f t="shared" si="16"/>
        <v>662</v>
      </c>
      <c r="I151" s="1692">
        <f t="shared" si="16"/>
        <v>19241</v>
      </c>
      <c r="J151" s="1692">
        <f t="shared" si="16"/>
        <v>0</v>
      </c>
      <c r="K151" s="1692">
        <f t="shared" si="16"/>
        <v>1154054</v>
      </c>
      <c r="L151" s="1692">
        <f>SUM(L129,L130,L139,L149,L150)</f>
        <v>1688796</v>
      </c>
    </row>
    <row r="152" spans="1:14" ht="12.75" customHeight="1" thickTop="1" x14ac:dyDescent="0.2">
      <c r="A152" s="2195" t="s">
        <v>1240</v>
      </c>
      <c r="B152" s="2196"/>
      <c r="C152" s="619"/>
      <c r="D152" s="619"/>
      <c r="E152" s="619"/>
      <c r="F152" s="619"/>
      <c r="G152" s="619"/>
      <c r="H152" s="619"/>
      <c r="I152" s="619"/>
      <c r="J152" s="617"/>
      <c r="K152" s="1706">
        <f>'Revenues 9-14'!D275-'Expenditures 15-22'!K151</f>
        <v>536708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446113</v>
      </c>
      <c r="I169" s="617"/>
      <c r="J169" s="617"/>
      <c r="K169" s="1693">
        <f>SUM(C169:H169)</f>
        <v>446113</v>
      </c>
      <c r="L169" s="657">
        <v>453112</v>
      </c>
    </row>
    <row r="170" spans="1:14" ht="33.75" customHeight="1" x14ac:dyDescent="0.2">
      <c r="A170" s="670" t="s">
        <v>1769</v>
      </c>
      <c r="B170" s="672" t="s">
        <v>31</v>
      </c>
      <c r="C170" s="617"/>
      <c r="D170" s="617"/>
      <c r="E170" s="617"/>
      <c r="F170" s="617"/>
      <c r="G170" s="617"/>
      <c r="H170" s="569">
        <v>1235000</v>
      </c>
      <c r="I170" s="617"/>
      <c r="J170" s="617"/>
      <c r="K170" s="1693">
        <f>SUM(C170:J170)</f>
        <v>1235000</v>
      </c>
      <c r="L170" s="569">
        <v>1239000</v>
      </c>
    </row>
    <row r="171" spans="1:14" ht="15.75" customHeight="1" x14ac:dyDescent="0.2">
      <c r="A171" s="622" t="s">
        <v>790</v>
      </c>
      <c r="B171" s="673" t="s">
        <v>86</v>
      </c>
      <c r="C171" s="617"/>
      <c r="D171" s="617"/>
      <c r="E171" s="466">
        <v>0</v>
      </c>
      <c r="F171" s="617"/>
      <c r="G171" s="617"/>
      <c r="H171" s="569">
        <v>2200</v>
      </c>
      <c r="I171" s="477"/>
      <c r="J171" s="617"/>
      <c r="K171" s="1693">
        <f>SUM(C171:J171)</f>
        <v>2200</v>
      </c>
      <c r="L171" s="569">
        <v>0</v>
      </c>
    </row>
    <row r="172" spans="1:14" ht="12.75" customHeight="1" thickBot="1" x14ac:dyDescent="0.25">
      <c r="A172" s="1690" t="s">
        <v>659</v>
      </c>
      <c r="B172" s="1691" t="s">
        <v>513</v>
      </c>
      <c r="C172" s="617"/>
      <c r="D172" s="617"/>
      <c r="E172" s="1699">
        <f>SUM(E168,E169,E170,E171)</f>
        <v>0</v>
      </c>
      <c r="F172" s="617"/>
      <c r="G172" s="617"/>
      <c r="H172" s="1699">
        <f>SUM(H168,H169,H170,H171)</f>
        <v>1683313</v>
      </c>
      <c r="I172" s="639"/>
      <c r="J172" s="617"/>
      <c r="K172" s="1699">
        <f>SUM(K168,K169,K170,K171)</f>
        <v>1683313</v>
      </c>
      <c r="L172" s="1699">
        <f>SUM(L168,L169,L170,L171)</f>
        <v>1692112</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1683313</v>
      </c>
      <c r="I174" s="639"/>
      <c r="J174" s="617"/>
      <c r="K174" s="1699">
        <f>SUM(K160,K172,K173)</f>
        <v>1683313</v>
      </c>
      <c r="L174" s="1699">
        <f>SUM(L160,L172,L173)</f>
        <v>1692112</v>
      </c>
    </row>
    <row r="175" spans="1:14" ht="13.5" thickTop="1" x14ac:dyDescent="0.2">
      <c r="A175" s="2175" t="s">
        <v>1053</v>
      </c>
      <c r="B175" s="2176"/>
      <c r="C175" s="617"/>
      <c r="D175" s="617"/>
      <c r="E175" s="617"/>
      <c r="F175" s="617"/>
      <c r="G175" s="617"/>
      <c r="H175" s="619"/>
      <c r="I175" s="617"/>
      <c r="J175" s="617"/>
      <c r="K175" s="1706">
        <f>'Revenues 9-14'!E275-'Expenditures 15-22'!K174</f>
        <v>-272179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119158</v>
      </c>
      <c r="D182" s="466">
        <v>15576</v>
      </c>
      <c r="E182" s="466">
        <v>659806</v>
      </c>
      <c r="F182" s="466">
        <v>3006</v>
      </c>
      <c r="G182" s="466">
        <v>0</v>
      </c>
      <c r="H182" s="466">
        <v>281</v>
      </c>
      <c r="I182" s="467">
        <v>0</v>
      </c>
      <c r="J182" s="467">
        <v>0</v>
      </c>
      <c r="K182" s="1693">
        <f>SUM(C182:J182)</f>
        <v>797827</v>
      </c>
      <c r="L182" s="466">
        <v>859950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119158</v>
      </c>
      <c r="D184" s="1699">
        <f t="shared" ref="D184:J184" si="17">SUM(D180,D182,D183)</f>
        <v>15576</v>
      </c>
      <c r="E184" s="1699">
        <f t="shared" si="17"/>
        <v>659806</v>
      </c>
      <c r="F184" s="1699">
        <f t="shared" si="17"/>
        <v>3006</v>
      </c>
      <c r="G184" s="1699">
        <f t="shared" si="17"/>
        <v>0</v>
      </c>
      <c r="H184" s="1699">
        <f t="shared" si="17"/>
        <v>281</v>
      </c>
      <c r="I184" s="1699">
        <f t="shared" si="17"/>
        <v>0</v>
      </c>
      <c r="J184" s="1699">
        <f t="shared" si="17"/>
        <v>0</v>
      </c>
      <c r="K184" s="1699">
        <f>SUM(K180,K182,K183)</f>
        <v>797827</v>
      </c>
      <c r="L184" s="1699">
        <f>SUM(L180, L182:L183)</f>
        <v>859950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119158</v>
      </c>
      <c r="D210" s="1692">
        <f>SUM(D184,D185)</f>
        <v>15576</v>
      </c>
      <c r="E210" s="1692">
        <f>SUM(E184,E185,E196)</f>
        <v>659806</v>
      </c>
      <c r="F210" s="1692">
        <f>SUM(F184,F185)</f>
        <v>3006</v>
      </c>
      <c r="G210" s="1692">
        <f>SUM(G184,G185)</f>
        <v>0</v>
      </c>
      <c r="H210" s="1692">
        <f>SUM(H184,H185,H196,H208,H209)</f>
        <v>281</v>
      </c>
      <c r="I210" s="1692">
        <f>SUM(I184,I185)</f>
        <v>0</v>
      </c>
      <c r="J210" s="1692">
        <f>SUM(J184,J185)</f>
        <v>0</v>
      </c>
      <c r="K210" s="1693">
        <f>SUM(K184,K185,K196,K208,K209)</f>
        <v>797827</v>
      </c>
      <c r="L210" s="1692">
        <f>SUM(L184,L185,L196,L208,L209)</f>
        <v>859950</v>
      </c>
    </row>
    <row r="211" spans="1:14" ht="13.5" thickTop="1" x14ac:dyDescent="0.2">
      <c r="A211" s="2175" t="s">
        <v>1053</v>
      </c>
      <c r="B211" s="2176"/>
      <c r="C211" s="619"/>
      <c r="D211" s="619"/>
      <c r="E211" s="619"/>
      <c r="F211" s="619"/>
      <c r="G211" s="619"/>
      <c r="H211" s="619"/>
      <c r="I211" s="617"/>
      <c r="J211" s="617"/>
      <c r="K211" s="1706">
        <f>'Revenues 9-14'!F275-'Expenditures 15-22'!K210</f>
        <v>1228438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70379</v>
      </c>
      <c r="E215" s="617"/>
      <c r="F215" s="617"/>
      <c r="G215" s="617"/>
      <c r="H215" s="617"/>
      <c r="I215" s="617"/>
      <c r="J215" s="617"/>
      <c r="K215" s="1693">
        <f>D215</f>
        <v>70379</v>
      </c>
      <c r="L215" s="466">
        <v>83800</v>
      </c>
    </row>
    <row r="216" spans="1:14" x14ac:dyDescent="0.2">
      <c r="A216" s="1526" t="s">
        <v>165</v>
      </c>
      <c r="B216" s="615" t="s">
        <v>1024</v>
      </c>
      <c r="C216" s="617"/>
      <c r="D216" s="467">
        <v>4027</v>
      </c>
      <c r="E216" s="617"/>
      <c r="F216" s="617"/>
      <c r="G216" s="617"/>
      <c r="H216" s="617"/>
      <c r="I216" s="617"/>
      <c r="J216" s="617"/>
      <c r="K216" s="1693">
        <f t="shared" ref="K216:K228" si="19">D216</f>
        <v>4027</v>
      </c>
      <c r="L216" s="466">
        <v>9100</v>
      </c>
    </row>
    <row r="217" spans="1:14" x14ac:dyDescent="0.2">
      <c r="A217" s="1526" t="s">
        <v>166</v>
      </c>
      <c r="B217" s="615">
        <v>1200</v>
      </c>
      <c r="C217" s="617"/>
      <c r="D217" s="466">
        <v>39111</v>
      </c>
      <c r="E217" s="617"/>
      <c r="F217" s="617"/>
      <c r="G217" s="617"/>
      <c r="H217" s="617"/>
      <c r="I217" s="617"/>
      <c r="J217" s="617"/>
      <c r="K217" s="1693">
        <f t="shared" si="19"/>
        <v>39111</v>
      </c>
      <c r="L217" s="466">
        <v>60000</v>
      </c>
    </row>
    <row r="218" spans="1:14" x14ac:dyDescent="0.2">
      <c r="A218" s="1526" t="s">
        <v>296</v>
      </c>
      <c r="B218" s="615" t="s">
        <v>1025</v>
      </c>
      <c r="C218" s="617"/>
      <c r="D218" s="467">
        <v>2354</v>
      </c>
      <c r="E218" s="617"/>
      <c r="F218" s="617"/>
      <c r="G218" s="617"/>
      <c r="H218" s="617"/>
      <c r="I218" s="617"/>
      <c r="J218" s="617"/>
      <c r="K218" s="1693">
        <f t="shared" si="19"/>
        <v>2354</v>
      </c>
      <c r="L218" s="466">
        <v>6300</v>
      </c>
    </row>
    <row r="219" spans="1:14" x14ac:dyDescent="0.2">
      <c r="A219" s="1526" t="s">
        <v>297</v>
      </c>
      <c r="B219" s="615">
        <v>1250</v>
      </c>
      <c r="C219" s="617"/>
      <c r="D219" s="466">
        <v>5455</v>
      </c>
      <c r="E219" s="617"/>
      <c r="F219" s="617"/>
      <c r="G219" s="617"/>
      <c r="H219" s="617"/>
      <c r="I219" s="617"/>
      <c r="J219" s="617"/>
      <c r="K219" s="1693">
        <f t="shared" si="19"/>
        <v>5455</v>
      </c>
      <c r="L219" s="466">
        <v>18600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808</v>
      </c>
      <c r="E223" s="617"/>
      <c r="F223" s="617"/>
      <c r="G223" s="617"/>
      <c r="H223" s="617"/>
      <c r="I223" s="617"/>
      <c r="J223" s="617"/>
      <c r="K223" s="1693">
        <f t="shared" si="19"/>
        <v>808</v>
      </c>
      <c r="L223" s="466">
        <v>3200</v>
      </c>
    </row>
    <row r="224" spans="1:14" x14ac:dyDescent="0.2">
      <c r="A224" s="1526" t="s">
        <v>1021</v>
      </c>
      <c r="B224" s="615">
        <v>1600</v>
      </c>
      <c r="C224" s="617"/>
      <c r="D224" s="466">
        <v>496</v>
      </c>
      <c r="E224" s="617"/>
      <c r="F224" s="617"/>
      <c r="G224" s="617"/>
      <c r="H224" s="617"/>
      <c r="I224" s="617"/>
      <c r="J224" s="617"/>
      <c r="K224" s="1693">
        <f t="shared" si="19"/>
        <v>496</v>
      </c>
      <c r="L224" s="466">
        <v>1560</v>
      </c>
    </row>
    <row r="225" spans="1:12" x14ac:dyDescent="0.2">
      <c r="A225" s="1526" t="s">
        <v>1044</v>
      </c>
      <c r="B225" s="615">
        <v>1650</v>
      </c>
      <c r="C225" s="617"/>
      <c r="D225" s="466">
        <v>1712</v>
      </c>
      <c r="E225" s="617"/>
      <c r="F225" s="617"/>
      <c r="G225" s="617"/>
      <c r="H225" s="617"/>
      <c r="I225" s="617"/>
      <c r="J225" s="617"/>
      <c r="K225" s="1693">
        <f t="shared" si="19"/>
        <v>1712</v>
      </c>
      <c r="L225" s="466">
        <v>2500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12777</v>
      </c>
      <c r="E227" s="617"/>
      <c r="F227" s="617"/>
      <c r="G227" s="617"/>
      <c r="H227" s="617"/>
      <c r="I227" s="617"/>
      <c r="J227" s="617"/>
      <c r="K227" s="1693">
        <f t="shared" si="19"/>
        <v>12777</v>
      </c>
      <c r="L227" s="466">
        <v>19100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137119</v>
      </c>
      <c r="E229" s="617"/>
      <c r="F229" s="617"/>
      <c r="G229" s="617"/>
      <c r="H229" s="617"/>
      <c r="I229" s="617"/>
      <c r="J229" s="617"/>
      <c r="K229" s="1692">
        <f>SUM(K215:K228)</f>
        <v>137119</v>
      </c>
      <c r="L229" s="1692">
        <f>SUM(L215:L228)</f>
        <v>204160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3928</v>
      </c>
      <c r="E232" s="617"/>
      <c r="F232" s="617"/>
      <c r="G232" s="617"/>
      <c r="H232" s="617"/>
      <c r="I232" s="617"/>
      <c r="J232" s="617"/>
      <c r="K232" s="1693">
        <f t="shared" ref="K232:K237" si="20">D232</f>
        <v>3928</v>
      </c>
      <c r="L232" s="466">
        <v>4200</v>
      </c>
    </row>
    <row r="233" spans="1:12" x14ac:dyDescent="0.2">
      <c r="A233" s="1526" t="s">
        <v>1151</v>
      </c>
      <c r="B233" s="615">
        <v>2120</v>
      </c>
      <c r="C233" s="617"/>
      <c r="D233" s="466">
        <v>2431</v>
      </c>
      <c r="E233" s="617"/>
      <c r="F233" s="617"/>
      <c r="G233" s="617"/>
      <c r="H233" s="617"/>
      <c r="I233" s="617"/>
      <c r="J233" s="617"/>
      <c r="K233" s="1693">
        <f t="shared" si="20"/>
        <v>2431</v>
      </c>
      <c r="L233" s="466">
        <v>3200</v>
      </c>
    </row>
    <row r="234" spans="1:12" x14ac:dyDescent="0.2">
      <c r="A234" s="1526" t="s">
        <v>207</v>
      </c>
      <c r="B234" s="615">
        <v>2130</v>
      </c>
      <c r="C234" s="617"/>
      <c r="D234" s="466">
        <v>11954</v>
      </c>
      <c r="E234" s="617"/>
      <c r="F234" s="617"/>
      <c r="G234" s="617"/>
      <c r="H234" s="617"/>
      <c r="I234" s="617"/>
      <c r="J234" s="617"/>
      <c r="K234" s="1693">
        <f t="shared" si="20"/>
        <v>11954</v>
      </c>
      <c r="L234" s="466">
        <v>21500</v>
      </c>
    </row>
    <row r="235" spans="1:12" x14ac:dyDescent="0.2">
      <c r="A235" s="1526" t="s">
        <v>208</v>
      </c>
      <c r="B235" s="615">
        <v>2140</v>
      </c>
      <c r="C235" s="617"/>
      <c r="D235" s="466">
        <v>2186</v>
      </c>
      <c r="E235" s="617"/>
      <c r="F235" s="617"/>
      <c r="G235" s="617"/>
      <c r="H235" s="617"/>
      <c r="I235" s="617"/>
      <c r="J235" s="617"/>
      <c r="K235" s="1693">
        <f t="shared" si="20"/>
        <v>2186</v>
      </c>
      <c r="L235" s="466">
        <v>2500</v>
      </c>
    </row>
    <row r="236" spans="1:12" x14ac:dyDescent="0.2">
      <c r="A236" s="1526" t="s">
        <v>209</v>
      </c>
      <c r="B236" s="615">
        <v>2150</v>
      </c>
      <c r="C236" s="617"/>
      <c r="D236" s="466">
        <v>2365</v>
      </c>
      <c r="E236" s="617"/>
      <c r="F236" s="617"/>
      <c r="G236" s="617"/>
      <c r="H236" s="617"/>
      <c r="I236" s="617"/>
      <c r="J236" s="617"/>
      <c r="K236" s="1693">
        <f t="shared" si="20"/>
        <v>2365</v>
      </c>
      <c r="L236" s="466">
        <v>3000</v>
      </c>
    </row>
    <row r="237" spans="1:12" x14ac:dyDescent="0.2">
      <c r="A237" s="1526" t="s">
        <v>167</v>
      </c>
      <c r="B237" s="615">
        <v>2190</v>
      </c>
      <c r="C237" s="617"/>
      <c r="D237" s="466">
        <v>7903</v>
      </c>
      <c r="E237" s="617"/>
      <c r="F237" s="617"/>
      <c r="G237" s="617"/>
      <c r="H237" s="617"/>
      <c r="I237" s="617"/>
      <c r="J237" s="617"/>
      <c r="K237" s="1693">
        <f t="shared" si="20"/>
        <v>7903</v>
      </c>
      <c r="L237" s="466">
        <v>7500</v>
      </c>
    </row>
    <row r="238" spans="1:12" ht="12.75" customHeight="1" thickBot="1" x14ac:dyDescent="0.25">
      <c r="A238" s="1690" t="s">
        <v>581</v>
      </c>
      <c r="B238" s="1697" t="s">
        <v>740</v>
      </c>
      <c r="C238" s="617"/>
      <c r="D238" s="1692">
        <f>SUM(D232:D237)</f>
        <v>30767</v>
      </c>
      <c r="E238" s="617"/>
      <c r="F238" s="617"/>
      <c r="G238" s="617"/>
      <c r="H238" s="617"/>
      <c r="I238" s="617"/>
      <c r="J238" s="617"/>
      <c r="K238" s="1692">
        <f>SUM(K232:K237)</f>
        <v>30767</v>
      </c>
      <c r="L238" s="1692">
        <f>SUM(L232:L237)</f>
        <v>41900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2436</v>
      </c>
      <c r="E240" s="617"/>
      <c r="F240" s="617"/>
      <c r="G240" s="617"/>
      <c r="H240" s="617"/>
      <c r="I240" s="617"/>
      <c r="J240" s="617"/>
      <c r="K240" s="1694">
        <f>D240</f>
        <v>2436</v>
      </c>
      <c r="L240" s="481">
        <v>3600</v>
      </c>
    </row>
    <row r="241" spans="1:12" x14ac:dyDescent="0.2">
      <c r="A241" s="1526" t="s">
        <v>869</v>
      </c>
      <c r="B241" s="615">
        <v>2220</v>
      </c>
      <c r="C241" s="617"/>
      <c r="D241" s="466">
        <v>15218</v>
      </c>
      <c r="E241" s="617"/>
      <c r="F241" s="617"/>
      <c r="G241" s="617"/>
      <c r="H241" s="617"/>
      <c r="I241" s="617"/>
      <c r="J241" s="617"/>
      <c r="K241" s="1694">
        <f>D241</f>
        <v>15218</v>
      </c>
      <c r="L241" s="466">
        <v>22000</v>
      </c>
    </row>
    <row r="242" spans="1:12" x14ac:dyDescent="0.2">
      <c r="A242" s="1526" t="s">
        <v>870</v>
      </c>
      <c r="B242" s="615">
        <v>2230</v>
      </c>
      <c r="C242" s="617"/>
      <c r="D242" s="466">
        <v>9163</v>
      </c>
      <c r="E242" s="617"/>
      <c r="F242" s="617"/>
      <c r="G242" s="617"/>
      <c r="H242" s="617"/>
      <c r="I242" s="617"/>
      <c r="J242" s="617"/>
      <c r="K242" s="1694">
        <f>D242</f>
        <v>9163</v>
      </c>
      <c r="L242" s="466">
        <v>500</v>
      </c>
    </row>
    <row r="243" spans="1:12" ht="12.75" customHeight="1" thickBot="1" x14ac:dyDescent="0.25">
      <c r="A243" s="1716" t="s">
        <v>582</v>
      </c>
      <c r="B243" s="1717">
        <v>2200</v>
      </c>
      <c r="C243" s="617"/>
      <c r="D243" s="1692">
        <f>SUM(D240:D242)</f>
        <v>26817</v>
      </c>
      <c r="E243" s="617"/>
      <c r="F243" s="617"/>
      <c r="G243" s="617"/>
      <c r="H243" s="617"/>
      <c r="I243" s="617"/>
      <c r="J243" s="617"/>
      <c r="K243" s="1692">
        <f>SUM(K240:K242)</f>
        <v>26817</v>
      </c>
      <c r="L243" s="1692">
        <f>SUM(L240:L242)</f>
        <v>26100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10172</v>
      </c>
      <c r="E246" s="617"/>
      <c r="F246" s="617"/>
      <c r="G246" s="617"/>
      <c r="H246" s="617"/>
      <c r="I246" s="617"/>
      <c r="J246" s="617"/>
      <c r="K246" s="1694">
        <f t="shared" ref="K246:K256" si="21">D246</f>
        <v>10172</v>
      </c>
      <c r="L246" s="466">
        <v>24100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10172</v>
      </c>
      <c r="E257" s="617"/>
      <c r="F257" s="617"/>
      <c r="G257" s="617"/>
      <c r="H257" s="617"/>
      <c r="I257" s="617"/>
      <c r="J257" s="617"/>
      <c r="K257" s="1692">
        <f>SUM(K245:K256)</f>
        <v>10172</v>
      </c>
      <c r="L257" s="1692">
        <f>SUM(L245:L256)</f>
        <v>24100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63778</v>
      </c>
      <c r="E259" s="617"/>
      <c r="F259" s="617"/>
      <c r="G259" s="617"/>
      <c r="H259" s="617"/>
      <c r="I259" s="617"/>
      <c r="J259" s="617"/>
      <c r="K259" s="1694">
        <f>D259</f>
        <v>63778</v>
      </c>
      <c r="L259" s="481">
        <v>76000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63778</v>
      </c>
      <c r="E261" s="617"/>
      <c r="F261" s="617"/>
      <c r="G261" s="617"/>
      <c r="H261" s="617"/>
      <c r="I261" s="617"/>
      <c r="J261" s="617"/>
      <c r="K261" s="1692">
        <f>SUM(K259:K260)</f>
        <v>63778</v>
      </c>
      <c r="L261" s="1692">
        <f>SUM(L259:L260)</f>
        <v>76000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2140</v>
      </c>
      <c r="E263" s="617"/>
      <c r="F263" s="617"/>
      <c r="G263" s="617"/>
      <c r="H263" s="617"/>
      <c r="I263" s="617"/>
      <c r="J263" s="617"/>
      <c r="K263" s="1694">
        <f>D263</f>
        <v>2140</v>
      </c>
      <c r="L263" s="481">
        <v>2500</v>
      </c>
    </row>
    <row r="264" spans="1:14" x14ac:dyDescent="0.2">
      <c r="A264" s="1526" t="s">
        <v>483</v>
      </c>
      <c r="B264" s="686">
        <v>2520</v>
      </c>
      <c r="C264" s="617"/>
      <c r="D264" s="466">
        <v>30861</v>
      </c>
      <c r="E264" s="617"/>
      <c r="F264" s="617"/>
      <c r="G264" s="617"/>
      <c r="H264" s="617"/>
      <c r="I264" s="617"/>
      <c r="J264" s="617"/>
      <c r="K264" s="1694">
        <f t="shared" ref="K264:K269" si="22">D264</f>
        <v>30861</v>
      </c>
      <c r="L264" s="466">
        <v>49500</v>
      </c>
    </row>
    <row r="265" spans="1:14" x14ac:dyDescent="0.2">
      <c r="A265" s="1526" t="s">
        <v>4</v>
      </c>
      <c r="B265" s="615">
        <v>2530</v>
      </c>
      <c r="C265" s="617"/>
      <c r="D265" s="466">
        <v>190</v>
      </c>
      <c r="E265" s="617"/>
      <c r="F265" s="617"/>
      <c r="G265" s="617"/>
      <c r="H265" s="617"/>
      <c r="I265" s="617"/>
      <c r="J265" s="617"/>
      <c r="K265" s="1694">
        <f t="shared" si="22"/>
        <v>190</v>
      </c>
      <c r="L265" s="466">
        <v>0</v>
      </c>
    </row>
    <row r="266" spans="1:14" x14ac:dyDescent="0.2">
      <c r="A266" s="1526" t="s">
        <v>206</v>
      </c>
      <c r="B266" s="615">
        <v>2540</v>
      </c>
      <c r="C266" s="617"/>
      <c r="D266" s="466">
        <v>54873</v>
      </c>
      <c r="E266" s="617"/>
      <c r="F266" s="617"/>
      <c r="G266" s="617"/>
      <c r="H266" s="617"/>
      <c r="I266" s="617"/>
      <c r="J266" s="617"/>
      <c r="K266" s="1694">
        <f t="shared" si="22"/>
        <v>54873</v>
      </c>
      <c r="L266" s="466">
        <v>70200</v>
      </c>
    </row>
    <row r="267" spans="1:14" x14ac:dyDescent="0.2">
      <c r="A267" s="1526" t="s">
        <v>1010</v>
      </c>
      <c r="B267" s="615">
        <v>2550</v>
      </c>
      <c r="C267" s="617"/>
      <c r="D267" s="466">
        <v>15809</v>
      </c>
      <c r="E267" s="617"/>
      <c r="F267" s="617"/>
      <c r="G267" s="617"/>
      <c r="H267" s="617"/>
      <c r="I267" s="617"/>
      <c r="J267" s="617"/>
      <c r="K267" s="1694">
        <f t="shared" si="22"/>
        <v>15809</v>
      </c>
      <c r="L267" s="466">
        <v>14500</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103873</v>
      </c>
      <c r="E270" s="617"/>
      <c r="F270" s="617"/>
      <c r="G270" s="617"/>
      <c r="H270" s="617"/>
      <c r="I270" s="617"/>
      <c r="J270" s="617"/>
      <c r="K270" s="1692">
        <f>SUM(K263:K269)</f>
        <v>103873</v>
      </c>
      <c r="L270" s="1692">
        <f>SUM(L263:L269)</f>
        <v>136700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48861</v>
      </c>
      <c r="E276" s="617"/>
      <c r="F276" s="617"/>
      <c r="G276" s="617"/>
      <c r="H276" s="617"/>
      <c r="I276" s="617"/>
      <c r="J276" s="617"/>
      <c r="K276" s="1694">
        <f>D276</f>
        <v>48861</v>
      </c>
      <c r="L276" s="466">
        <v>61000</v>
      </c>
    </row>
    <row r="277" spans="1:12" ht="12.75" customHeight="1" thickBot="1" x14ac:dyDescent="0.25">
      <c r="A277" s="1713" t="s">
        <v>37</v>
      </c>
      <c r="B277" s="1691" t="s">
        <v>36</v>
      </c>
      <c r="C277" s="617"/>
      <c r="D277" s="1692">
        <f>SUM(D272:D276)</f>
        <v>48861</v>
      </c>
      <c r="E277" s="617"/>
      <c r="F277" s="617"/>
      <c r="G277" s="617"/>
      <c r="H277" s="617"/>
      <c r="I277" s="617"/>
      <c r="J277" s="617"/>
      <c r="K277" s="1692">
        <f>SUM(K272:K276)</f>
        <v>48861</v>
      </c>
      <c r="L277" s="1692">
        <f>SUM(L272:L276)</f>
        <v>61000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284268</v>
      </c>
      <c r="E279" s="617"/>
      <c r="F279" s="617"/>
      <c r="G279" s="617"/>
      <c r="H279" s="617"/>
      <c r="I279" s="617"/>
      <c r="J279" s="617"/>
      <c r="K279" s="1699">
        <f>SUM(K238,K243,K257,K261,K270,K277,K278)</f>
        <v>284268</v>
      </c>
      <c r="L279" s="1699">
        <f>SUM(L238,L243,L257,L261,L270,L277,L278)</f>
        <v>365800</v>
      </c>
    </row>
    <row r="280" spans="1:12" ht="15.75" customHeight="1" thickTop="1" thickBot="1" x14ac:dyDescent="0.25">
      <c r="A280" s="1646" t="s">
        <v>930</v>
      </c>
      <c r="B280" s="1635">
        <v>3000</v>
      </c>
      <c r="C280" s="617"/>
      <c r="D280" s="576">
        <v>762</v>
      </c>
      <c r="E280" s="617"/>
      <c r="F280" s="617"/>
      <c r="G280" s="617"/>
      <c r="H280" s="617"/>
      <c r="I280" s="617"/>
      <c r="J280" s="617"/>
      <c r="K280" s="1701">
        <f>D280</f>
        <v>762</v>
      </c>
      <c r="L280" s="576">
        <v>500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10000</v>
      </c>
    </row>
    <row r="295" spans="1:14" ht="12.75" customHeight="1" thickTop="1" thickBot="1" x14ac:dyDescent="0.25">
      <c r="A295" s="2193" t="s">
        <v>526</v>
      </c>
      <c r="B295" s="2194"/>
      <c r="C295" s="617"/>
      <c r="D295" s="1692">
        <f>SUM(D229,D279,D280,D285)</f>
        <v>422149</v>
      </c>
      <c r="E295" s="617"/>
      <c r="F295" s="617"/>
      <c r="G295" s="617"/>
      <c r="H295" s="1692">
        <f>H293</f>
        <v>0</v>
      </c>
      <c r="I295" s="617"/>
      <c r="J295" s="617"/>
      <c r="K295" s="1692">
        <f>SUM(K229,K279,K280,K285,K293,K294)</f>
        <v>422149</v>
      </c>
      <c r="L295" s="1692">
        <f>SUM(L229,L279,L280,L285,L293,L294)</f>
        <v>580460</v>
      </c>
    </row>
    <row r="296" spans="1:14" ht="13.5" thickTop="1" x14ac:dyDescent="0.2">
      <c r="A296" s="2175" t="s">
        <v>1053</v>
      </c>
      <c r="B296" s="2176"/>
      <c r="C296" s="617"/>
      <c r="D296" s="619"/>
      <c r="E296" s="617"/>
      <c r="F296" s="617"/>
      <c r="G296" s="617"/>
      <c r="H296" s="688"/>
      <c r="I296" s="617"/>
      <c r="J296" s="617"/>
      <c r="K296" s="1706">
        <f>'Revenues 9-14'!G275-'Expenditures 15-22'!K295</f>
        <v>256263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14290</v>
      </c>
      <c r="D301" s="466">
        <v>16691</v>
      </c>
      <c r="E301" s="466">
        <v>416387</v>
      </c>
      <c r="F301" s="466">
        <v>3695</v>
      </c>
      <c r="G301" s="466">
        <v>3419140</v>
      </c>
      <c r="H301" s="466">
        <v>0</v>
      </c>
      <c r="I301" s="467">
        <v>0</v>
      </c>
      <c r="J301" s="467">
        <v>0</v>
      </c>
      <c r="K301" s="1693">
        <f>SUM(C301:J301)</f>
        <v>3870203</v>
      </c>
      <c r="L301" s="467">
        <v>3677291</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14290</v>
      </c>
      <c r="D303" s="1699">
        <f t="shared" ref="D303:L303" si="23">SUM(D301:D302)</f>
        <v>16691</v>
      </c>
      <c r="E303" s="1699">
        <f t="shared" si="23"/>
        <v>416387</v>
      </c>
      <c r="F303" s="1699">
        <f t="shared" si="23"/>
        <v>3695</v>
      </c>
      <c r="G303" s="1699">
        <f t="shared" si="23"/>
        <v>3419140</v>
      </c>
      <c r="H303" s="1699">
        <f t="shared" si="23"/>
        <v>0</v>
      </c>
      <c r="I303" s="1699">
        <f t="shared" si="23"/>
        <v>0</v>
      </c>
      <c r="J303" s="1699">
        <f t="shared" si="23"/>
        <v>0</v>
      </c>
      <c r="K303" s="1699">
        <f t="shared" si="23"/>
        <v>3870203</v>
      </c>
      <c r="L303" s="1699">
        <f t="shared" si="23"/>
        <v>3677291</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0" t="s">
        <v>295</v>
      </c>
      <c r="B312" s="2191"/>
      <c r="C312" s="1692">
        <f>SUM(C303)</f>
        <v>14290</v>
      </c>
      <c r="D312" s="1692">
        <f>SUM(D303)</f>
        <v>16691</v>
      </c>
      <c r="E312" s="1692">
        <f>SUM(E303,E310)</f>
        <v>416387</v>
      </c>
      <c r="F312" s="1692">
        <f>SUM(F303)</f>
        <v>3695</v>
      </c>
      <c r="G312" s="1692">
        <f>SUM(G303)</f>
        <v>3419140</v>
      </c>
      <c r="H312" s="1692">
        <f>SUM(H303,H310)</f>
        <v>0</v>
      </c>
      <c r="I312" s="1692">
        <f>SUM(I303)</f>
        <v>0</v>
      </c>
      <c r="J312" s="1692">
        <f>SUM(J303)</f>
        <v>0</v>
      </c>
      <c r="K312" s="1692">
        <f>SUM(K303,K310,K311)</f>
        <v>3870203</v>
      </c>
      <c r="L312" s="1692">
        <f>SUM(L303,L310,L311)</f>
        <v>3677291</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-3829311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3552</v>
      </c>
      <c r="F321" s="467">
        <v>0</v>
      </c>
      <c r="G321" s="467">
        <v>0</v>
      </c>
      <c r="H321" s="467">
        <v>0</v>
      </c>
      <c r="I321" s="467">
        <v>0</v>
      </c>
      <c r="J321" s="467">
        <v>0</v>
      </c>
      <c r="K321" s="1693">
        <f t="shared" si="24"/>
        <v>3552</v>
      </c>
      <c r="L321" s="467">
        <v>16000</v>
      </c>
      <c r="M321" s="666"/>
      <c r="N321" s="666"/>
    </row>
    <row r="322" spans="1:14" s="675" customFormat="1" x14ac:dyDescent="0.2">
      <c r="A322" s="1541" t="s">
        <v>256</v>
      </c>
      <c r="B322" s="698" t="s">
        <v>302</v>
      </c>
      <c r="C322" s="467">
        <v>0</v>
      </c>
      <c r="D322" s="467">
        <v>0</v>
      </c>
      <c r="E322" s="467">
        <v>33648</v>
      </c>
      <c r="F322" s="467">
        <v>0</v>
      </c>
      <c r="G322" s="467">
        <v>0</v>
      </c>
      <c r="H322" s="467">
        <v>0</v>
      </c>
      <c r="I322" s="467">
        <v>0</v>
      </c>
      <c r="J322" s="467">
        <v>0</v>
      </c>
      <c r="K322" s="1693">
        <f t="shared" si="24"/>
        <v>33648</v>
      </c>
      <c r="L322" s="467">
        <v>46000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404</v>
      </c>
      <c r="F325" s="467">
        <v>0</v>
      </c>
      <c r="G325" s="467">
        <v>6062</v>
      </c>
      <c r="H325" s="467">
        <v>0</v>
      </c>
      <c r="I325" s="467">
        <v>11697</v>
      </c>
      <c r="J325" s="467">
        <v>0</v>
      </c>
      <c r="K325" s="1693">
        <f t="shared" si="24"/>
        <v>18163</v>
      </c>
      <c r="L325" s="467">
        <v>44500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14097</v>
      </c>
      <c r="F327" s="467">
        <v>0</v>
      </c>
      <c r="G327" s="467">
        <v>0</v>
      </c>
      <c r="H327" s="467">
        <v>0</v>
      </c>
      <c r="I327" s="467">
        <v>0</v>
      </c>
      <c r="J327" s="467">
        <v>0</v>
      </c>
      <c r="K327" s="1693">
        <f t="shared" si="24"/>
        <v>14097</v>
      </c>
      <c r="L327" s="467">
        <v>35000</v>
      </c>
      <c r="M327" s="666"/>
      <c r="N327" s="666"/>
    </row>
    <row r="328" spans="1:14" s="675" customFormat="1" x14ac:dyDescent="0.2">
      <c r="A328" s="1542" t="s">
        <v>492</v>
      </c>
      <c r="B328" s="691" t="s">
        <v>1194</v>
      </c>
      <c r="C328" s="474">
        <v>0</v>
      </c>
      <c r="D328" s="474">
        <v>0</v>
      </c>
      <c r="E328" s="474">
        <v>46278</v>
      </c>
      <c r="F328" s="474">
        <v>0</v>
      </c>
      <c r="G328" s="474">
        <v>0</v>
      </c>
      <c r="H328" s="474">
        <v>0</v>
      </c>
      <c r="I328" s="474">
        <v>0</v>
      </c>
      <c r="J328" s="474">
        <v>0</v>
      </c>
      <c r="K328" s="1721">
        <f>SUM(C328:J328)</f>
        <v>46278</v>
      </c>
      <c r="L328" s="474">
        <v>47000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97979</v>
      </c>
      <c r="F330" s="1692">
        <f t="shared" si="25"/>
        <v>0</v>
      </c>
      <c r="G330" s="1692">
        <f t="shared" si="25"/>
        <v>6062</v>
      </c>
      <c r="H330" s="1692">
        <f t="shared" si="25"/>
        <v>0</v>
      </c>
      <c r="I330" s="1692">
        <f t="shared" si="25"/>
        <v>11697</v>
      </c>
      <c r="J330" s="1692">
        <f t="shared" si="25"/>
        <v>0</v>
      </c>
      <c r="K330" s="1692">
        <f>SUM(K319:K329)</f>
        <v>115738</v>
      </c>
      <c r="L330" s="1692">
        <f>SUM(L319:L329)</f>
        <v>188500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97979</v>
      </c>
      <c r="F342" s="1692">
        <f>SUM(F330)</f>
        <v>0</v>
      </c>
      <c r="G342" s="1692">
        <f>SUM(G330)</f>
        <v>6062</v>
      </c>
      <c r="H342" s="1692">
        <f>SUM(H330,H334,H340)</f>
        <v>0</v>
      </c>
      <c r="I342" s="1692">
        <f>SUM(I330)</f>
        <v>11697</v>
      </c>
      <c r="J342" s="1692">
        <f>SUM(J330)</f>
        <v>0</v>
      </c>
      <c r="K342" s="1692">
        <f>SUM(K330,K334,K340)</f>
        <v>115738</v>
      </c>
      <c r="L342" s="1699">
        <f>SUM(L330,L340,L341)</f>
        <v>188500</v>
      </c>
    </row>
    <row r="343" spans="1:14" ht="12.75" customHeight="1" thickTop="1" x14ac:dyDescent="0.2">
      <c r="A343" s="2188" t="s">
        <v>1053</v>
      </c>
      <c r="B343" s="2189"/>
      <c r="C343" s="617"/>
      <c r="D343" s="617"/>
      <c r="E343" s="617"/>
      <c r="F343" s="617"/>
      <c r="G343" s="617"/>
      <c r="H343" s="617"/>
      <c r="I343" s="617"/>
      <c r="J343" s="617"/>
      <c r="K343" s="1706">
        <f>'Revenues 9-14'!J275-'Expenditures 15-22'!K342</f>
        <v>68177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145926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9657004</v>
      </c>
      <c r="C4" s="1546">
        <v>5536054</v>
      </c>
      <c r="D4" s="1774">
        <f>B4-C4</f>
        <v>4120950</v>
      </c>
      <c r="E4" s="1546">
        <v>10815015</v>
      </c>
      <c r="F4" s="1774">
        <f>E4-C4</f>
        <v>5278961</v>
      </c>
    </row>
    <row r="5" spans="1:6" ht="13.7" customHeight="1" x14ac:dyDescent="0.2">
      <c r="A5" s="716" t="s">
        <v>925</v>
      </c>
      <c r="B5" s="1772">
        <f>'Revenues 9-14'!D5</f>
        <v>1500284</v>
      </c>
      <c r="C5" s="585">
        <v>852750</v>
      </c>
      <c r="D5" s="1775">
        <f t="shared" ref="D5:D18" si="0">B5-C5</f>
        <v>647534</v>
      </c>
      <c r="E5" s="585">
        <v>1665908</v>
      </c>
      <c r="F5" s="1775">
        <f>E5-C5</f>
        <v>813158</v>
      </c>
    </row>
    <row r="6" spans="1:6" ht="13.7" customHeight="1" x14ac:dyDescent="0.2">
      <c r="A6" s="716" t="s">
        <v>431</v>
      </c>
      <c r="B6" s="1772">
        <f>'Revenues 9-14'!E5</f>
        <v>1403565</v>
      </c>
      <c r="C6" s="585">
        <v>760188</v>
      </c>
      <c r="D6" s="1775">
        <f t="shared" si="0"/>
        <v>643377</v>
      </c>
      <c r="E6" s="585">
        <v>1485081</v>
      </c>
      <c r="F6" s="1775">
        <f t="shared" ref="F6:F18" si="1">E6-C6</f>
        <v>724893</v>
      </c>
    </row>
    <row r="7" spans="1:6" ht="13.7" customHeight="1" x14ac:dyDescent="0.2">
      <c r="A7" s="716" t="s">
        <v>157</v>
      </c>
      <c r="B7" s="1772">
        <f>'Revenues 9-14'!F5</f>
        <v>1616065</v>
      </c>
      <c r="C7" s="585">
        <v>359861</v>
      </c>
      <c r="D7" s="1775">
        <f t="shared" si="0"/>
        <v>1256204</v>
      </c>
      <c r="E7" s="585">
        <v>703013</v>
      </c>
      <c r="F7" s="1775">
        <f t="shared" si="1"/>
        <v>343152</v>
      </c>
    </row>
    <row r="8" spans="1:6" ht="13.7" customHeight="1" x14ac:dyDescent="0.2">
      <c r="A8" s="716" t="s">
        <v>1241</v>
      </c>
      <c r="B8" s="1772">
        <f>'Revenues 9-14'!G5</f>
        <v>334696</v>
      </c>
      <c r="C8" s="585">
        <v>144968</v>
      </c>
      <c r="D8" s="1775">
        <f t="shared" si="0"/>
        <v>189728</v>
      </c>
      <c r="E8" s="585">
        <v>283204</v>
      </c>
      <c r="F8" s="1775">
        <f t="shared" si="1"/>
        <v>138236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136350</v>
      </c>
      <c r="C10" s="585">
        <v>77523</v>
      </c>
      <c r="D10" s="1775">
        <f t="shared" si="0"/>
        <v>58827</v>
      </c>
      <c r="E10" s="585">
        <v>151446</v>
      </c>
      <c r="F10" s="1775">
        <f t="shared" si="1"/>
        <v>73923</v>
      </c>
    </row>
    <row r="11" spans="1:6" x14ac:dyDescent="0.2">
      <c r="A11" s="716" t="s">
        <v>429</v>
      </c>
      <c r="B11" s="1772">
        <f>'Revenues 9-14'!J5</f>
        <v>186316</v>
      </c>
      <c r="C11" s="585">
        <v>105431</v>
      </c>
      <c r="D11" s="1775">
        <f t="shared" si="0"/>
        <v>80885</v>
      </c>
      <c r="E11" s="585">
        <v>205967</v>
      </c>
      <c r="F11" s="1775">
        <f t="shared" si="1"/>
        <v>100536</v>
      </c>
    </row>
    <row r="12" spans="1:6" ht="13.7" customHeight="1" x14ac:dyDescent="0.2">
      <c r="A12" s="716" t="s">
        <v>159</v>
      </c>
      <c r="B12" s="1772">
        <f>'Revenues 9-14'!K5</f>
        <v>151465</v>
      </c>
      <c r="C12" s="585">
        <v>155045</v>
      </c>
      <c r="D12" s="1775">
        <f t="shared" si="0"/>
        <v>-3580</v>
      </c>
      <c r="E12" s="585">
        <v>302892</v>
      </c>
      <c r="F12" s="1775">
        <f t="shared" si="1"/>
        <v>147847</v>
      </c>
    </row>
    <row r="13" spans="1:6" ht="13.7" customHeight="1" x14ac:dyDescent="0.2">
      <c r="A13" s="716" t="s">
        <v>993</v>
      </c>
      <c r="B13" s="1772">
        <f>SUM('Revenues 9-14'!C6:D6)</f>
        <v>66122</v>
      </c>
      <c r="C13" s="585">
        <v>26358</v>
      </c>
      <c r="D13" s="1775">
        <f t="shared" si="0"/>
        <v>39764</v>
      </c>
      <c r="E13" s="585">
        <v>51492</v>
      </c>
      <c r="F13" s="1775">
        <f t="shared" si="1"/>
        <v>25134</v>
      </c>
    </row>
    <row r="14" spans="1:6" ht="13.7" customHeight="1" x14ac:dyDescent="0.2">
      <c r="A14" s="716" t="s">
        <v>430</v>
      </c>
      <c r="B14" s="1772">
        <f>SUM('Revenues 9-14'!C7:D7,'Revenues 9-14'!F7:H7)</f>
        <v>1091090</v>
      </c>
      <c r="C14" s="585">
        <v>620182</v>
      </c>
      <c r="D14" s="1775">
        <f t="shared" si="0"/>
        <v>470908</v>
      </c>
      <c r="E14" s="585">
        <v>1211569</v>
      </c>
      <c r="F14" s="1775">
        <f t="shared" si="1"/>
        <v>591387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347875</v>
      </c>
      <c r="C16" s="585">
        <v>158146</v>
      </c>
      <c r="D16" s="1775">
        <f t="shared" si="0"/>
        <v>189729</v>
      </c>
      <c r="E16" s="585">
        <v>308950</v>
      </c>
      <c r="F16" s="1775">
        <f t="shared" si="1"/>
        <v>150804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16490832</v>
      </c>
      <c r="C19" s="1773">
        <f>SUM(C4:C18)</f>
        <v>8796506</v>
      </c>
      <c r="D19" s="1773">
        <f>SUM(D4:D18)</f>
        <v>7694326</v>
      </c>
      <c r="E19" s="1773">
        <f>SUM(E4:E18)</f>
        <v>17184537</v>
      </c>
      <c r="F19" s="1773">
        <f>SUM(F4:F18)</f>
        <v>8388031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2102</v>
      </c>
      <c r="B31" s="734">
        <v>39083</v>
      </c>
      <c r="C31" s="735">
        <v>5870000</v>
      </c>
      <c r="D31" s="736">
        <v>3</v>
      </c>
      <c r="E31" s="735">
        <v>2415000</v>
      </c>
      <c r="F31" s="735"/>
      <c r="G31" s="735"/>
      <c r="H31" s="735">
        <v>1235000</v>
      </c>
      <c r="I31" s="1778">
        <f>((E31+F31)-H31)+G31</f>
        <v>1180000</v>
      </c>
      <c r="J31" s="735"/>
      <c r="K31" s="737"/>
    </row>
    <row r="32" spans="1:11" ht="12" customHeight="1" x14ac:dyDescent="0.2">
      <c r="A32" s="733" t="s">
        <v>2103</v>
      </c>
      <c r="B32" s="734">
        <v>42550</v>
      </c>
      <c r="C32" s="735">
        <v>8840000</v>
      </c>
      <c r="D32" s="736">
        <v>3</v>
      </c>
      <c r="E32" s="735">
        <v>8840000</v>
      </c>
      <c r="F32" s="735"/>
      <c r="G32" s="735"/>
      <c r="H32" s="735"/>
      <c r="I32" s="1778">
        <f>((E32+F32)-H32)+G32</f>
        <v>8840000</v>
      </c>
      <c r="J32" s="735">
        <v>8420466</v>
      </c>
      <c r="K32" s="737"/>
    </row>
    <row r="33" spans="1:11" ht="12" customHeight="1" x14ac:dyDescent="0.2">
      <c r="A33" s="733" t="s">
        <v>2104</v>
      </c>
      <c r="B33" s="734">
        <v>42550</v>
      </c>
      <c r="C33" s="735">
        <v>1265000</v>
      </c>
      <c r="D33" s="736">
        <v>3</v>
      </c>
      <c r="E33" s="735">
        <v>1265000</v>
      </c>
      <c r="F33" s="735"/>
      <c r="G33" s="735"/>
      <c r="H33" s="735"/>
      <c r="I33" s="1778">
        <f t="shared" ref="I33:I48" si="1">((E33+F33)-H33)+G33</f>
        <v>1265000</v>
      </c>
      <c r="J33" s="735">
        <v>1312149</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15975000</v>
      </c>
      <c r="D49" s="746"/>
      <c r="E49" s="1778">
        <f t="shared" ref="E49:J49" si="2">SUM(E31:E48)</f>
        <v>12520000</v>
      </c>
      <c r="F49" s="1778">
        <f t="shared" si="2"/>
        <v>0</v>
      </c>
      <c r="G49" s="1778">
        <f t="shared" si="2"/>
        <v>0</v>
      </c>
      <c r="H49" s="1778">
        <f t="shared" si="2"/>
        <v>1235000</v>
      </c>
      <c r="I49" s="1778">
        <f t="shared" si="2"/>
        <v>11285000</v>
      </c>
      <c r="J49" s="1778">
        <f t="shared" si="2"/>
        <v>9732615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Normal="10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1091090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1091090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1091090</v>
      </c>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1091090</v>
      </c>
      <c r="I23" s="1780">
        <f>SUM(I14:I16,I21,I22)</f>
        <v>0</v>
      </c>
      <c r="J23" s="1780">
        <f>SUM(J14:J16,J21,J22)</f>
        <v>0</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369846</v>
      </c>
      <c r="D5" s="842"/>
      <c r="E5" s="842"/>
      <c r="F5" s="1782">
        <f>(C5+D5)-E5</f>
        <v>369846</v>
      </c>
      <c r="G5" s="838"/>
      <c r="H5" s="843"/>
      <c r="I5" s="843"/>
      <c r="J5" s="843"/>
      <c r="K5" s="794"/>
      <c r="L5" s="1791">
        <f>F5-K5</f>
        <v>369846</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22424131</v>
      </c>
      <c r="D8" s="845">
        <v>8011235</v>
      </c>
      <c r="E8" s="845"/>
      <c r="F8" s="1782">
        <f>(C8+D8)-E8</f>
        <v>30435366</v>
      </c>
      <c r="G8" s="844">
        <v>50</v>
      </c>
      <c r="H8" s="766">
        <v>12161865</v>
      </c>
      <c r="I8" s="766">
        <v>857119</v>
      </c>
      <c r="J8" s="766"/>
      <c r="K8" s="1791">
        <f>(H8+I8)-J8</f>
        <v>13018984</v>
      </c>
      <c r="L8" s="1791">
        <f>F8-K8</f>
        <v>17416382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2287195</v>
      </c>
      <c r="D10" s="847"/>
      <c r="E10" s="847"/>
      <c r="F10" s="1786">
        <f>(C10+D10)-E10</f>
        <v>2287195</v>
      </c>
      <c r="G10" s="844">
        <v>20</v>
      </c>
      <c r="H10" s="848">
        <v>171586</v>
      </c>
      <c r="I10" s="848">
        <v>111997</v>
      </c>
      <c r="J10" s="848"/>
      <c r="K10" s="1791">
        <f>(H10+I10)-J10</f>
        <v>283583</v>
      </c>
      <c r="L10" s="1791">
        <f>F10-K10</f>
        <v>2003612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2293554</v>
      </c>
      <c r="D12" s="845">
        <v>19783</v>
      </c>
      <c r="E12" s="845">
        <v>277930</v>
      </c>
      <c r="F12" s="1782">
        <f>(C12+D12)-E12</f>
        <v>2035407</v>
      </c>
      <c r="G12" s="844">
        <v>10</v>
      </c>
      <c r="H12" s="766">
        <v>1212696</v>
      </c>
      <c r="I12" s="766">
        <v>136562</v>
      </c>
      <c r="J12" s="766">
        <v>276663</v>
      </c>
      <c r="K12" s="1791">
        <f>(H12+I12)-J12</f>
        <v>1072595</v>
      </c>
      <c r="L12" s="1791">
        <f>F12-K12</f>
        <v>962812</v>
      </c>
    </row>
    <row r="13" spans="1:14" ht="14.25" thickTop="1" thickBot="1" x14ac:dyDescent="0.25">
      <c r="A13" s="849" t="s">
        <v>1184</v>
      </c>
      <c r="B13" s="841">
        <v>252</v>
      </c>
      <c r="C13" s="845">
        <v>200606</v>
      </c>
      <c r="D13" s="845"/>
      <c r="E13" s="845"/>
      <c r="F13" s="1782">
        <f>(C13+D13)-E13</f>
        <v>200606</v>
      </c>
      <c r="G13" s="844">
        <v>5</v>
      </c>
      <c r="H13" s="766">
        <v>130567</v>
      </c>
      <c r="I13" s="766">
        <v>15127</v>
      </c>
      <c r="J13" s="766"/>
      <c r="K13" s="1791">
        <f>(H13+I13)-J13</f>
        <v>145694</v>
      </c>
      <c r="L13" s="1791">
        <f>F13-K13</f>
        <v>54912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4549898</v>
      </c>
      <c r="D15" s="845"/>
      <c r="E15" s="845">
        <v>4549898</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32125230</v>
      </c>
      <c r="D16" s="1782">
        <f>SUM(D3,D5:D6,D8:D10,D12:D15)</f>
        <v>8031018</v>
      </c>
      <c r="E16" s="1782">
        <f>SUM(E3,E5:E6,E8:E10,E12:E15)</f>
        <v>4827828</v>
      </c>
      <c r="F16" s="1782">
        <f>SUM(F3,F5:F6,F8:F10,F12:F15)</f>
        <v>35328420</v>
      </c>
      <c r="G16" s="844"/>
      <c r="H16" s="1782">
        <f>SUM(H3,H6,H8:H10,H12:H14,)</f>
        <v>13676714</v>
      </c>
      <c r="I16" s="1782">
        <f>SUM(I3,I6,I8:I10,I12:I14,)</f>
        <v>1120805</v>
      </c>
      <c r="J16" s="1782">
        <f>SUM(J3,J6,J8:J10,J12:J14,)</f>
        <v>276663</v>
      </c>
      <c r="K16" s="1782">
        <f>(H16+I16)-J16</f>
        <v>14520856</v>
      </c>
      <c r="L16" s="1782">
        <f>F16-K16</f>
        <v>20807564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1151385</v>
      </c>
      <c r="G17" s="838">
        <v>10</v>
      </c>
      <c r="H17" s="770"/>
      <c r="I17" s="1791">
        <f>F17/G17</f>
        <v>115138.5</v>
      </c>
      <c r="J17" s="770"/>
      <c r="K17" s="796"/>
      <c r="L17" s="796"/>
    </row>
    <row r="18" spans="1:12" ht="14.25" thickTop="1" thickBot="1" x14ac:dyDescent="0.25">
      <c r="A18" s="1789" t="s">
        <v>706</v>
      </c>
      <c r="B18" s="1790"/>
      <c r="C18" s="772"/>
      <c r="D18" s="772"/>
      <c r="E18" s="772"/>
      <c r="F18" s="851"/>
      <c r="G18" s="852"/>
      <c r="H18" s="774"/>
      <c r="I18" s="1782">
        <f>SUM(I16,I17)</f>
        <v>1235943.5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35"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15252949</v>
      </c>
      <c r="G8" s="866"/>
    </row>
    <row r="9" spans="1:7" x14ac:dyDescent="0.2">
      <c r="A9" s="870" t="s">
        <v>480</v>
      </c>
      <c r="B9" s="871" t="s">
        <v>1989</v>
      </c>
      <c r="C9" s="872"/>
      <c r="D9" s="870" t="s">
        <v>522</v>
      </c>
      <c r="E9" s="869"/>
      <c r="F9" s="1935">
        <f>'Expenditures 15-22'!K151</f>
        <v>1154054</v>
      </c>
      <c r="G9" s="873"/>
    </row>
    <row r="10" spans="1:7" x14ac:dyDescent="0.2">
      <c r="A10" s="870" t="s">
        <v>520</v>
      </c>
      <c r="B10" s="871" t="s">
        <v>1990</v>
      </c>
      <c r="C10" s="872"/>
      <c r="D10" s="870" t="s">
        <v>522</v>
      </c>
      <c r="E10" s="869"/>
      <c r="F10" s="1935">
        <f>'Expenditures 15-22'!K174</f>
        <v>1683313</v>
      </c>
      <c r="G10" s="873"/>
    </row>
    <row r="11" spans="1:7" x14ac:dyDescent="0.2">
      <c r="A11" s="870" t="s">
        <v>481</v>
      </c>
      <c r="B11" s="871" t="s">
        <v>1991</v>
      </c>
      <c r="C11" s="872"/>
      <c r="D11" s="870" t="s">
        <v>522</v>
      </c>
      <c r="E11" s="869"/>
      <c r="F11" s="1935">
        <f>'Expenditures 15-22'!K210</f>
        <v>797827</v>
      </c>
      <c r="G11" s="873"/>
    </row>
    <row r="12" spans="1:7" x14ac:dyDescent="0.2">
      <c r="A12" s="870" t="s">
        <v>482</v>
      </c>
      <c r="B12" s="871" t="s">
        <v>1992</v>
      </c>
      <c r="C12" s="872"/>
      <c r="D12" s="870" t="s">
        <v>522</v>
      </c>
      <c r="E12" s="869"/>
      <c r="F12" s="1935">
        <f>'Expenditures 15-22'!K295</f>
        <v>422149</v>
      </c>
      <c r="G12" s="873"/>
    </row>
    <row r="13" spans="1:7" x14ac:dyDescent="0.2">
      <c r="A13" s="870" t="s">
        <v>108</v>
      </c>
      <c r="B13" s="871" t="s">
        <v>1993</v>
      </c>
      <c r="C13" s="872"/>
      <c r="D13" s="870" t="s">
        <v>522</v>
      </c>
      <c r="E13" s="869"/>
      <c r="F13" s="1935">
        <f>'Expenditures 15-22'!K342</f>
        <v>115738</v>
      </c>
      <c r="G13" s="874"/>
    </row>
    <row r="14" spans="1:7" ht="12" customHeight="1" thickBot="1" x14ac:dyDescent="0.25">
      <c r="A14" s="1792"/>
      <c r="B14" s="1793"/>
      <c r="C14" s="1794"/>
      <c r="D14" s="1795" t="s">
        <v>522</v>
      </c>
      <c r="E14" s="1796" t="s">
        <v>1015</v>
      </c>
      <c r="F14" s="1797">
        <f>SUM(F8:F13)</f>
        <v>19426030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134176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78100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21293</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49334</v>
      </c>
      <c r="G52" s="866"/>
    </row>
    <row r="53" spans="1:7" x14ac:dyDescent="0.2">
      <c r="A53" s="870" t="s">
        <v>479</v>
      </c>
      <c r="B53" s="870" t="s">
        <v>1551</v>
      </c>
      <c r="C53" s="890">
        <f>'Expenditures 15-22'!B102</f>
        <v>4000</v>
      </c>
      <c r="D53" s="889" t="str">
        <f>'Expenditures 15-22'!A102</f>
        <v>Total Payments to Other Govt Units</v>
      </c>
      <c r="E53" s="869"/>
      <c r="F53" s="1939">
        <f>'Expenditures 15-22'!K102</f>
        <v>993232</v>
      </c>
      <c r="G53" s="866"/>
    </row>
    <row r="54" spans="1:7" x14ac:dyDescent="0.2">
      <c r="A54" s="870" t="s">
        <v>479</v>
      </c>
      <c r="B54" s="870" t="s">
        <v>1552</v>
      </c>
      <c r="C54" s="890" t="s">
        <v>1039</v>
      </c>
      <c r="D54" s="886" t="s">
        <v>1157</v>
      </c>
      <c r="E54" s="869"/>
      <c r="F54" s="1939">
        <f>'Expenditures 15-22'!G114</f>
        <v>39352</v>
      </c>
      <c r="G54" s="866"/>
    </row>
    <row r="55" spans="1:7" x14ac:dyDescent="0.2">
      <c r="A55" s="870" t="s">
        <v>479</v>
      </c>
      <c r="B55" s="870" t="s">
        <v>1553</v>
      </c>
      <c r="C55" s="890" t="s">
        <v>1039</v>
      </c>
      <c r="D55" s="886" t="s">
        <v>309</v>
      </c>
      <c r="E55" s="869"/>
      <c r="F55" s="1939">
        <f>'Expenditures 15-22'!I114</f>
        <v>1120447</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28712</v>
      </c>
      <c r="G57" s="866"/>
    </row>
    <row r="58" spans="1:7" x14ac:dyDescent="0.2">
      <c r="A58" s="870" t="s">
        <v>480</v>
      </c>
      <c r="B58" s="870" t="s">
        <v>1995</v>
      </c>
      <c r="C58" s="887" t="s">
        <v>1039</v>
      </c>
      <c r="D58" s="886" t="s">
        <v>1157</v>
      </c>
      <c r="E58" s="869"/>
      <c r="F58" s="1941">
        <f>'Expenditures 15-22'!G151</f>
        <v>16565</v>
      </c>
      <c r="G58" s="866"/>
    </row>
    <row r="59" spans="1:7" x14ac:dyDescent="0.2">
      <c r="A59" s="894" t="s">
        <v>480</v>
      </c>
      <c r="B59" s="857" t="s">
        <v>1996</v>
      </c>
      <c r="C59" s="895" t="s">
        <v>1039</v>
      </c>
      <c r="D59" s="857" t="s">
        <v>309</v>
      </c>
      <c r="F59" s="1942">
        <f>'Expenditures 15-22'!I151</f>
        <v>19241</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1235000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4027</v>
      </c>
      <c r="G67" s="866"/>
    </row>
    <row r="68" spans="1:8" x14ac:dyDescent="0.2">
      <c r="A68" s="870" t="s">
        <v>482</v>
      </c>
      <c r="B68" s="870" t="s">
        <v>1555</v>
      </c>
      <c r="C68" s="887" t="str">
        <f>'Expenditures 15-22'!B218</f>
        <v>1225</v>
      </c>
      <c r="D68" s="893" t="str">
        <f>'Expenditures 15-22'!A218</f>
        <v>Special Education Programs - Pre-K</v>
      </c>
      <c r="E68" s="869"/>
      <c r="F68" s="1939">
        <f>'Expenditures 15-22'!K218</f>
        <v>2354</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496</v>
      </c>
      <c r="G71" s="866"/>
    </row>
    <row r="72" spans="1:8" x14ac:dyDescent="0.2">
      <c r="A72" s="870" t="s">
        <v>482</v>
      </c>
      <c r="B72" s="870" t="s">
        <v>2008</v>
      </c>
      <c r="C72" s="887">
        <f>'Expenditures 15-22'!B280</f>
        <v>3000</v>
      </c>
      <c r="D72" s="877" t="s">
        <v>469</v>
      </c>
      <c r="E72" s="869"/>
      <c r="F72" s="1939">
        <f>'Expenditures 15-22'!K280</f>
        <v>762</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3743091</v>
      </c>
      <c r="G76" s="866"/>
    </row>
    <row r="77" spans="1:8" s="894" customFormat="1" ht="12" customHeight="1" thickTop="1" thickBot="1" x14ac:dyDescent="0.25">
      <c r="A77" s="1801"/>
      <c r="B77" s="1798"/>
      <c r="C77" s="1794"/>
      <c r="D77" s="1799" t="s">
        <v>2012</v>
      </c>
      <c r="E77" s="1796"/>
      <c r="F77" s="1802">
        <f>(F14-F76)</f>
        <v>15682939</v>
      </c>
      <c r="G77" s="870"/>
    </row>
    <row r="78" spans="1:8" s="894" customFormat="1" ht="12" customHeight="1" thickTop="1" x14ac:dyDescent="0.2">
      <c r="A78" s="1803"/>
      <c r="B78" s="1798"/>
      <c r="C78" s="1794"/>
      <c r="D78" s="1799" t="s">
        <v>2059</v>
      </c>
      <c r="E78" s="1796"/>
      <c r="F78" s="899">
        <v>995.72</v>
      </c>
      <c r="G78" s="900"/>
      <c r="H78" s="870"/>
    </row>
    <row r="79" spans="1:8" s="894" customFormat="1" ht="12" customHeight="1" thickBot="1" x14ac:dyDescent="0.25">
      <c r="A79" s="1804"/>
      <c r="B79" s="1798"/>
      <c r="C79" s="1794"/>
      <c r="D79" s="1799" t="s">
        <v>2013</v>
      </c>
      <c r="E79" s="1796" t="s">
        <v>1015</v>
      </c>
      <c r="F79" s="1805">
        <f>IF(F78&gt;0,F77/F78," Complete Line 78")</f>
        <v>15750.350500140601</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51362</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233207</v>
      </c>
      <c r="G94" s="913"/>
    </row>
    <row r="95" spans="1:7" x14ac:dyDescent="0.2">
      <c r="A95" s="909" t="s">
        <v>142</v>
      </c>
      <c r="B95" s="909" t="s">
        <v>177</v>
      </c>
      <c r="C95" s="911">
        <v>1700</v>
      </c>
      <c r="D95" s="919" t="str">
        <f>'Revenues 9-14'!A82</f>
        <v>Total District/School Activity Income</v>
      </c>
      <c r="E95" s="907"/>
      <c r="F95" s="1811">
        <f>SUM('Revenues 9-14'!C82,'Revenues 9-14'!D82)</f>
        <v>126181</v>
      </c>
      <c r="G95" s="913"/>
    </row>
    <row r="96" spans="1:7" x14ac:dyDescent="0.2">
      <c r="A96" s="909" t="s">
        <v>479</v>
      </c>
      <c r="B96" s="909" t="s">
        <v>178</v>
      </c>
      <c r="C96" s="911">
        <f>'Revenues 9-14'!B84</f>
        <v>1811</v>
      </c>
      <c r="D96" s="912" t="str">
        <f>'Revenues 9-14'!A84</f>
        <v>Rentals - Regular Textbooks</v>
      </c>
      <c r="E96" s="907"/>
      <c r="F96" s="1811">
        <f>'Revenues 9-14'!C84</f>
        <v>121680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131819</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17213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1165</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40536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17699</v>
      </c>
      <c r="G107" s="913"/>
    </row>
    <row r="108" spans="1:7" x14ac:dyDescent="0.2">
      <c r="A108" s="909" t="s">
        <v>479</v>
      </c>
      <c r="B108" s="909" t="s">
        <v>844</v>
      </c>
      <c r="C108" s="921">
        <f>'Revenues 9-14'!B145</f>
        <v>3360</v>
      </c>
      <c r="D108" s="912" t="str">
        <f>'Revenues 9-14'!A145</f>
        <v>State Free Lunch &amp; Breakfast</v>
      </c>
      <c r="E108" s="907"/>
      <c r="F108" s="1811">
        <f>'Revenues 9-14'!C145</f>
        <v>1372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344485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158775</v>
      </c>
      <c r="G129" s="931"/>
    </row>
    <row r="130" spans="1:7" x14ac:dyDescent="0.2">
      <c r="A130" s="928" t="s">
        <v>689</v>
      </c>
      <c r="B130" s="928" t="s">
        <v>804</v>
      </c>
      <c r="C130" s="933">
        <v>4300</v>
      </c>
      <c r="D130" s="934" t="str">
        <f>'Revenues 9-14'!A211</f>
        <v>Total Title I</v>
      </c>
      <c r="E130" s="907"/>
      <c r="F130" s="1811">
        <f>SUM('Revenues 9-14'!C211,'Revenues 9-14'!D211,'Revenues 9-14'!F211,'Revenues 9-14'!G211)</f>
        <v>122900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840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102589</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15477</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24468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11409</v>
      </c>
      <c r="G174" s="928"/>
    </row>
    <row r="175" spans="1:7" x14ac:dyDescent="0.2">
      <c r="A175" s="1944" t="s">
        <v>5</v>
      </c>
      <c r="B175" s="1945" t="s">
        <v>2058</v>
      </c>
      <c r="C175" s="1946">
        <v>3100</v>
      </c>
      <c r="D175" s="1947" t="s">
        <v>2061</v>
      </c>
      <c r="E175" s="907"/>
      <c r="F175" s="1931">
        <v>404190.16</v>
      </c>
      <c r="G175" s="928"/>
    </row>
    <row r="176" spans="1:7" x14ac:dyDescent="0.2">
      <c r="A176" s="1944" t="s">
        <v>685</v>
      </c>
      <c r="B176" s="1945" t="s">
        <v>2058</v>
      </c>
      <c r="C176" s="1946">
        <v>3300</v>
      </c>
      <c r="D176" s="1947" t="s">
        <v>2062</v>
      </c>
      <c r="E176" s="907"/>
      <c r="F176" s="1931">
        <v>55681.71</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1984548.8699999999</v>
      </c>
    </row>
    <row r="179" spans="1:7" ht="12" customHeight="1" x14ac:dyDescent="0.2">
      <c r="A179" s="1792"/>
      <c r="B179" s="1806"/>
      <c r="C179" s="1807"/>
      <c r="D179" s="1808" t="s">
        <v>2015</v>
      </c>
      <c r="E179" s="1809"/>
      <c r="F179" s="1811">
        <f>'PCTC-OEPP 27-28'!F77-F178</f>
        <v>13698390.130000001</v>
      </c>
    </row>
    <row r="180" spans="1:7" ht="12" customHeight="1" x14ac:dyDescent="0.2">
      <c r="A180" s="1792"/>
      <c r="B180" s="1806"/>
      <c r="C180" s="1807"/>
      <c r="D180" s="1808" t="s">
        <v>1924</v>
      </c>
      <c r="E180" s="1809"/>
      <c r="F180" s="1811">
        <f>'Cap Outlay Deprec 26'!I18</f>
        <v>1235943.5</v>
      </c>
    </row>
    <row r="181" spans="1:7" ht="12" customHeight="1" x14ac:dyDescent="0.2">
      <c r="A181" s="1792"/>
      <c r="B181" s="1806"/>
      <c r="C181" s="1807"/>
      <c r="D181" s="1808" t="s">
        <v>2016</v>
      </c>
      <c r="E181" s="1809"/>
      <c r="F181" s="1811">
        <f>F179+F180</f>
        <v>14934333.630000001</v>
      </c>
    </row>
    <row r="182" spans="1:7" ht="12" customHeight="1" x14ac:dyDescent="0.2">
      <c r="A182" s="1792"/>
      <c r="B182" s="1812"/>
      <c r="C182" s="1807"/>
      <c r="D182" s="1808" t="str">
        <f>D78</f>
        <v>9 Month ADA from District Average Daily Attendance/Prior General State Aid Inquiry 2017-2018</v>
      </c>
      <c r="E182" s="1809"/>
      <c r="F182" s="1813">
        <f>'PCTC-OEPP 27-28'!F78</f>
        <v>995.72</v>
      </c>
      <c r="G182" s="931"/>
    </row>
    <row r="183" spans="1:7" ht="12" customHeight="1" thickBot="1" x14ac:dyDescent="0.25">
      <c r="A183" s="1792"/>
      <c r="B183" s="1812"/>
      <c r="C183" s="1807"/>
      <c r="D183" s="1808" t="s">
        <v>2017</v>
      </c>
      <c r="E183" s="1809" t="s">
        <v>1626</v>
      </c>
      <c r="F183" s="1814">
        <f>F181/F182</f>
        <v>14998.527326959387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sqref="A1:F1"/>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2120</v>
      </c>
      <c r="B17" s="1958" t="s">
        <v>2127</v>
      </c>
      <c r="C17" s="1957" t="s">
        <v>2121</v>
      </c>
      <c r="D17" s="1867">
        <v>358280.54</v>
      </c>
      <c r="E17" s="1562">
        <f t="shared" ref="E17:E141" si="1">IF(D17&lt;=25000,D17,IF(D17&gt;25000,25000,0))</f>
        <v>25000</v>
      </c>
      <c r="F17" s="1815">
        <f t="shared" si="0"/>
        <v>25000</v>
      </c>
      <c r="G17" s="1816">
        <f>IF(F17=0,0,D17-F17)</f>
        <v>333280.53999999998</v>
      </c>
      <c r="H17" s="1669"/>
    </row>
    <row r="18" spans="1:8" x14ac:dyDescent="0.25">
      <c r="A18" s="1956" t="s">
        <v>2122</v>
      </c>
      <c r="B18" s="1959" t="s">
        <v>2128</v>
      </c>
      <c r="C18" s="1957" t="s">
        <v>2123</v>
      </c>
      <c r="D18" s="1867">
        <v>42485</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17485</v>
      </c>
    </row>
    <row r="19" spans="1:8" x14ac:dyDescent="0.25">
      <c r="A19" s="1956" t="s">
        <v>2124</v>
      </c>
      <c r="B19" s="1958" t="s">
        <v>2126</v>
      </c>
      <c r="C19" s="1957" t="s">
        <v>2125</v>
      </c>
      <c r="D19" s="1867">
        <v>26150</v>
      </c>
      <c r="E19" s="1562">
        <f t="shared" si="2"/>
        <v>25000</v>
      </c>
      <c r="F19" s="1815">
        <f t="shared" si="3"/>
        <v>25000</v>
      </c>
      <c r="G19" s="1816">
        <f t="shared" si="4"/>
        <v>1150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426915.54</v>
      </c>
      <c r="E141" s="1563">
        <f t="shared" si="1"/>
        <v>25000</v>
      </c>
      <c r="F141" s="1817">
        <f>SUM(F17:F140)</f>
        <v>75000</v>
      </c>
      <c r="G141" s="1818">
        <f>SUM(G17:G140)</f>
        <v>351915.54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Normal="10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158775</v>
      </c>
      <c r="F10" s="975"/>
      <c r="G10" s="976"/>
      <c r="H10" s="162"/>
      <c r="I10" s="162"/>
    </row>
    <row r="11" spans="1:9" s="669" customFormat="1" ht="22.5" customHeight="1" x14ac:dyDescent="0.2">
      <c r="A11" s="2306" t="s">
        <v>1945</v>
      </c>
      <c r="B11" s="2307"/>
      <c r="C11" s="2307"/>
      <c r="D11" s="2308"/>
      <c r="E11" s="978">
        <v>28045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8093505</v>
      </c>
      <c r="F19" s="1822"/>
      <c r="G19" s="1824">
        <f>'Expenditures 15-22'!K33-SUM('Expenditures 15-22'!G33,'Expenditures 15-22'!I33)+'Expenditures 15-22'!D229</f>
        <v>8093505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1112422</v>
      </c>
      <c r="F21" s="1825"/>
      <c r="G21" s="1828">
        <f>'Expenditures 15-22'!K42-SUM('Expenditures 15-22'!G42,'Expenditures 15-22'!I42)+'Expenditures 15-22'!K120-SUM('Expenditures 15-22'!G120,'Expenditures 15-22'!I120)+'Expenditures 15-22'!K180-SUM('Expenditures 15-22'!G180,'Expenditures 15-22'!I180)+'Expenditures 15-22'!D238</f>
        <v>1112422</v>
      </c>
      <c r="H21" s="988"/>
      <c r="I21" s="162"/>
    </row>
    <row r="22" spans="1:9" s="669" customFormat="1" ht="12" customHeight="1" x14ac:dyDescent="0.2">
      <c r="A22" s="995" t="s">
        <v>585</v>
      </c>
      <c r="B22" s="996"/>
      <c r="C22" s="994">
        <v>2200</v>
      </c>
      <c r="D22" s="1825"/>
      <c r="E22" s="1827">
        <f>'Expenditures 15-22'!K47-SUM('Expenditures 15-22'!G47,'Expenditures 15-22'!I47)+'Expenditures 15-22'!D243</f>
        <v>873618</v>
      </c>
      <c r="F22" s="1825"/>
      <c r="G22" s="1828">
        <f>'Expenditures 15-22'!K47-SUM('Expenditures 15-22'!G47,'Expenditures 15-22'!I47)+'Expenditures 15-22'!D243</f>
        <v>873618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647348</v>
      </c>
      <c r="F23" s="1825"/>
      <c r="G23" s="1827">
        <f>'Expenditures 15-22'!K53-SUM('Expenditures 15-22'!G53,'Expenditures 15-22'!I53)+'Expenditures 15-22'!D257+'Expenditures 15-22'!K330-SUM('Expenditures 15-22'!G330,'Expenditures 15-22'!I330)</f>
        <v>647348</v>
      </c>
      <c r="H23" s="988"/>
      <c r="I23" s="162"/>
    </row>
    <row r="24" spans="1:9" s="669" customFormat="1" ht="12" customHeight="1" x14ac:dyDescent="0.2">
      <c r="A24" s="995" t="s">
        <v>587</v>
      </c>
      <c r="B24" s="996"/>
      <c r="C24" s="994">
        <v>2400</v>
      </c>
      <c r="D24" s="1825"/>
      <c r="E24" s="1827">
        <f>'Expenditures 15-22'!K57-SUM('Expenditures 15-22'!G57,'Expenditures 15-22'!I57)+'Expenditures 15-22'!D261</f>
        <v>1350288</v>
      </c>
      <c r="F24" s="1825"/>
      <c r="G24" s="1828">
        <f>'Expenditures 15-22'!K57-SUM('Expenditures 15-22'!G57,'Expenditures 15-22'!I57)+'Expenditures 15-22'!D261</f>
        <v>1350288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166553</v>
      </c>
      <c r="E26" s="1827">
        <f>'Expenditures 15-22'!K122-SUM('Expenditures 15-22'!G122,'Expenditures 15-22'!I122)+E7</f>
        <v>0</v>
      </c>
      <c r="F26" s="1827">
        <f>'Expenditures 15-22'!K59-SUM('Expenditures 15-22'!G59,'Expenditures 15-22'!I59)+'Expenditures 15-22'!D263-E7</f>
        <v>166553</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306897</v>
      </c>
      <c r="E27" s="1827">
        <f>E8</f>
        <v>0</v>
      </c>
      <c r="F27" s="1827">
        <f>'Expenditures 15-22'!K60-SUM('Expenditures 15-22'!G60,'Expenditures 15-22'!I60)+'Expenditures 15-22'!D264-E8</f>
        <v>306897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1149063</v>
      </c>
      <c r="F28" s="1829">
        <f>'Expenditures 15-22'!K61-SUM('Expenditures 15-22'!G61,'Expenditures 15-22'!I61)+'Expenditures 15-22'!K124-SUM('Expenditures 15-22'!G124,'Expenditures 15-22'!I124)+'Expenditures 15-22'!D266-E9</f>
        <v>1149063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813636</v>
      </c>
      <c r="F29" s="1825"/>
      <c r="G29" s="1828">
        <f>'Expenditures 15-22'!K62-SUM('Expenditures 15-22'!G62,'Expenditures 15-22'!I62)+'Expenditures 15-22'!K125-SUM('Expenditures 15-22'!G125,'Expenditures 15-22'!I125)+'Expenditures 15-22'!K182-SUM('Expenditures 15-22'!G182,'Expenditures 15-22'!I182)+'Expenditures 15-22'!D267</f>
        <v>813636</v>
      </c>
      <c r="H29" s="986"/>
    </row>
    <row r="30" spans="1:9" ht="12" customHeight="1" x14ac:dyDescent="0.2">
      <c r="A30" s="995" t="s">
        <v>102</v>
      </c>
      <c r="B30" s="998"/>
      <c r="C30" s="994">
        <v>2560</v>
      </c>
      <c r="D30" s="1825"/>
      <c r="E30" s="1827">
        <f>'Expenditures 15-22'!K63-SUM('Expenditures 15-22'!G63,'Expenditures 15-22'!I63)+'Expenditures 15-22'!D268-E10</f>
        <v>177422</v>
      </c>
      <c r="F30" s="1825"/>
      <c r="G30" s="1827">
        <f>'Expenditures 15-22'!K63-SUM('Expenditures 15-22'!G63,'Expenditures 15-22'!I63)+'Expenditures 15-22'!D268-E10</f>
        <v>177422</v>
      </c>
    </row>
    <row r="31" spans="1:9" ht="12" customHeight="1" x14ac:dyDescent="0.2">
      <c r="A31" s="995" t="s">
        <v>103</v>
      </c>
      <c r="B31" s="998"/>
      <c r="C31" s="994">
        <v>2570</v>
      </c>
      <c r="D31" s="1827">
        <f>'Expenditures 15-22'!K64-SUM('Expenditures 15-22'!G64,'Expenditures 15-22'!I64)+'Expenditures 15-22'!D269-E12</f>
        <v>83832</v>
      </c>
      <c r="E31" s="1827">
        <f>E12</f>
        <v>0</v>
      </c>
      <c r="F31" s="1827">
        <f>'Expenditures 15-22'!K64-SUM('Expenditures 15-22'!G64,'Expenditures 15-22'!I64)+'Expenditures 15-22'!D269-E12</f>
        <v>83832</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15700</v>
      </c>
      <c r="F35" s="1825"/>
      <c r="G35" s="1827">
        <f>'Expenditures 15-22'!K69-SUM('Expenditures 15-22'!G69,'Expenditures 15-22'!I69)+'Expenditures 15-22'!D274</f>
        <v>15700</v>
      </c>
    </row>
    <row r="36" spans="1:7" ht="12" customHeight="1" x14ac:dyDescent="0.2">
      <c r="A36" s="995" t="s">
        <v>423</v>
      </c>
      <c r="B36" s="998"/>
      <c r="C36" s="994">
        <v>2640</v>
      </c>
      <c r="D36" s="1827">
        <f>'Expenditures 15-22'!K70-SUM('Expenditures 15-22'!G70,'Expenditures 15-22'!I70)+'Expenditures 15-22'!D275-E13</f>
        <v>61</v>
      </c>
      <c r="E36" s="1827">
        <f>E13</f>
        <v>0</v>
      </c>
      <c r="F36" s="1827">
        <f>'Expenditures 15-22'!K70-SUM('Expenditures 15-22'!G70,'Expenditures 15-22'!I70)+'Expenditures 15-22'!D275-E13</f>
        <v>61</v>
      </c>
      <c r="G36" s="1827">
        <f>E13</f>
        <v>0</v>
      </c>
    </row>
    <row r="37" spans="1:7" ht="12" customHeight="1" x14ac:dyDescent="0.2">
      <c r="A37" s="995" t="s">
        <v>424</v>
      </c>
      <c r="B37" s="998"/>
      <c r="C37" s="994">
        <v>2660</v>
      </c>
      <c r="D37" s="1827">
        <f>'Expenditures 15-22'!K71-SUM('Expenditures 15-22'!G71,'Expenditures 15-22'!I71)+'Expenditures 15-22'!D276-E14</f>
        <v>508003</v>
      </c>
      <c r="E37" s="1827">
        <f>E14</f>
        <v>0</v>
      </c>
      <c r="F37" s="1827">
        <f>'Expenditures 15-22'!K71-SUM('Expenditures 15-22'!G71,'Expenditures 15-22'!I71)+'Expenditures 15-22'!D276-E14</f>
        <v>508003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50096</v>
      </c>
      <c r="F39" s="1825"/>
      <c r="G39" s="1827">
        <f>'Expenditures 15-22'!K75-SUM('Expenditures 15-22'!G75,'Expenditures 15-22'!I75)+'Expenditures 15-22'!K130-SUM('Expenditures 15-22'!G130,'Expenditures 15-22'!I130)+'Expenditures 15-22'!K185-SUM('Expenditures 15-22'!G185,'Expenditures 15-22'!I185)+'Expenditures 15-22'!D280</f>
        <v>50096</v>
      </c>
    </row>
    <row r="40" spans="1:7" ht="12" customHeight="1" x14ac:dyDescent="0.2">
      <c r="A40" s="991" t="s">
        <v>1930</v>
      </c>
      <c r="B40" s="992"/>
      <c r="C40" s="994"/>
      <c r="D40" s="1825"/>
      <c r="E40" s="1829">
        <f>-'Contracts Paid in CY 29'!G141</f>
        <v>-351915.54</v>
      </c>
      <c r="F40" s="1825"/>
      <c r="G40" s="1829">
        <f>-'Contracts Paid in CY 29'!G141</f>
        <v>-351915.54</v>
      </c>
    </row>
    <row r="41" spans="1:7" ht="12" customHeight="1" x14ac:dyDescent="0.2">
      <c r="A41" s="999" t="s">
        <v>158</v>
      </c>
      <c r="B41" s="1000"/>
      <c r="C41" s="1001"/>
      <c r="D41" s="1829">
        <f>SUM(D19:D39)</f>
        <v>1065346</v>
      </c>
      <c r="E41" s="1829">
        <f>SUM(E19:E40)</f>
        <v>13931182.460000001</v>
      </c>
      <c r="F41" s="1829">
        <f>SUM(F19:F39)</f>
        <v>2214409</v>
      </c>
      <c r="G41" s="1829">
        <f>SUM(G19:G40)</f>
        <v>12782119.460000001</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1065346</v>
      </c>
      <c r="F43" s="1830" t="s">
        <v>495</v>
      </c>
      <c r="G43" s="1831">
        <f>F41</f>
        <v>2214409</v>
      </c>
    </row>
    <row r="44" spans="1:7" ht="12" customHeight="1" x14ac:dyDescent="0.2">
      <c r="A44" s="988"/>
      <c r="B44" s="162"/>
      <c r="C44" s="1002"/>
      <c r="D44" s="1830" t="s">
        <v>494</v>
      </c>
      <c r="E44" s="1831">
        <f>E41</f>
        <v>13931182.460000001</v>
      </c>
      <c r="F44" s="1830" t="s">
        <v>494</v>
      </c>
      <c r="G44" s="1831">
        <f>G41</f>
        <v>12782119.460000001</v>
      </c>
    </row>
    <row r="45" spans="1:7" ht="12" customHeight="1" x14ac:dyDescent="0.2">
      <c r="A45" s="988"/>
      <c r="B45" s="162"/>
      <c r="C45" s="162"/>
      <c r="D45" s="1832" t="s">
        <v>1063</v>
      </c>
      <c r="E45" s="1833">
        <f>(E43/E44)</f>
        <v>7.6472044139747772E-2</v>
      </c>
      <c r="F45" s="1832" t="s">
        <v>1063</v>
      </c>
      <c r="G45" s="1833">
        <f>(G43/G44)</f>
        <v>0.17324270884259127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Skokie SD 73-5</v>
      </c>
      <c r="D6" s="2327"/>
      <c r="E6" s="2327"/>
      <c r="F6" s="1877"/>
    </row>
    <row r="7" spans="1:10" ht="11.25" customHeight="1" thickBot="1" x14ac:dyDescent="0.3">
      <c r="A7" s="1875"/>
      <c r="B7" s="1876"/>
      <c r="C7" s="2328">
        <f>COVER!A13</f>
        <v>5016073502</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2081</v>
      </c>
      <c r="D11" s="1890" t="s">
        <v>2081</v>
      </c>
      <c r="E11" s="1891"/>
      <c r="F11" s="1892" t="s">
        <v>2105</v>
      </c>
      <c r="H11" s="1903">
        <f>IF(C11="X",5,0)</f>
        <v>5</v>
      </c>
      <c r="I11" s="1903">
        <f>IF(D11="X",5,0)</f>
        <v>5</v>
      </c>
      <c r="J11" s="1903">
        <f>IF(E11="X",5,0)</f>
        <v>0</v>
      </c>
    </row>
    <row r="12" spans="1:10" ht="12" customHeight="1" x14ac:dyDescent="0.2">
      <c r="A12" s="1888" t="s">
        <v>1451</v>
      </c>
      <c r="B12" s="1889"/>
      <c r="C12" s="1890" t="s">
        <v>2081</v>
      </c>
      <c r="D12" s="1890" t="s">
        <v>2081</v>
      </c>
      <c r="E12" s="1893"/>
      <c r="F12" s="1892" t="s">
        <v>2106</v>
      </c>
      <c r="H12" s="1903">
        <f t="shared" ref="H12:H33" si="0">IF(C12="X",5,0)</f>
        <v>5</v>
      </c>
      <c r="I12" s="1903">
        <f t="shared" ref="I12:I33" si="1">IF(D12="X",5,0)</f>
        <v>5</v>
      </c>
      <c r="J12" s="1903">
        <f t="shared" ref="J12:J33" si="2">IF(E12="X",5,0)</f>
        <v>0</v>
      </c>
    </row>
    <row r="13" spans="1:10" ht="12" customHeight="1" x14ac:dyDescent="0.2">
      <c r="A13" s="1888" t="s">
        <v>1452</v>
      </c>
      <c r="B13" s="1889"/>
      <c r="C13" s="1890" t="s">
        <v>2081</v>
      </c>
      <c r="D13" s="1890" t="s">
        <v>2081</v>
      </c>
      <c r="E13" s="1893"/>
      <c r="F13" s="1892" t="s">
        <v>2107</v>
      </c>
      <c r="H13" s="1903">
        <f t="shared" si="0"/>
        <v>5</v>
      </c>
      <c r="I13" s="1903">
        <f t="shared" si="1"/>
        <v>5</v>
      </c>
      <c r="J13" s="1903">
        <f t="shared" si="2"/>
        <v>0</v>
      </c>
    </row>
    <row r="14" spans="1:10" ht="12" customHeight="1" x14ac:dyDescent="0.2">
      <c r="A14" s="1888" t="s">
        <v>1453</v>
      </c>
      <c r="B14" s="1889"/>
      <c r="C14" s="1890" t="s">
        <v>2081</v>
      </c>
      <c r="D14" s="1890" t="s">
        <v>2081</v>
      </c>
      <c r="E14" s="1893"/>
      <c r="F14" s="1892" t="s">
        <v>2108</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2081</v>
      </c>
      <c r="D16" s="1890" t="s">
        <v>2081</v>
      </c>
      <c r="E16" s="1893"/>
      <c r="F16" s="1892" t="s">
        <v>2109</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2081</v>
      </c>
      <c r="D19" s="1890" t="s">
        <v>2081</v>
      </c>
      <c r="E19" s="1893"/>
      <c r="F19" s="1892" t="s">
        <v>2110</v>
      </c>
      <c r="H19" s="1903">
        <f t="shared" si="0"/>
        <v>5</v>
      </c>
      <c r="I19" s="1903">
        <f t="shared" si="1"/>
        <v>5</v>
      </c>
      <c r="J19" s="1903">
        <f t="shared" si="2"/>
        <v>0</v>
      </c>
    </row>
    <row r="20" spans="1:12" ht="12" customHeight="1" x14ac:dyDescent="0.2">
      <c r="A20" s="1888" t="s">
        <v>1609</v>
      </c>
      <c r="B20" s="1889"/>
      <c r="C20" s="1890" t="s">
        <v>2081</v>
      </c>
      <c r="D20" s="1890" t="s">
        <v>2081</v>
      </c>
      <c r="E20" s="1893"/>
      <c r="F20" s="1892" t="s">
        <v>2111</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t="s">
        <v>2081</v>
      </c>
      <c r="D22" s="1890" t="s">
        <v>2081</v>
      </c>
      <c r="E22" s="1893"/>
      <c r="F22" s="1892" t="s">
        <v>2112</v>
      </c>
      <c r="H22" s="1903">
        <f t="shared" si="0"/>
        <v>5</v>
      </c>
      <c r="I22" s="1903">
        <f t="shared" si="1"/>
        <v>5</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2081</v>
      </c>
      <c r="D24" s="1890" t="s">
        <v>2081</v>
      </c>
      <c r="E24" s="1893"/>
      <c r="F24" s="1892" t="s">
        <v>2113</v>
      </c>
      <c r="H24" s="1903">
        <f t="shared" si="0"/>
        <v>5</v>
      </c>
      <c r="I24" s="1903">
        <f t="shared" si="1"/>
        <v>5</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2081</v>
      </c>
      <c r="D26" s="1890" t="s">
        <v>2081</v>
      </c>
      <c r="E26" s="1893"/>
      <c r="F26" s="1892" t="s">
        <v>2114</v>
      </c>
      <c r="H26" s="1903">
        <f t="shared" si="0"/>
        <v>5</v>
      </c>
      <c r="I26" s="1903">
        <f t="shared" si="1"/>
        <v>5</v>
      </c>
      <c r="J26" s="1903">
        <f t="shared" si="2"/>
        <v>0</v>
      </c>
    </row>
    <row r="27" spans="1:12" ht="18.75" x14ac:dyDescent="0.2">
      <c r="A27" s="1888" t="s">
        <v>1616</v>
      </c>
      <c r="B27" s="1889"/>
      <c r="C27" s="1890" t="s">
        <v>2081</v>
      </c>
      <c r="D27" s="1890" t="s">
        <v>2081</v>
      </c>
      <c r="E27" s="1893"/>
      <c r="F27" s="1892" t="s">
        <v>2107</v>
      </c>
      <c r="H27" s="1903">
        <f t="shared" si="0"/>
        <v>5</v>
      </c>
      <c r="I27" s="1903">
        <f t="shared" si="1"/>
        <v>5</v>
      </c>
      <c r="J27" s="1903">
        <f t="shared" si="2"/>
        <v>0</v>
      </c>
    </row>
    <row r="28" spans="1:12" ht="12" customHeight="1" x14ac:dyDescent="0.2">
      <c r="A28" s="1888" t="s">
        <v>1617</v>
      </c>
      <c r="B28" s="1889"/>
      <c r="C28" s="1890" t="s">
        <v>2081</v>
      </c>
      <c r="D28" s="1890" t="s">
        <v>2081</v>
      </c>
      <c r="E28" s="1893"/>
      <c r="F28" s="1892" t="s">
        <v>2115</v>
      </c>
      <c r="H28" s="1903">
        <f t="shared" si="0"/>
        <v>5</v>
      </c>
      <c r="I28" s="1903">
        <f t="shared" si="1"/>
        <v>5</v>
      </c>
      <c r="J28" s="1903">
        <f t="shared" si="2"/>
        <v>0</v>
      </c>
    </row>
    <row r="29" spans="1:12" ht="12" customHeight="1" x14ac:dyDescent="0.2">
      <c r="A29" s="1888" t="s">
        <v>1618</v>
      </c>
      <c r="B29" s="1889"/>
      <c r="C29" s="1890" t="s">
        <v>2081</v>
      </c>
      <c r="D29" s="1890" t="s">
        <v>2081</v>
      </c>
      <c r="E29" s="1893"/>
      <c r="F29" s="1892" t="s">
        <v>2116</v>
      </c>
      <c r="H29" s="1903">
        <f t="shared" si="0"/>
        <v>5</v>
      </c>
      <c r="I29" s="1903">
        <f t="shared" si="1"/>
        <v>5</v>
      </c>
      <c r="J29" s="1903">
        <f t="shared" si="2"/>
        <v>0</v>
      </c>
    </row>
    <row r="30" spans="1:12" ht="12" customHeight="1" x14ac:dyDescent="0.2">
      <c r="A30" s="1888" t="s">
        <v>1619</v>
      </c>
      <c r="B30" s="1889"/>
      <c r="C30" s="1890" t="s">
        <v>2081</v>
      </c>
      <c r="D30" s="1890" t="s">
        <v>2081</v>
      </c>
      <c r="E30" s="1893"/>
      <c r="F30" s="1892" t="s">
        <v>2117</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2081</v>
      </c>
      <c r="D32" s="1890" t="s">
        <v>2081</v>
      </c>
      <c r="E32" s="1893"/>
      <c r="F32" s="1892" t="s">
        <v>2118</v>
      </c>
      <c r="H32" s="1903">
        <f t="shared" si="0"/>
        <v>5</v>
      </c>
      <c r="I32" s="1903">
        <f t="shared" si="1"/>
        <v>5</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75</v>
      </c>
      <c r="I34" s="1903">
        <f>SUM(I11:I32)</f>
        <v>75</v>
      </c>
      <c r="J34" s="1903">
        <f>SUM(J11:J32)</f>
        <v>0</v>
      </c>
      <c r="K34" s="1903">
        <f>SUM(H34:J34)</f>
        <v>150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Skokie SD 73-5</v>
      </c>
      <c r="J6" s="2337"/>
      <c r="Q6" s="1686"/>
    </row>
    <row r="7" spans="1:17" x14ac:dyDescent="0.2">
      <c r="A7" s="2338" t="s">
        <v>924</v>
      </c>
      <c r="B7" s="2339"/>
      <c r="C7" s="2339"/>
      <c r="D7" s="2339"/>
      <c r="E7" s="2340"/>
      <c r="F7" s="1018"/>
      <c r="G7" s="1010"/>
      <c r="H7" s="1017" t="s">
        <v>390</v>
      </c>
      <c r="I7" s="2341">
        <f>COVER!A13</f>
        <v>5016073502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429712</v>
      </c>
      <c r="F12" s="1040"/>
      <c r="G12" s="1834">
        <f t="shared" ref="G12:G18" si="0">SUM(E12:F12)</f>
        <v>429712</v>
      </c>
      <c r="H12" s="1041">
        <v>448700</v>
      </c>
      <c r="I12" s="1040"/>
      <c r="J12" s="1834">
        <f t="shared" ref="J12:J18" si="1">SUM(H12:I12)</f>
        <v>448700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164413</v>
      </c>
      <c r="F15" s="1834">
        <f>'Expenditures 15-22'!K122</f>
        <v>0</v>
      </c>
      <c r="G15" s="1834">
        <f t="shared" si="0"/>
        <v>164413</v>
      </c>
      <c r="H15" s="1041">
        <v>165476</v>
      </c>
      <c r="I15" s="1041"/>
      <c r="J15" s="1834">
        <f t="shared" si="1"/>
        <v>165476</v>
      </c>
    </row>
    <row r="16" spans="1:17" ht="15" customHeight="1" x14ac:dyDescent="0.2">
      <c r="A16" s="1036">
        <v>5</v>
      </c>
      <c r="B16" s="1037" t="s">
        <v>103</v>
      </c>
      <c r="C16" s="1038"/>
      <c r="D16" s="1039">
        <v>2570</v>
      </c>
      <c r="E16" s="1834">
        <f>'Expenditures 15-22'!K64</f>
        <v>83832</v>
      </c>
      <c r="F16" s="1040"/>
      <c r="G16" s="1834">
        <f t="shared" si="0"/>
        <v>83832</v>
      </c>
      <c r="H16" s="1041">
        <v>92000</v>
      </c>
      <c r="I16" s="1040"/>
      <c r="J16" s="1834">
        <f t="shared" si="1"/>
        <v>92000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677957</v>
      </c>
      <c r="F19" s="1836">
        <f t="shared" si="2"/>
        <v>0</v>
      </c>
      <c r="G19" s="1836">
        <f t="shared" si="2"/>
        <v>677957</v>
      </c>
      <c r="H19" s="1836">
        <f t="shared" si="2"/>
        <v>706176</v>
      </c>
      <c r="I19" s="1836">
        <f t="shared" si="2"/>
        <v>0</v>
      </c>
      <c r="J19" s="1836">
        <f t="shared" si="2"/>
        <v>706176</v>
      </c>
    </row>
    <row r="20" spans="1:10" ht="13.5" thickTop="1" x14ac:dyDescent="0.2">
      <c r="A20" s="1036">
        <v>9</v>
      </c>
      <c r="B20" s="2348" t="s">
        <v>1703</v>
      </c>
      <c r="C20" s="2348"/>
      <c r="D20" s="2349"/>
      <c r="E20" s="1047"/>
      <c r="F20" s="1047"/>
      <c r="G20" s="1047"/>
      <c r="H20" s="1047"/>
      <c r="I20" s="1047"/>
      <c r="J20" s="1837">
        <f>IF(AND(G19&gt;0,J19&gt;0),(((J19-G19)/G19)),"Enter Budget Data")</f>
        <v>4.1623583796612469E-2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B1" zoomScaleNormal="10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2077</v>
      </c>
    </row>
    <row r="6" spans="1:2" x14ac:dyDescent="0.2">
      <c r="A6" s="1069">
        <v>2</v>
      </c>
      <c r="B6" s="329" t="s">
        <v>2080</v>
      </c>
    </row>
    <row r="7" spans="1:2" x14ac:dyDescent="0.2">
      <c r="A7" s="1069">
        <v>3</v>
      </c>
      <c r="B7" s="329" t="s">
        <v>2079</v>
      </c>
    </row>
    <row r="8" spans="1:2" x14ac:dyDescent="0.2">
      <c r="A8" s="1069">
        <v>4</v>
      </c>
      <c r="B8" s="329" t="s">
        <v>2078</v>
      </c>
    </row>
    <row r="9" spans="1:2" x14ac:dyDescent="0.2">
      <c r="A9" s="1070">
        <v>5</v>
      </c>
      <c r="B9" s="329" t="s">
        <v>2132</v>
      </c>
    </row>
    <row r="10" spans="1:2" x14ac:dyDescent="0.2">
      <c r="A10" s="1070">
        <v>6</v>
      </c>
      <c r="B10" s="329" t="s">
        <v>2119</v>
      </c>
    </row>
    <row r="11" spans="1:2" x14ac:dyDescent="0.2">
      <c r="A11" s="1070">
        <v>7</v>
      </c>
      <c r="B11" s="329" t="s">
        <v>2129</v>
      </c>
    </row>
    <row r="12" spans="1:2" x14ac:dyDescent="0.2">
      <c r="A12" s="1070">
        <v>8</v>
      </c>
      <c r="B12" s="329" t="s">
        <v>2130</v>
      </c>
    </row>
    <row r="13" spans="1:2" x14ac:dyDescent="0.2">
      <c r="A13" s="1070">
        <v>9</v>
      </c>
      <c r="B13" s="329" t="s">
        <v>2131</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Skokie SD 73-5</v>
      </c>
    </row>
    <row r="65" spans="2:2" x14ac:dyDescent="0.2">
      <c r="B65" s="1071">
        <f>COVER!A13</f>
        <v>5016073502</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1428750</xdr:colOff>
                <xdr:row>3</xdr:row>
                <xdr:rowOff>38100</xdr:rowOff>
              </from>
              <to>
                <xdr:col>1</xdr:col>
                <xdr:colOff>2343150</xdr:colOff>
                <xdr:row>7</xdr:row>
                <xdr:rowOff>76200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13762414</v>
      </c>
      <c r="C8" s="1838">
        <f>'Acct Summary 7-8'!D8</f>
        <v>1690762</v>
      </c>
      <c r="D8" s="1838">
        <f>'Acct Summary 7-8'!F8</f>
        <v>2026265</v>
      </c>
      <c r="E8" s="1838">
        <f>'Acct Summary 7-8'!I8</f>
        <v>143722</v>
      </c>
      <c r="F8" s="1838">
        <f>SUM(B8:E8)</f>
        <v>17623163</v>
      </c>
    </row>
    <row r="9" spans="1:8" s="1080" customFormat="1" ht="14.25" customHeight="1" thickBot="1" x14ac:dyDescent="0.25">
      <c r="A9" s="1079" t="s">
        <v>1436</v>
      </c>
      <c r="B9" s="1839">
        <f>'Acct Summary 7-8'!C17</f>
        <v>15252949</v>
      </c>
      <c r="C9" s="1839">
        <f>'Acct Summary 7-8'!D17</f>
        <v>1154054</v>
      </c>
      <c r="D9" s="1839">
        <f>'Acct Summary 7-8'!F17</f>
        <v>797827</v>
      </c>
      <c r="E9" s="1838"/>
      <c r="F9" s="1838">
        <f>SUM(B9:E9)</f>
        <v>17204830</v>
      </c>
    </row>
    <row r="10" spans="1:8" s="1080" customFormat="1" ht="14.25" thickTop="1" thickBot="1" x14ac:dyDescent="0.25">
      <c r="A10" s="1081" t="s">
        <v>1437</v>
      </c>
      <c r="B10" s="1840">
        <f>(B8-B9)</f>
        <v>-1490535</v>
      </c>
      <c r="C10" s="1840">
        <f>(C8-C9)</f>
        <v>536708</v>
      </c>
      <c r="D10" s="1840">
        <f>(D8-D9)</f>
        <v>1228438</v>
      </c>
      <c r="E10" s="1839">
        <f>(E8-E9)</f>
        <v>143722</v>
      </c>
      <c r="F10" s="1841">
        <f>SUM(F8-F9)</f>
        <v>418333</v>
      </c>
    </row>
    <row r="11" spans="1:8" s="1080" customFormat="1" ht="14.25" thickTop="1" thickBot="1" x14ac:dyDescent="0.25">
      <c r="A11" s="1082" t="s">
        <v>1785</v>
      </c>
      <c r="B11" s="1842">
        <f>'Acct Summary 7-8'!C81</f>
        <v>15447600</v>
      </c>
      <c r="C11" s="1842">
        <f>'Acct Summary 7-8'!D81</f>
        <v>3585552</v>
      </c>
      <c r="D11" s="1842">
        <f>'Acct Summary 7-8'!F81</f>
        <v>794285</v>
      </c>
      <c r="E11" s="1842">
        <f>'Acct Summary 7-8'!I81</f>
        <v>5595435</v>
      </c>
      <c r="F11" s="1843">
        <f>SUM(B11:E11)</f>
        <v>25422872</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5016073502</v>
      </c>
    </row>
    <row r="3" spans="1:2" x14ac:dyDescent="0.2">
      <c r="A3" t="s">
        <v>1013</v>
      </c>
      <c r="B3" s="138" t="str">
        <f>COVER!A15</f>
        <v>COOK</v>
      </c>
    </row>
    <row r="4" spans="1:2" x14ac:dyDescent="0.2">
      <c r="A4" t="s">
        <v>1064</v>
      </c>
      <c r="B4" s="138" t="str">
        <f>COVER!A17</f>
        <v>Skokie SD 73-5</v>
      </c>
    </row>
    <row r="5" spans="1:2" x14ac:dyDescent="0.2">
      <c r="A5" t="s">
        <v>728</v>
      </c>
      <c r="B5" s="138" t="str">
        <f>COVER!A38</f>
        <v>KATE DONEGAN</v>
      </c>
    </row>
    <row r="6" spans="1:2" x14ac:dyDescent="0.2">
      <c r="A6" t="s">
        <v>733</v>
      </c>
      <c r="B6" s="138">
        <f>COVER!P35</f>
        <v>0</v>
      </c>
    </row>
    <row r="7" spans="1:2" x14ac:dyDescent="0.2">
      <c r="A7" t="s">
        <v>729</v>
      </c>
      <c r="B7" s="138" t="str">
        <f>COVER!I38</f>
        <v>MARTY PALTZER</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 xml:space="preserve">MCHENRY </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5932432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21555312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5881633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6107712</v>
      </c>
      <c r="C91" s="2" t="s">
        <v>594</v>
      </c>
      <c r="D91" s="2" t="str">
        <f t="shared" si="0"/>
        <v>Error?</v>
      </c>
    </row>
    <row r="92" spans="1:4" x14ac:dyDescent="0.2">
      <c r="A92" s="5">
        <v>31</v>
      </c>
      <c r="B92" s="138">
        <f>'Assets-Liab 5-6'!C39</f>
        <v>15447600</v>
      </c>
      <c r="D92" s="2" t="str">
        <f t="shared" si="0"/>
        <v>Error?</v>
      </c>
    </row>
    <row r="93" spans="1:4" x14ac:dyDescent="0.2">
      <c r="A93" s="5">
        <v>32</v>
      </c>
      <c r="B93" s="138">
        <f>'Assets-Liab 5-6'!C41</f>
        <v>21555312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838292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4431824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838292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846272</v>
      </c>
      <c r="C122" s="2" t="s">
        <v>594</v>
      </c>
      <c r="D122" s="2" t="str">
        <f t="shared" si="0"/>
        <v>Error?</v>
      </c>
    </row>
    <row r="123" spans="1:4" x14ac:dyDescent="0.2">
      <c r="A123" s="5">
        <v>62</v>
      </c>
      <c r="B123" s="138">
        <f>'Assets-Liab 5-6'!D39</f>
        <v>3585552</v>
      </c>
      <c r="D123" s="2" t="str">
        <f t="shared" si="0"/>
        <v>Error?</v>
      </c>
    </row>
    <row r="124" spans="1:4" x14ac:dyDescent="0.2">
      <c r="A124" s="5">
        <v>63</v>
      </c>
      <c r="B124" s="138">
        <f>'Assets-Liab 5-6'!D41</f>
        <v>4431824</v>
      </c>
      <c r="C124" s="2" t="s">
        <v>594</v>
      </c>
      <c r="D124" s="2" t="str">
        <f t="shared" si="0"/>
        <v>Error?</v>
      </c>
    </row>
    <row r="125" spans="1:4" x14ac:dyDescent="0.2">
      <c r="A125" s="10">
        <v>64</v>
      </c>
      <c r="D125" s="2" t="str">
        <f t="shared" si="0"/>
        <v>OK</v>
      </c>
    </row>
    <row r="126" spans="1:4" x14ac:dyDescent="0.2">
      <c r="A126" s="5">
        <v>65</v>
      </c>
      <c r="B126" s="138">
        <f>'Assets-Liab 5-6'!E6</f>
        <v>724893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2278528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724893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726143</v>
      </c>
      <c r="C139" s="2" t="s">
        <v>594</v>
      </c>
      <c r="D139" s="2" t="str">
        <f t="shared" si="1"/>
        <v>Error?</v>
      </c>
    </row>
    <row r="140" spans="1:4" x14ac:dyDescent="0.2">
      <c r="A140" s="5">
        <v>79</v>
      </c>
      <c r="B140" s="138">
        <f>'Assets-Liab 5-6'!E39</f>
        <v>1552385</v>
      </c>
      <c r="D140" s="2" t="str">
        <f t="shared" si="1"/>
        <v>Error?</v>
      </c>
    </row>
    <row r="141" spans="1:4" x14ac:dyDescent="0.2">
      <c r="A141" s="5">
        <v>80</v>
      </c>
      <c r="B141" s="138">
        <f>'Assets-Liab 5-6'!E41</f>
        <v>2278528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343152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1162495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343152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368210</v>
      </c>
      <c r="C169" s="2" t="s">
        <v>594</v>
      </c>
      <c r="D169" s="2" t="str">
        <f t="shared" si="1"/>
        <v>Error?</v>
      </c>
    </row>
    <row r="170" spans="1:4" x14ac:dyDescent="0.2">
      <c r="A170" s="5">
        <v>109</v>
      </c>
      <c r="B170" s="138">
        <f>'Assets-Liab 5-6'!F39</f>
        <v>794285</v>
      </c>
      <c r="D170" s="2" t="str">
        <f t="shared" si="1"/>
        <v>Error?</v>
      </c>
    </row>
    <row r="171" spans="1:4" x14ac:dyDescent="0.2">
      <c r="A171" s="5">
        <v>110</v>
      </c>
      <c r="B171" s="138">
        <f>'Assets-Liab 5-6'!F41</f>
        <v>1162495</v>
      </c>
      <c r="C171" s="2" t="s">
        <v>594</v>
      </c>
      <c r="D171" s="2" t="str">
        <f t="shared" si="1"/>
        <v>Error?</v>
      </c>
    </row>
    <row r="172" spans="1:4" x14ac:dyDescent="0.2">
      <c r="A172" s="10">
        <v>111</v>
      </c>
      <c r="D172" s="2" t="str">
        <f t="shared" si="1"/>
        <v>OK</v>
      </c>
    </row>
    <row r="173" spans="1:4" x14ac:dyDescent="0.2">
      <c r="A173" s="5">
        <v>112</v>
      </c>
      <c r="B173" s="138">
        <f>'Assets-Liab 5-6'!G6</f>
        <v>289041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1850431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289041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289041</v>
      </c>
      <c r="C188" s="2" t="s">
        <v>594</v>
      </c>
      <c r="D188" s="2" t="str">
        <f t="shared" si="1"/>
        <v>Error?</v>
      </c>
    </row>
    <row r="189" spans="1:4" x14ac:dyDescent="0.2">
      <c r="A189" s="5">
        <v>128</v>
      </c>
      <c r="B189" s="138">
        <f>'Assets-Liab 5-6'!G39</f>
        <v>652641</v>
      </c>
      <c r="D189" s="2" t="str">
        <f t="shared" si="1"/>
        <v>Error?</v>
      </c>
    </row>
    <row r="190" spans="1:4" x14ac:dyDescent="0.2">
      <c r="A190" s="5">
        <v>129</v>
      </c>
      <c r="B190" s="138">
        <f>'Assets-Liab 5-6'!G41</f>
        <v>1850431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217875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217875</v>
      </c>
      <c r="D212" s="2" t="str">
        <f t="shared" si="2"/>
        <v>Error?</v>
      </c>
    </row>
    <row r="213" spans="1:4" x14ac:dyDescent="0.2">
      <c r="A213" s="12">
        <v>152</v>
      </c>
      <c r="B213" s="138">
        <f>'Assets-Liab 5-6'!H41</f>
        <v>217875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369846</v>
      </c>
      <c r="D273" s="2" t="str">
        <f t="shared" si="3"/>
        <v>Error?</v>
      </c>
    </row>
    <row r="274" spans="1:4" x14ac:dyDescent="0.2">
      <c r="A274" s="5">
        <v>213</v>
      </c>
      <c r="B274" s="138">
        <f>'Assets-Liab 5-6'!M17</f>
        <v>30435366</v>
      </c>
      <c r="D274" s="2" t="str">
        <f t="shared" si="3"/>
        <v>Error?</v>
      </c>
    </row>
    <row r="275" spans="1:4" x14ac:dyDescent="0.2">
      <c r="A275" s="5">
        <v>214</v>
      </c>
      <c r="B275" s="138">
        <f>'Assets-Liab 5-6'!M18</f>
        <v>2287195</v>
      </c>
      <c r="D275" s="2" t="str">
        <f t="shared" si="3"/>
        <v>Error?</v>
      </c>
    </row>
    <row r="276" spans="1:4" x14ac:dyDescent="0.2">
      <c r="A276" s="5">
        <v>215</v>
      </c>
      <c r="B276" s="138">
        <f>'Assets-Liab 5-6'!M19</f>
        <v>2236013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35328420</v>
      </c>
      <c r="C279" s="2" t="s">
        <v>594</v>
      </c>
      <c r="D279" s="2" t="str">
        <f t="shared" si="3"/>
        <v>Error?</v>
      </c>
    </row>
    <row r="280" spans="1:4" x14ac:dyDescent="0.2">
      <c r="A280" s="5">
        <v>219</v>
      </c>
      <c r="B280" s="138">
        <f>'Assets-Liab 5-6'!M40</f>
        <v>35328420</v>
      </c>
      <c r="D280" s="2" t="str">
        <f t="shared" si="3"/>
        <v>Error?</v>
      </c>
    </row>
    <row r="281" spans="1:4" x14ac:dyDescent="0.2">
      <c r="A281" s="5">
        <v>220</v>
      </c>
      <c r="B281" s="138">
        <f>'Assets-Liab 5-6'!M41</f>
        <v>35328420</v>
      </c>
      <c r="C281" s="2" t="s">
        <v>594</v>
      </c>
      <c r="D281" s="2" t="str">
        <f t="shared" si="3"/>
        <v>Error?</v>
      </c>
    </row>
    <row r="282" spans="1:4" x14ac:dyDescent="0.2">
      <c r="A282" s="5">
        <v>221</v>
      </c>
      <c r="B282" s="138">
        <f>'Assets-Liab 5-6'!N21</f>
        <v>1552385</v>
      </c>
      <c r="D282" s="2" t="str">
        <f t="shared" si="3"/>
        <v>Error?</v>
      </c>
    </row>
    <row r="283" spans="1:4" x14ac:dyDescent="0.2">
      <c r="A283" s="5">
        <v>222</v>
      </c>
      <c r="B283" s="138">
        <f>'Assets-Liab 5-6'!N22</f>
        <v>9732615</v>
      </c>
      <c r="D283" s="2" t="str">
        <f t="shared" si="3"/>
        <v>Error?</v>
      </c>
    </row>
    <row r="284" spans="1:4" x14ac:dyDescent="0.2">
      <c r="A284" s="5">
        <v>223</v>
      </c>
      <c r="B284" s="138">
        <f>'Assets-Liab 5-6'!N23</f>
        <v>11285000</v>
      </c>
      <c r="C284" s="2" t="s">
        <v>594</v>
      </c>
      <c r="D284" s="2" t="str">
        <f t="shared" si="3"/>
        <v>Error?</v>
      </c>
    </row>
    <row r="285" spans="1:4" x14ac:dyDescent="0.2">
      <c r="A285" s="5">
        <v>224</v>
      </c>
      <c r="B285" s="138">
        <f>'Assets-Liab 5-6'!N36</f>
        <v>11285000</v>
      </c>
      <c r="D285" s="2" t="str">
        <f t="shared" si="3"/>
        <v>Error?</v>
      </c>
    </row>
    <row r="286" spans="1:4" x14ac:dyDescent="0.2">
      <c r="A286" s="10">
        <v>225</v>
      </c>
      <c r="D286" s="2" t="str">
        <f t="shared" si="3"/>
        <v>OK</v>
      </c>
    </row>
    <row r="287" spans="1:4" x14ac:dyDescent="0.2">
      <c r="A287" s="5">
        <v>226</v>
      </c>
      <c r="B287" s="138">
        <f>'Assets-Liab 5-6'!N37</f>
        <v>11285000</v>
      </c>
      <c r="C287" s="2" t="s">
        <v>594</v>
      </c>
      <c r="D287" s="2" t="str">
        <f t="shared" si="3"/>
        <v>Error?</v>
      </c>
    </row>
    <row r="288" spans="1:4" x14ac:dyDescent="0.2">
      <c r="A288" s="5">
        <v>227</v>
      </c>
      <c r="B288" s="138">
        <f>'Assets-Liab 5-6'!N41</f>
        <v>11285000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4515636</v>
      </c>
      <c r="D705" s="2" t="str">
        <f t="shared" si="10"/>
        <v>Error?</v>
      </c>
    </row>
    <row r="706" spans="1:4" x14ac:dyDescent="0.2">
      <c r="A706" s="5">
        <v>645</v>
      </c>
      <c r="B706" s="138">
        <f>'Expenditures 15-22'!C16</f>
        <v>124085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503678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37803</v>
      </c>
      <c r="D718" s="2" t="str">
        <f t="shared" si="10"/>
        <v>Error?</v>
      </c>
    </row>
    <row r="719" spans="1:4" x14ac:dyDescent="0.2">
      <c r="A719" s="5">
        <v>658</v>
      </c>
      <c r="B719" s="138">
        <f>'Expenditures 15-22'!C15</f>
        <v>19998</v>
      </c>
      <c r="D719" s="2" t="str">
        <f t="shared" si="10"/>
        <v>Error?</v>
      </c>
    </row>
    <row r="720" spans="1:4" x14ac:dyDescent="0.2">
      <c r="A720" s="5">
        <v>659</v>
      </c>
      <c r="B720" s="138">
        <f>'Expenditures 15-22'!C33</f>
        <v>6525406</v>
      </c>
      <c r="C720" s="2" t="s">
        <v>594</v>
      </c>
      <c r="D720" s="2" t="str">
        <f t="shared" si="10"/>
        <v>Error?</v>
      </c>
    </row>
    <row r="721" spans="1:4" x14ac:dyDescent="0.2">
      <c r="A721" s="5">
        <v>660</v>
      </c>
      <c r="B721" s="138">
        <f>'Expenditures 15-22'!C36</f>
        <v>251136</v>
      </c>
      <c r="D721" s="2" t="str">
        <f t="shared" si="10"/>
        <v>Error?</v>
      </c>
    </row>
    <row r="722" spans="1:4" x14ac:dyDescent="0.2">
      <c r="A722" s="5">
        <v>661</v>
      </c>
      <c r="B722" s="138">
        <f>'Expenditures 15-22'!C37</f>
        <v>150324</v>
      </c>
      <c r="D722" s="2" t="str">
        <f t="shared" si="10"/>
        <v>Error?</v>
      </c>
    </row>
    <row r="723" spans="1:4" x14ac:dyDescent="0.2">
      <c r="A723" s="5">
        <v>662</v>
      </c>
      <c r="B723" s="138">
        <f>'Expenditures 15-22'!C38</f>
        <v>76083</v>
      </c>
      <c r="D723" s="2" t="str">
        <f t="shared" si="10"/>
        <v>Error?</v>
      </c>
    </row>
    <row r="724" spans="1:4" x14ac:dyDescent="0.2">
      <c r="A724" s="5">
        <v>663</v>
      </c>
      <c r="B724" s="138">
        <f>'Expenditures 15-22'!C39</f>
        <v>155642</v>
      </c>
      <c r="D724" s="2" t="str">
        <f t="shared" si="10"/>
        <v>Error?</v>
      </c>
    </row>
    <row r="725" spans="1:4" x14ac:dyDescent="0.2">
      <c r="A725" s="5">
        <v>664</v>
      </c>
      <c r="B725" s="138">
        <f>'Expenditures 15-22'!C40</f>
        <v>165766</v>
      </c>
      <c r="D725" s="2" t="str">
        <f t="shared" si="10"/>
        <v>Error?</v>
      </c>
    </row>
    <row r="726" spans="1:4" x14ac:dyDescent="0.2">
      <c r="A726" s="5">
        <v>665</v>
      </c>
      <c r="B726" s="138">
        <f>'Expenditures 15-22'!C41</f>
        <v>83109</v>
      </c>
      <c r="D726" s="2" t="str">
        <f t="shared" si="10"/>
        <v>Error?</v>
      </c>
    </row>
    <row r="727" spans="1:4" x14ac:dyDescent="0.2">
      <c r="A727" s="5">
        <v>666</v>
      </c>
      <c r="B727" s="138">
        <f>'Expenditures 15-22'!C42</f>
        <v>882060</v>
      </c>
      <c r="C727" s="2" t="s">
        <v>594</v>
      </c>
      <c r="D727" s="2" t="str">
        <f t="shared" si="10"/>
        <v>Error?</v>
      </c>
    </row>
    <row r="728" spans="1:4" x14ac:dyDescent="0.2">
      <c r="A728" s="5">
        <v>667</v>
      </c>
      <c r="B728" s="138">
        <f>'Expenditures 15-22'!C44</f>
        <v>170688</v>
      </c>
      <c r="D728" s="2" t="str">
        <f t="shared" si="10"/>
        <v>Error?</v>
      </c>
    </row>
    <row r="729" spans="1:4" x14ac:dyDescent="0.2">
      <c r="A729" s="5">
        <v>668</v>
      </c>
      <c r="B729" s="138">
        <f>'Expenditures 15-22'!C45</f>
        <v>469809</v>
      </c>
      <c r="D729" s="2" t="str">
        <f t="shared" si="10"/>
        <v>Error?</v>
      </c>
    </row>
    <row r="730" spans="1:4" x14ac:dyDescent="0.2">
      <c r="A730" s="5">
        <v>669</v>
      </c>
      <c r="B730" s="138">
        <f>'Expenditures 15-22'!C46</f>
        <v>35667</v>
      </c>
      <c r="D730" s="2" t="str">
        <f t="shared" si="10"/>
        <v>Error?</v>
      </c>
    </row>
    <row r="731" spans="1:4" x14ac:dyDescent="0.2">
      <c r="A731" s="5">
        <v>670</v>
      </c>
      <c r="B731" s="138">
        <f>'Expenditures 15-22'!C47</f>
        <v>676164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334359</v>
      </c>
      <c r="D733" s="2" t="str">
        <f t="shared" si="10"/>
        <v>Error?</v>
      </c>
    </row>
    <row r="734" spans="1:4" x14ac:dyDescent="0.2">
      <c r="A734" s="5">
        <v>673</v>
      </c>
      <c r="B734" s="138">
        <f>'Expenditures 15-22'!C53</f>
        <v>334359</v>
      </c>
      <c r="C734" s="2" t="s">
        <v>594</v>
      </c>
      <c r="D734" s="2" t="str">
        <f t="shared" si="10"/>
        <v>Error?</v>
      </c>
    </row>
    <row r="735" spans="1:4" x14ac:dyDescent="0.2">
      <c r="A735" s="5">
        <v>674</v>
      </c>
      <c r="B735" s="138">
        <f>'Expenditures 15-22'!C55</f>
        <v>960098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960098</v>
      </c>
      <c r="C737" s="2" t="s">
        <v>594</v>
      </c>
      <c r="D737" s="2" t="str">
        <f t="shared" si="10"/>
        <v>Error?</v>
      </c>
    </row>
    <row r="738" spans="1:4" x14ac:dyDescent="0.2">
      <c r="A738" s="5">
        <v>677</v>
      </c>
      <c r="B738" s="138">
        <f>'Expenditures 15-22'!C59</f>
        <v>135063</v>
      </c>
      <c r="D738" s="2" t="str">
        <f t="shared" si="10"/>
        <v>Error?</v>
      </c>
    </row>
    <row r="739" spans="1:4" x14ac:dyDescent="0.2">
      <c r="A739" s="5">
        <v>678</v>
      </c>
      <c r="B739" s="138">
        <f>'Expenditures 15-22'!C60</f>
        <v>208945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344008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373968</v>
      </c>
      <c r="D751" s="2" t="str">
        <f t="shared" si="10"/>
        <v>Error?</v>
      </c>
    </row>
    <row r="752" spans="1:4" x14ac:dyDescent="0.2">
      <c r="A752" s="10">
        <v>691</v>
      </c>
      <c r="D752" s="2" t="str">
        <f t="shared" si="10"/>
        <v>OK</v>
      </c>
    </row>
    <row r="753" spans="1:4" x14ac:dyDescent="0.2">
      <c r="A753" s="5">
        <v>692</v>
      </c>
      <c r="B753" s="138">
        <f>'Expenditures 15-22'!C72</f>
        <v>373968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3570657</v>
      </c>
      <c r="C755" s="2" t="s">
        <v>594</v>
      </c>
      <c r="D755" s="2" t="str">
        <f t="shared" si="10"/>
        <v>Error?</v>
      </c>
    </row>
    <row r="756" spans="1:4" x14ac:dyDescent="0.2">
      <c r="A756" s="5">
        <v>695</v>
      </c>
      <c r="B756" s="138">
        <f>'Expenditures 15-22'!C75</f>
        <v>10000</v>
      </c>
      <c r="D756" s="2" t="str">
        <f t="shared" si="10"/>
        <v>Error?</v>
      </c>
    </row>
    <row r="757" spans="1:4" x14ac:dyDescent="0.2">
      <c r="A757" s="5">
        <v>696</v>
      </c>
      <c r="B757" s="138">
        <f>'Expenditures 15-22'!C114</f>
        <v>10106063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668268</v>
      </c>
      <c r="D763" s="2" t="str">
        <f t="shared" si="10"/>
        <v>Error?</v>
      </c>
    </row>
    <row r="764" spans="1:4" x14ac:dyDescent="0.2">
      <c r="A764" s="5">
        <v>703</v>
      </c>
      <c r="B764" s="138">
        <f>'Expenditures 15-22'!D16</f>
        <v>13275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72304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481</v>
      </c>
      <c r="D776" s="2" t="str">
        <f t="shared" si="11"/>
        <v>Error?</v>
      </c>
    </row>
    <row r="777" spans="1:4" x14ac:dyDescent="0.2">
      <c r="A777" s="5">
        <v>716</v>
      </c>
      <c r="B777" s="138">
        <f>'Expenditures 15-22'!D15</f>
        <v>1160</v>
      </c>
      <c r="D777" s="2" t="str">
        <f t="shared" si="11"/>
        <v>Error?</v>
      </c>
    </row>
    <row r="778" spans="1:4" x14ac:dyDescent="0.2">
      <c r="A778" s="5">
        <v>717</v>
      </c>
      <c r="B778" s="138">
        <f>'Expenditures 15-22'!D33</f>
        <v>1057054</v>
      </c>
      <c r="C778" s="2" t="s">
        <v>594</v>
      </c>
      <c r="D778" s="2" t="str">
        <f t="shared" si="11"/>
        <v>Error?</v>
      </c>
    </row>
    <row r="779" spans="1:4" x14ac:dyDescent="0.2">
      <c r="A779" s="5">
        <v>718</v>
      </c>
      <c r="B779" s="138">
        <f>'Expenditures 15-22'!D36</f>
        <v>36510</v>
      </c>
      <c r="D779" s="2" t="str">
        <f t="shared" si="11"/>
        <v>Error?</v>
      </c>
    </row>
    <row r="780" spans="1:4" x14ac:dyDescent="0.2">
      <c r="A780" s="5">
        <v>719</v>
      </c>
      <c r="B780" s="138">
        <f>'Expenditures 15-22'!D37</f>
        <v>52048</v>
      </c>
      <c r="D780" s="2" t="str">
        <f t="shared" si="11"/>
        <v>Error?</v>
      </c>
    </row>
    <row r="781" spans="1:4" x14ac:dyDescent="0.2">
      <c r="A781" s="5">
        <v>720</v>
      </c>
      <c r="B781" s="138">
        <f>'Expenditures 15-22'!D38</f>
        <v>16200</v>
      </c>
      <c r="D781" s="2" t="str">
        <f t="shared" si="11"/>
        <v>Error?</v>
      </c>
    </row>
    <row r="782" spans="1:4" x14ac:dyDescent="0.2">
      <c r="A782" s="5">
        <v>721</v>
      </c>
      <c r="B782" s="138">
        <f>'Expenditures 15-22'!D39</f>
        <v>22761</v>
      </c>
      <c r="D782" s="2" t="str">
        <f t="shared" si="11"/>
        <v>Error?</v>
      </c>
    </row>
    <row r="783" spans="1:4" x14ac:dyDescent="0.2">
      <c r="A783" s="5">
        <v>722</v>
      </c>
      <c r="B783" s="138">
        <f>'Expenditures 15-22'!D40</f>
        <v>21303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148822</v>
      </c>
      <c r="C785" s="2" t="s">
        <v>594</v>
      </c>
      <c r="D785" s="2" t="str">
        <f t="shared" si="11"/>
        <v>Error?</v>
      </c>
    </row>
    <row r="786" spans="1:4" x14ac:dyDescent="0.2">
      <c r="A786" s="5">
        <v>725</v>
      </c>
      <c r="B786" s="138">
        <f>'Expenditures 15-22'!D44</f>
        <v>26517</v>
      </c>
      <c r="D786" s="2" t="str">
        <f t="shared" si="11"/>
        <v>Error?</v>
      </c>
    </row>
    <row r="787" spans="1:4" x14ac:dyDescent="0.2">
      <c r="A787" s="5">
        <v>726</v>
      </c>
      <c r="B787" s="138">
        <f>'Expenditures 15-22'!D45</f>
        <v>76447</v>
      </c>
      <c r="D787" s="2" t="str">
        <f t="shared" si="11"/>
        <v>Error?</v>
      </c>
    </row>
    <row r="788" spans="1:4" x14ac:dyDescent="0.2">
      <c r="A788" s="5">
        <v>727</v>
      </c>
      <c r="B788" s="138">
        <f>'Expenditures 15-22'!D46</f>
        <v>535</v>
      </c>
      <c r="D788" s="2" t="str">
        <f t="shared" si="11"/>
        <v>Error?</v>
      </c>
    </row>
    <row r="789" spans="1:4" x14ac:dyDescent="0.2">
      <c r="A789" s="5">
        <v>728</v>
      </c>
      <c r="B789" s="138">
        <f>'Expenditures 15-22'!D47</f>
        <v>103499</v>
      </c>
      <c r="C789" s="2" t="s">
        <v>594</v>
      </c>
      <c r="D789" s="2" t="str">
        <f t="shared" si="11"/>
        <v>Error?</v>
      </c>
    </row>
    <row r="790" spans="1:4" x14ac:dyDescent="0.2">
      <c r="A790" s="5">
        <v>729</v>
      </c>
      <c r="B790" s="138">
        <f>'Expenditures 15-22'!D49</f>
        <v>13070</v>
      </c>
      <c r="D790" s="2" t="str">
        <f t="shared" si="11"/>
        <v>Error?</v>
      </c>
    </row>
    <row r="791" spans="1:4" x14ac:dyDescent="0.2">
      <c r="A791" s="5">
        <v>730</v>
      </c>
      <c r="B791" s="138">
        <f>'Expenditures 15-22'!D50</f>
        <v>77338</v>
      </c>
      <c r="D791" s="2" t="str">
        <f t="shared" si="11"/>
        <v>Error?</v>
      </c>
    </row>
    <row r="792" spans="1:4" x14ac:dyDescent="0.2">
      <c r="A792" s="5">
        <v>731</v>
      </c>
      <c r="B792" s="138">
        <f>'Expenditures 15-22'!D53</f>
        <v>90408</v>
      </c>
      <c r="C792" s="2" t="s">
        <v>594</v>
      </c>
      <c r="D792" s="2" t="str">
        <f t="shared" si="11"/>
        <v>Error?</v>
      </c>
    </row>
    <row r="793" spans="1:4" x14ac:dyDescent="0.2">
      <c r="A793" s="5">
        <v>732</v>
      </c>
      <c r="B793" s="138">
        <f>'Expenditures 15-22'!D55</f>
        <v>301580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301580</v>
      </c>
      <c r="C795" s="2" t="s">
        <v>594</v>
      </c>
      <c r="D795" s="2" t="str">
        <f t="shared" si="11"/>
        <v>Error?</v>
      </c>
    </row>
    <row r="796" spans="1:4" x14ac:dyDescent="0.2">
      <c r="A796" s="5">
        <v>735</v>
      </c>
      <c r="B796" s="138">
        <f>'Expenditures 15-22'!D59</f>
        <v>29350</v>
      </c>
      <c r="D796" s="2" t="str">
        <f t="shared" si="11"/>
        <v>Error?</v>
      </c>
    </row>
    <row r="797" spans="1:4" x14ac:dyDescent="0.2">
      <c r="A797" s="5">
        <v>736</v>
      </c>
      <c r="B797" s="138">
        <f>'Expenditures 15-22'!D60</f>
        <v>39168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68518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74111</v>
      </c>
      <c r="D809" s="2" t="str">
        <f t="shared" si="11"/>
        <v>Error?</v>
      </c>
    </row>
    <row r="810" spans="1:4" x14ac:dyDescent="0.2">
      <c r="A810" s="10">
        <v>749</v>
      </c>
      <c r="D810" s="2" t="str">
        <f t="shared" si="11"/>
        <v>OK</v>
      </c>
    </row>
    <row r="811" spans="1:4" x14ac:dyDescent="0.2">
      <c r="A811" s="5">
        <v>750</v>
      </c>
      <c r="B811" s="138">
        <f>'Expenditures 15-22'!D72</f>
        <v>74111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786938</v>
      </c>
      <c r="C813" s="2" t="s">
        <v>594</v>
      </c>
      <c r="D813" s="2" t="str">
        <f t="shared" si="11"/>
        <v>Error?</v>
      </c>
    </row>
    <row r="814" spans="1:4" x14ac:dyDescent="0.2">
      <c r="A814" s="5">
        <v>753</v>
      </c>
      <c r="B814" s="138">
        <f>'Expenditures 15-22'!D75</f>
        <v>657</v>
      </c>
      <c r="D814" s="2" t="str">
        <f t="shared" si="11"/>
        <v>Error?</v>
      </c>
    </row>
    <row r="815" spans="1:4" x14ac:dyDescent="0.2">
      <c r="A815" s="5">
        <v>754</v>
      </c>
      <c r="B815" s="138">
        <f>'Expenditures 15-22'!D114</f>
        <v>1844649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80095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2146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16240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99006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36708</v>
      </c>
      <c r="D839" s="2" t="str">
        <f t="shared" si="12"/>
        <v>Error?</v>
      </c>
    </row>
    <row r="840" spans="1:4" x14ac:dyDescent="0.2">
      <c r="A840" s="5">
        <v>779</v>
      </c>
      <c r="B840" s="138">
        <f>'Expenditures 15-22'!E39</f>
        <v>1628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170</v>
      </c>
      <c r="D842" s="2" t="str">
        <f t="shared" si="12"/>
        <v>Error?</v>
      </c>
    </row>
    <row r="843" spans="1:4" x14ac:dyDescent="0.2">
      <c r="A843" s="5">
        <v>782</v>
      </c>
      <c r="B843" s="138">
        <f>'Expenditures 15-22'!E42</f>
        <v>38506</v>
      </c>
      <c r="C843" s="2" t="s">
        <v>594</v>
      </c>
      <c r="D843" s="2" t="str">
        <f t="shared" si="12"/>
        <v>Error?</v>
      </c>
    </row>
    <row r="844" spans="1:4" x14ac:dyDescent="0.2">
      <c r="A844" s="5">
        <v>783</v>
      </c>
      <c r="B844" s="138">
        <f>'Expenditures 15-22'!E44</f>
        <v>37846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2974</v>
      </c>
      <c r="D846" s="2" t="str">
        <f t="shared" si="12"/>
        <v>Error?</v>
      </c>
    </row>
    <row r="847" spans="1:4" x14ac:dyDescent="0.2">
      <c r="A847" s="5">
        <v>786</v>
      </c>
      <c r="B847" s="138">
        <f>'Expenditures 15-22'!E47</f>
        <v>40820</v>
      </c>
      <c r="C847" s="2" t="s">
        <v>594</v>
      </c>
      <c r="D847" s="2" t="str">
        <f t="shared" si="12"/>
        <v>Error?</v>
      </c>
    </row>
    <row r="848" spans="1:4" x14ac:dyDescent="0.2">
      <c r="A848" s="5">
        <v>787</v>
      </c>
      <c r="B848" s="138">
        <f>'Expenditures 15-22'!E49</f>
        <v>74674</v>
      </c>
      <c r="D848" s="2" t="str">
        <f t="shared" si="12"/>
        <v>Error?</v>
      </c>
    </row>
    <row r="849" spans="1:4" x14ac:dyDescent="0.2">
      <c r="A849" s="5">
        <v>788</v>
      </c>
      <c r="B849" s="138">
        <f>'Expenditures 15-22'!E50</f>
        <v>9063</v>
      </c>
      <c r="D849" s="2" t="str">
        <f t="shared" si="12"/>
        <v>Error?</v>
      </c>
    </row>
    <row r="850" spans="1:4" x14ac:dyDescent="0.2">
      <c r="A850" s="5">
        <v>789</v>
      </c>
      <c r="B850" s="138">
        <f>'Expenditures 15-22'!E53</f>
        <v>83737</v>
      </c>
      <c r="C850" s="2" t="s">
        <v>594</v>
      </c>
      <c r="D850" s="2" t="str">
        <f t="shared" si="12"/>
        <v>Error?</v>
      </c>
    </row>
    <row r="851" spans="1:4" x14ac:dyDescent="0.2">
      <c r="A851" s="5">
        <v>790</v>
      </c>
      <c r="B851" s="138">
        <f>'Expenditures 15-22'!E55</f>
        <v>21633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21633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19890</v>
      </c>
      <c r="D855" s="2" t="str">
        <f t="shared" si="12"/>
        <v>Error?</v>
      </c>
    </row>
    <row r="856" spans="1:4" x14ac:dyDescent="0.2">
      <c r="A856" s="5">
        <v>795</v>
      </c>
      <c r="B856" s="138">
        <f>'Expenditures 15-22'!E61</f>
        <v>4654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335819</v>
      </c>
      <c r="D858" s="2" t="str">
        <f t="shared" si="12"/>
        <v>Error?</v>
      </c>
    </row>
    <row r="859" spans="1:4" x14ac:dyDescent="0.2">
      <c r="A859" s="5">
        <v>798</v>
      </c>
      <c r="B859" s="138">
        <f>'Expenditures 15-22'!E64</f>
        <v>66617</v>
      </c>
      <c r="D859" s="2" t="str">
        <f t="shared" si="12"/>
        <v>Error?</v>
      </c>
    </row>
    <row r="860" spans="1:4" x14ac:dyDescent="0.2">
      <c r="A860" s="10">
        <v>799</v>
      </c>
      <c r="D860" s="2" t="str">
        <f t="shared" si="12"/>
        <v>OK</v>
      </c>
    </row>
    <row r="861" spans="1:4" x14ac:dyDescent="0.2">
      <c r="A861" s="5">
        <v>800</v>
      </c>
      <c r="B861" s="138">
        <f>'Expenditures 15-22'!E65</f>
        <v>426980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8600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9795</v>
      </c>
      <c r="D867" s="2" t="str">
        <f t="shared" si="12"/>
        <v>Error?</v>
      </c>
    </row>
    <row r="868" spans="1:4" x14ac:dyDescent="0.2">
      <c r="A868" s="10">
        <v>807</v>
      </c>
      <c r="D868" s="2" t="str">
        <f t="shared" si="12"/>
        <v>OK</v>
      </c>
    </row>
    <row r="869" spans="1:4" x14ac:dyDescent="0.2">
      <c r="A869" s="5">
        <v>808</v>
      </c>
      <c r="B869" s="138">
        <f>'Expenditures 15-22'!E72</f>
        <v>18395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630071</v>
      </c>
      <c r="C871" s="2" t="s">
        <v>594</v>
      </c>
      <c r="D871" s="2" t="str">
        <f t="shared" si="12"/>
        <v>Error?</v>
      </c>
    </row>
    <row r="872" spans="1:4" x14ac:dyDescent="0.2">
      <c r="A872" s="5">
        <v>811</v>
      </c>
      <c r="B872" s="138">
        <f>'Expenditures 15-22'!E75</f>
        <v>37542</v>
      </c>
      <c r="D872" s="2" t="str">
        <f t="shared" si="12"/>
        <v>Error?</v>
      </c>
    </row>
    <row r="873" spans="1:4" x14ac:dyDescent="0.2">
      <c r="A873" s="5">
        <v>812</v>
      </c>
      <c r="B873" s="138">
        <f>'Expenditures 15-22'!E114</f>
        <v>1002992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254703</v>
      </c>
      <c r="D879" s="2" t="str">
        <f t="shared" si="12"/>
        <v>Error?</v>
      </c>
    </row>
    <row r="880" spans="1:4" x14ac:dyDescent="0.2">
      <c r="A880" s="5">
        <v>819</v>
      </c>
      <c r="B880" s="138">
        <f>'Expenditures 15-22'!F16</f>
        <v>1768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5756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135</v>
      </c>
      <c r="D893" s="2" t="str">
        <f t="shared" si="12"/>
        <v>Error?</v>
      </c>
    </row>
    <row r="894" spans="1:4" x14ac:dyDescent="0.2">
      <c r="A894" s="5">
        <v>833</v>
      </c>
      <c r="B894" s="138">
        <f>'Expenditures 15-22'!F33</f>
        <v>270514</v>
      </c>
      <c r="C894" s="2" t="s">
        <v>594</v>
      </c>
      <c r="D894" s="2" t="str">
        <f t="shared" si="12"/>
        <v>Error?</v>
      </c>
    </row>
    <row r="895" spans="1:4" x14ac:dyDescent="0.2">
      <c r="A895" s="5">
        <v>834</v>
      </c>
      <c r="B895" s="138">
        <f>'Expenditures 15-22'!F36</f>
        <v>6123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1822</v>
      </c>
      <c r="D897" s="2" t="str">
        <f t="shared" si="13"/>
        <v>Error?</v>
      </c>
    </row>
    <row r="898" spans="1:4" x14ac:dyDescent="0.2">
      <c r="A898" s="5">
        <v>837</v>
      </c>
      <c r="B898" s="138">
        <f>'Expenditures 15-22'!F39</f>
        <v>1415</v>
      </c>
      <c r="D898" s="2" t="str">
        <f t="shared" si="13"/>
        <v>Error?</v>
      </c>
    </row>
    <row r="899" spans="1:4" x14ac:dyDescent="0.2">
      <c r="A899" s="5">
        <v>838</v>
      </c>
      <c r="B899" s="138">
        <f>'Expenditures 15-22'!F40</f>
        <v>1974</v>
      </c>
      <c r="D899" s="2" t="str">
        <f t="shared" si="13"/>
        <v>Error?</v>
      </c>
    </row>
    <row r="900" spans="1:4" x14ac:dyDescent="0.2">
      <c r="A900" s="5">
        <v>839</v>
      </c>
      <c r="B900" s="138">
        <f>'Expenditures 15-22'!F41</f>
        <v>263</v>
      </c>
      <c r="D900" s="2" t="str">
        <f t="shared" si="13"/>
        <v>Error?</v>
      </c>
    </row>
    <row r="901" spans="1:4" x14ac:dyDescent="0.2">
      <c r="A901" s="5">
        <v>840</v>
      </c>
      <c r="B901" s="138">
        <f>'Expenditures 15-22'!F42</f>
        <v>11597</v>
      </c>
      <c r="C901" s="2" t="s">
        <v>594</v>
      </c>
      <c r="D901" s="2" t="str">
        <f t="shared" si="13"/>
        <v>Error?</v>
      </c>
    </row>
    <row r="902" spans="1:4" x14ac:dyDescent="0.2">
      <c r="A902" s="5">
        <v>841</v>
      </c>
      <c r="B902" s="138">
        <f>'Expenditures 15-22'!F44</f>
        <v>1126</v>
      </c>
      <c r="D902" s="2" t="str">
        <f t="shared" si="13"/>
        <v>Error?</v>
      </c>
    </row>
    <row r="903" spans="1:4" x14ac:dyDescent="0.2">
      <c r="A903" s="5">
        <v>842</v>
      </c>
      <c r="B903" s="138">
        <f>'Expenditures 15-22'!F45</f>
        <v>9848</v>
      </c>
      <c r="D903" s="2" t="str">
        <f t="shared" si="13"/>
        <v>Error?</v>
      </c>
    </row>
    <row r="904" spans="1:4" x14ac:dyDescent="0.2">
      <c r="A904" s="5">
        <v>843</v>
      </c>
      <c r="B904" s="138">
        <f>'Expenditures 15-22'!F46</f>
        <v>15344</v>
      </c>
      <c r="D904" s="2" t="str">
        <f t="shared" si="13"/>
        <v>Error?</v>
      </c>
    </row>
    <row r="905" spans="1:4" x14ac:dyDescent="0.2">
      <c r="A905" s="5">
        <v>844</v>
      </c>
      <c r="B905" s="138">
        <f>'Expenditures 15-22'!F47</f>
        <v>26318</v>
      </c>
      <c r="C905" s="2" t="s">
        <v>594</v>
      </c>
      <c r="D905" s="2" t="str">
        <f t="shared" si="13"/>
        <v>Error?</v>
      </c>
    </row>
    <row r="906" spans="1:4" x14ac:dyDescent="0.2">
      <c r="A906" s="5">
        <v>845</v>
      </c>
      <c r="B906" s="138">
        <f>'Expenditures 15-22'!F49</f>
        <v>6840</v>
      </c>
      <c r="D906" s="2" t="str">
        <f t="shared" si="13"/>
        <v>Error?</v>
      </c>
    </row>
    <row r="907" spans="1:4" x14ac:dyDescent="0.2">
      <c r="A907" s="5">
        <v>846</v>
      </c>
      <c r="B907" s="138">
        <f>'Expenditures 15-22'!F50</f>
        <v>2125</v>
      </c>
      <c r="D907" s="2" t="str">
        <f t="shared" si="13"/>
        <v>Error?</v>
      </c>
    </row>
    <row r="908" spans="1:4" x14ac:dyDescent="0.2">
      <c r="A908" s="5">
        <v>847</v>
      </c>
      <c r="B908" s="138">
        <f>'Expenditures 15-22'!F53</f>
        <v>8965</v>
      </c>
      <c r="C908" s="2" t="s">
        <v>594</v>
      </c>
      <c r="D908" s="2" t="str">
        <f t="shared" si="13"/>
        <v>Error?</v>
      </c>
    </row>
    <row r="909" spans="1:4" x14ac:dyDescent="0.2">
      <c r="A909" s="5">
        <v>848</v>
      </c>
      <c r="B909" s="138">
        <f>'Expenditures 15-22'!F55</f>
        <v>1521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378</v>
      </c>
      <c r="D916" s="2" t="str">
        <f t="shared" si="13"/>
        <v>Error?</v>
      </c>
    </row>
    <row r="917" spans="1:4" x14ac:dyDescent="0.2">
      <c r="A917" s="5">
        <v>856</v>
      </c>
      <c r="B917" s="138">
        <f>'Expenditures 15-22'!F64</f>
        <v>17215</v>
      </c>
      <c r="D917" s="2" t="str">
        <f t="shared" si="13"/>
        <v>Error?</v>
      </c>
    </row>
    <row r="918" spans="1:4" x14ac:dyDescent="0.2">
      <c r="A918" s="10">
        <v>857</v>
      </c>
      <c r="D918" s="2" t="str">
        <f t="shared" si="13"/>
        <v>OK</v>
      </c>
    </row>
    <row r="919" spans="1:4" x14ac:dyDescent="0.2">
      <c r="A919" s="5">
        <v>858</v>
      </c>
      <c r="B919" s="138">
        <f>'Expenditures 15-22'!F65</f>
        <v>22203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7100</v>
      </c>
      <c r="D922" s="2" t="str">
        <f t="shared" si="13"/>
        <v>Error?</v>
      </c>
    </row>
    <row r="923" spans="1:4" x14ac:dyDescent="0.2">
      <c r="A923" s="5">
        <v>862</v>
      </c>
      <c r="B923" s="138">
        <f>'Expenditures 15-22'!F70</f>
        <v>61</v>
      </c>
      <c r="D923" s="2" t="str">
        <f t="shared" si="13"/>
        <v>Error?</v>
      </c>
    </row>
    <row r="924" spans="1:4" x14ac:dyDescent="0.2">
      <c r="A924" s="10">
        <v>863</v>
      </c>
      <c r="D924" s="2" t="str">
        <f t="shared" si="13"/>
        <v>OK</v>
      </c>
    </row>
    <row r="925" spans="1:4" x14ac:dyDescent="0.2">
      <c r="A925" s="5">
        <v>864</v>
      </c>
      <c r="B925" s="138">
        <f>'Expenditures 15-22'!F71</f>
        <v>1056</v>
      </c>
      <c r="D925" s="2" t="str">
        <f t="shared" si="13"/>
        <v>Error?</v>
      </c>
    </row>
    <row r="926" spans="1:4" x14ac:dyDescent="0.2">
      <c r="A926" s="10">
        <v>865</v>
      </c>
      <c r="D926" s="2" t="str">
        <f t="shared" si="13"/>
        <v>OK</v>
      </c>
    </row>
    <row r="927" spans="1:4" x14ac:dyDescent="0.2">
      <c r="A927" s="5">
        <v>866</v>
      </c>
      <c r="B927" s="138">
        <f>'Expenditures 15-22'!F72</f>
        <v>8217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78821</v>
      </c>
      <c r="C929" s="2" t="s">
        <v>594</v>
      </c>
      <c r="D929" s="2" t="str">
        <f t="shared" si="13"/>
        <v>Error?</v>
      </c>
    </row>
    <row r="930" spans="1:4" x14ac:dyDescent="0.2">
      <c r="A930" s="5">
        <v>869</v>
      </c>
      <c r="B930" s="138">
        <f>'Expenditures 15-22'!F75</f>
        <v>1135</v>
      </c>
      <c r="D930" s="2" t="str">
        <f t="shared" si="13"/>
        <v>Error?</v>
      </c>
    </row>
    <row r="931" spans="1:4" x14ac:dyDescent="0.2">
      <c r="A931" s="5">
        <v>870</v>
      </c>
      <c r="B931" s="138">
        <f>'Expenditures 15-22'!F114</f>
        <v>350470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39352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39352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39352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4406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4406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670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670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14901</v>
      </c>
      <c r="D1022" s="2" t="str">
        <f t="shared" si="14"/>
        <v>Error?</v>
      </c>
    </row>
    <row r="1023" spans="1:4" x14ac:dyDescent="0.2">
      <c r="A1023" s="5">
        <v>962</v>
      </c>
      <c r="B1023" s="138">
        <f>'Expenditures 15-22'!H50</f>
        <v>6827</v>
      </c>
      <c r="D1023" s="2" t="str">
        <f t="shared" ref="D1023:D1086" si="15">IF(ISBLANK(B1023),"OK",IF(A1023-B1023=0,"OK","Error?"))</f>
        <v>Error?</v>
      </c>
    </row>
    <row r="1024" spans="1:4" x14ac:dyDescent="0.2">
      <c r="A1024" s="5">
        <v>963</v>
      </c>
      <c r="B1024" s="138">
        <f>'Expenditures 15-22'!H53</f>
        <v>21728</v>
      </c>
      <c r="C1024" s="2" t="s">
        <v>594</v>
      </c>
      <c r="D1024" s="2" t="str">
        <f t="shared" si="15"/>
        <v>Error?</v>
      </c>
    </row>
    <row r="1025" spans="1:4" x14ac:dyDescent="0.2">
      <c r="A1025" s="5">
        <v>964</v>
      </c>
      <c r="B1025" s="138">
        <f>'Expenditures 15-22'!H55</f>
        <v>1678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1678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3423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3423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212</v>
      </c>
      <c r="D1041" s="2" t="str">
        <f t="shared" si="15"/>
        <v>Error?</v>
      </c>
    </row>
    <row r="1042" spans="1:4" x14ac:dyDescent="0.2">
      <c r="A1042" s="10">
        <v>981</v>
      </c>
      <c r="D1042" s="2" t="str">
        <f t="shared" si="15"/>
        <v>OK</v>
      </c>
    </row>
    <row r="1043" spans="1:4" x14ac:dyDescent="0.2">
      <c r="A1043" s="5">
        <v>982</v>
      </c>
      <c r="B1043" s="138">
        <f>'Expenditures 15-22'!H72</f>
        <v>212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27711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756859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788976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5918365</v>
      </c>
      <c r="C1093" s="2" t="s">
        <v>594</v>
      </c>
      <c r="D1093" s="2" t="str">
        <f t="shared" si="16"/>
        <v>Error?</v>
      </c>
    </row>
    <row r="1094" spans="1:4" x14ac:dyDescent="0.2">
      <c r="A1094" s="5">
        <v>1033</v>
      </c>
      <c r="B1094" s="138">
        <f>'Expenditures 15-22'!K16</f>
        <v>139128</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583884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54524</v>
      </c>
      <c r="C1106" s="2" t="s">
        <v>594</v>
      </c>
      <c r="D1106" s="2" t="str">
        <f t="shared" si="16"/>
        <v>Error?</v>
      </c>
    </row>
    <row r="1107" spans="1:4" x14ac:dyDescent="0.2">
      <c r="A1107" s="5">
        <v>1046</v>
      </c>
      <c r="B1107" s="138">
        <f>'Expenditures 15-22'!K15</f>
        <v>21293</v>
      </c>
      <c r="C1107" s="2" t="s">
        <v>594</v>
      </c>
      <c r="D1107" s="2" t="str">
        <f t="shared" si="16"/>
        <v>Error?</v>
      </c>
    </row>
    <row r="1108" spans="1:4" x14ac:dyDescent="0.2">
      <c r="A1108" s="5">
        <v>1047</v>
      </c>
      <c r="B1108" s="138">
        <f>'Expenditures 15-22'!K33</f>
        <v>8355368</v>
      </c>
      <c r="C1108" s="2" t="s">
        <v>594</v>
      </c>
      <c r="D1108" s="2" t="str">
        <f t="shared" si="16"/>
        <v>Error?</v>
      </c>
    </row>
    <row r="1109" spans="1:4" x14ac:dyDescent="0.2">
      <c r="A1109" s="5">
        <v>1048</v>
      </c>
      <c r="B1109" s="138">
        <f>'Expenditures 15-22'!K36</f>
        <v>293769</v>
      </c>
      <c r="C1109" s="2" t="s">
        <v>594</v>
      </c>
      <c r="D1109" s="2" t="str">
        <f t="shared" si="16"/>
        <v>Error?</v>
      </c>
    </row>
    <row r="1110" spans="1:4" x14ac:dyDescent="0.2">
      <c r="A1110" s="5">
        <v>1049</v>
      </c>
      <c r="B1110" s="138">
        <f>'Expenditures 15-22'!K37</f>
        <v>202372</v>
      </c>
      <c r="C1110" s="2" t="s">
        <v>594</v>
      </c>
      <c r="D1110" s="2" t="str">
        <f t="shared" si="16"/>
        <v>Error?</v>
      </c>
    </row>
    <row r="1111" spans="1:4" x14ac:dyDescent="0.2">
      <c r="A1111" s="5">
        <v>1050</v>
      </c>
      <c r="B1111" s="138">
        <f>'Expenditures 15-22'!K38</f>
        <v>130813</v>
      </c>
      <c r="C1111" s="2" t="s">
        <v>594</v>
      </c>
      <c r="D1111" s="2" t="str">
        <f t="shared" si="16"/>
        <v>Error?</v>
      </c>
    </row>
    <row r="1112" spans="1:4" x14ac:dyDescent="0.2">
      <c r="A1112" s="5">
        <v>1051</v>
      </c>
      <c r="B1112" s="138">
        <f>'Expenditures 15-22'!K39</f>
        <v>182116</v>
      </c>
      <c r="C1112" s="2" t="s">
        <v>594</v>
      </c>
      <c r="D1112" s="2" t="str">
        <f t="shared" si="16"/>
        <v>Error?</v>
      </c>
    </row>
    <row r="1113" spans="1:4" x14ac:dyDescent="0.2">
      <c r="A1113" s="5">
        <v>1052</v>
      </c>
      <c r="B1113" s="138">
        <f>'Expenditures 15-22'!K40</f>
        <v>189043</v>
      </c>
      <c r="C1113" s="2" t="s">
        <v>594</v>
      </c>
      <c r="D1113" s="2" t="str">
        <f t="shared" si="16"/>
        <v>Error?</v>
      </c>
    </row>
    <row r="1114" spans="1:4" x14ac:dyDescent="0.2">
      <c r="A1114" s="5">
        <v>1053</v>
      </c>
      <c r="B1114" s="138">
        <f>'Expenditures 15-22'!K41</f>
        <v>83542</v>
      </c>
      <c r="C1114" s="2" t="s">
        <v>594</v>
      </c>
      <c r="D1114" s="2" t="str">
        <f t="shared" si="16"/>
        <v>Error?</v>
      </c>
    </row>
    <row r="1115" spans="1:4" x14ac:dyDescent="0.2">
      <c r="A1115" s="5">
        <v>1054</v>
      </c>
      <c r="B1115" s="138">
        <f>'Expenditures 15-22'!K42</f>
        <v>1081655</v>
      </c>
      <c r="C1115" s="2" t="s">
        <v>594</v>
      </c>
      <c r="D1115" s="2" t="str">
        <f t="shared" si="16"/>
        <v>Error?</v>
      </c>
    </row>
    <row r="1116" spans="1:4" x14ac:dyDescent="0.2">
      <c r="A1116" s="5">
        <v>1055</v>
      </c>
      <c r="B1116" s="138">
        <f>'Expenditures 15-22'!K44</f>
        <v>236177</v>
      </c>
      <c r="C1116" s="2" t="s">
        <v>594</v>
      </c>
      <c r="D1116" s="2" t="str">
        <f t="shared" si="16"/>
        <v>Error?</v>
      </c>
    </row>
    <row r="1117" spans="1:4" x14ac:dyDescent="0.2">
      <c r="A1117" s="5">
        <v>1056</v>
      </c>
      <c r="B1117" s="138">
        <f>'Expenditures 15-22'!K45</f>
        <v>556104</v>
      </c>
      <c r="C1117" s="2" t="s">
        <v>594</v>
      </c>
      <c r="D1117" s="2" t="str">
        <f t="shared" si="16"/>
        <v>Error?</v>
      </c>
    </row>
    <row r="1118" spans="1:4" x14ac:dyDescent="0.2">
      <c r="A1118" s="5">
        <v>1057</v>
      </c>
      <c r="B1118" s="138">
        <f>'Expenditures 15-22'!K46</f>
        <v>54520</v>
      </c>
      <c r="C1118" s="2" t="s">
        <v>594</v>
      </c>
      <c r="D1118" s="2" t="str">
        <f t="shared" si="16"/>
        <v>Error?</v>
      </c>
    </row>
    <row r="1119" spans="1:4" x14ac:dyDescent="0.2">
      <c r="A1119" s="5">
        <v>1058</v>
      </c>
      <c r="B1119" s="138">
        <f>'Expenditures 15-22'!K47</f>
        <v>846801</v>
      </c>
      <c r="C1119" s="2" t="s">
        <v>594</v>
      </c>
      <c r="D1119" s="2" t="str">
        <f t="shared" si="16"/>
        <v>Error?</v>
      </c>
    </row>
    <row r="1120" spans="1:4" x14ac:dyDescent="0.2">
      <c r="A1120" s="5">
        <v>1059</v>
      </c>
      <c r="B1120" s="138">
        <f>'Expenditures 15-22'!K49</f>
        <v>109485</v>
      </c>
      <c r="C1120" s="2" t="s">
        <v>594</v>
      </c>
      <c r="D1120" s="2" t="str">
        <f t="shared" si="16"/>
        <v>Error?</v>
      </c>
    </row>
    <row r="1121" spans="1:4" x14ac:dyDescent="0.2">
      <c r="A1121" s="5">
        <v>1060</v>
      </c>
      <c r="B1121" s="138">
        <f>'Expenditures 15-22'!K50</f>
        <v>429712</v>
      </c>
      <c r="C1121" s="2" t="s">
        <v>594</v>
      </c>
      <c r="D1121" s="2" t="str">
        <f t="shared" si="16"/>
        <v>Error?</v>
      </c>
    </row>
    <row r="1122" spans="1:4" x14ac:dyDescent="0.2">
      <c r="A1122" s="5">
        <v>1061</v>
      </c>
      <c r="B1122" s="138">
        <f>'Expenditures 15-22'!K53</f>
        <v>539197</v>
      </c>
      <c r="C1122" s="2" t="s">
        <v>594</v>
      </c>
      <c r="D1122" s="2" t="str">
        <f t="shared" si="16"/>
        <v>Error?</v>
      </c>
    </row>
    <row r="1123" spans="1:4" x14ac:dyDescent="0.2">
      <c r="A1123" s="5">
        <v>1062</v>
      </c>
      <c r="B1123" s="138">
        <f>'Expenditures 15-22'!K55</f>
        <v>1286694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1286694</v>
      </c>
      <c r="C1125" s="2" t="s">
        <v>594</v>
      </c>
      <c r="D1125" s="2" t="str">
        <f t="shared" si="16"/>
        <v>Error?</v>
      </c>
    </row>
    <row r="1126" spans="1:4" x14ac:dyDescent="0.2">
      <c r="A1126" s="5">
        <v>1065</v>
      </c>
      <c r="B1126" s="138">
        <f>'Expenditures 15-22'!K59</f>
        <v>164413</v>
      </c>
      <c r="C1126" s="2" t="s">
        <v>594</v>
      </c>
      <c r="D1126" s="2" t="str">
        <f t="shared" si="16"/>
        <v>Error?</v>
      </c>
    </row>
    <row r="1127" spans="1:4" x14ac:dyDescent="0.2">
      <c r="A1127" s="5">
        <v>1066</v>
      </c>
      <c r="B1127" s="138">
        <f>'Expenditures 15-22'!K60</f>
        <v>276286</v>
      </c>
      <c r="C1127" s="2" t="s">
        <v>594</v>
      </c>
      <c r="D1127" s="2" t="str">
        <f t="shared" si="16"/>
        <v>Error?</v>
      </c>
    </row>
    <row r="1128" spans="1:4" x14ac:dyDescent="0.2">
      <c r="A1128" s="5">
        <v>1067</v>
      </c>
      <c r="B1128" s="138">
        <f>'Expenditures 15-22'!K61</f>
        <v>4654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337521</v>
      </c>
      <c r="C1130" s="2" t="s">
        <v>594</v>
      </c>
      <c r="D1130" s="2" t="str">
        <f t="shared" si="16"/>
        <v>Error?</v>
      </c>
    </row>
    <row r="1131" spans="1:4" x14ac:dyDescent="0.2">
      <c r="A1131" s="5">
        <v>1070</v>
      </c>
      <c r="B1131" s="138">
        <f>'Expenditures 15-22'!K64</f>
        <v>83832</v>
      </c>
      <c r="C1131" s="2" t="s">
        <v>594</v>
      </c>
      <c r="D1131" s="2" t="str">
        <f t="shared" si="16"/>
        <v>Error?</v>
      </c>
    </row>
    <row r="1132" spans="1:4" x14ac:dyDescent="0.2">
      <c r="A1132" s="10">
        <v>1071</v>
      </c>
      <c r="D1132" s="2" t="str">
        <f t="shared" si="16"/>
        <v>OK</v>
      </c>
    </row>
    <row r="1133" spans="1:4" x14ac:dyDescent="0.2">
      <c r="A1133" s="5">
        <v>1072</v>
      </c>
      <c r="B1133" s="138">
        <f>'Expenditures 15-22'!K65</f>
        <v>866706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15700</v>
      </c>
      <c r="C1136" s="2" t="s">
        <v>594</v>
      </c>
      <c r="D1136" s="2" t="str">
        <f t="shared" si="16"/>
        <v>Error?</v>
      </c>
    </row>
    <row r="1137" spans="1:4" x14ac:dyDescent="0.2">
      <c r="A1137" s="5">
        <v>1076</v>
      </c>
      <c r="B1137" s="138">
        <f>'Expenditures 15-22'!K70</f>
        <v>61</v>
      </c>
      <c r="C1137" s="2" t="s">
        <v>594</v>
      </c>
      <c r="D1137" s="2" t="str">
        <f t="shared" si="16"/>
        <v>Error?</v>
      </c>
    </row>
    <row r="1138" spans="1:4" x14ac:dyDescent="0.2">
      <c r="A1138" s="10">
        <v>1077</v>
      </c>
      <c r="D1138" s="2" t="str">
        <f t="shared" si="16"/>
        <v>OK</v>
      </c>
    </row>
    <row r="1139" spans="1:4" x14ac:dyDescent="0.2">
      <c r="A1139" s="5">
        <v>1078</v>
      </c>
      <c r="B1139" s="138">
        <f>'Expenditures 15-22'!K71</f>
        <v>461035</v>
      </c>
      <c r="C1139" s="2" t="s">
        <v>594</v>
      </c>
      <c r="D1139" s="2" t="str">
        <f t="shared" si="16"/>
        <v>Error?</v>
      </c>
    </row>
    <row r="1140" spans="1:4" x14ac:dyDescent="0.2">
      <c r="A1140" s="10">
        <v>1079</v>
      </c>
      <c r="D1140" s="2" t="str">
        <f t="shared" si="16"/>
        <v>OK</v>
      </c>
    </row>
    <row r="1141" spans="1:4" x14ac:dyDescent="0.2">
      <c r="A1141" s="5">
        <v>1080</v>
      </c>
      <c r="B1141" s="138">
        <f>'Expenditures 15-22'!K72</f>
        <v>476796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5097849</v>
      </c>
      <c r="C1143" s="2" t="s">
        <v>594</v>
      </c>
      <c r="D1143" s="2" t="str">
        <f t="shared" si="16"/>
        <v>Error?</v>
      </c>
    </row>
    <row r="1144" spans="1:4" x14ac:dyDescent="0.2">
      <c r="A1144" s="5">
        <v>1083</v>
      </c>
      <c r="B1144" s="138">
        <f>'Expenditures 15-22'!K75</f>
        <v>806500</v>
      </c>
      <c r="C1144" s="2" t="s">
        <v>594</v>
      </c>
      <c r="D1144" s="2" t="str">
        <f t="shared" si="16"/>
        <v>Error?</v>
      </c>
    </row>
    <row r="1145" spans="1:4" x14ac:dyDescent="0.2">
      <c r="A1145" s="5">
        <v>1084</v>
      </c>
      <c r="B1145" s="138">
        <f>'Expenditures 15-22'!K102</f>
        <v>993232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15252949</v>
      </c>
      <c r="C1152" s="2" t="s">
        <v>594</v>
      </c>
      <c r="D1152" s="2" t="str">
        <f t="shared" si="17"/>
        <v>Error?</v>
      </c>
    </row>
    <row r="1153" spans="1:4" x14ac:dyDescent="0.2">
      <c r="A1153" s="5">
        <v>1092</v>
      </c>
      <c r="B1153" s="138">
        <f>'Expenditures 15-22'!K115</f>
        <v>-1490535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292720</v>
      </c>
      <c r="D1221" s="2" t="str">
        <f t="shared" si="18"/>
        <v>Error?</v>
      </c>
    </row>
    <row r="1222" spans="1:4" x14ac:dyDescent="0.2">
      <c r="A1222" s="10">
        <v>1161</v>
      </c>
      <c r="D1222" s="2" t="str">
        <f t="shared" si="18"/>
        <v>OK</v>
      </c>
    </row>
    <row r="1223" spans="1:4" x14ac:dyDescent="0.2">
      <c r="A1223" s="5">
        <v>1162</v>
      </c>
      <c r="B1223" s="138">
        <f>'Expenditures 15-22'!C127</f>
        <v>292720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292720</v>
      </c>
      <c r="C1225" s="2" t="s">
        <v>594</v>
      </c>
      <c r="D1225" s="2" t="str">
        <f t="shared" si="18"/>
        <v>Error?</v>
      </c>
    </row>
    <row r="1226" spans="1:4" x14ac:dyDescent="0.2">
      <c r="A1226" s="5">
        <v>1165</v>
      </c>
      <c r="B1226" s="138">
        <f>'Expenditures 15-22'!C151</f>
        <v>292720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51678</v>
      </c>
      <c r="D1229" s="2" t="str">
        <f t="shared" si="18"/>
        <v>Error?</v>
      </c>
    </row>
    <row r="1230" spans="1:4" x14ac:dyDescent="0.2">
      <c r="A1230" s="10">
        <v>1169</v>
      </c>
      <c r="D1230" s="2" t="str">
        <f t="shared" si="18"/>
        <v>OK</v>
      </c>
    </row>
    <row r="1231" spans="1:4" x14ac:dyDescent="0.2">
      <c r="A1231" s="5">
        <v>1170</v>
      </c>
      <c r="B1231" s="138">
        <f>'Expenditures 15-22'!D127</f>
        <v>51678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51678</v>
      </c>
      <c r="C1233" s="2" t="s">
        <v>594</v>
      </c>
      <c r="D1233" s="2" t="str">
        <f t="shared" si="18"/>
        <v>Error?</v>
      </c>
    </row>
    <row r="1234" spans="1:4" x14ac:dyDescent="0.2">
      <c r="A1234" s="5">
        <v>1173</v>
      </c>
      <c r="B1234" s="138">
        <f>'Expenditures 15-22'!D151</f>
        <v>51678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459771</v>
      </c>
      <c r="D1237" s="2" t="str">
        <f t="shared" si="18"/>
        <v>Error?</v>
      </c>
    </row>
    <row r="1238" spans="1:4" x14ac:dyDescent="0.2">
      <c r="A1238" s="10">
        <v>1177</v>
      </c>
      <c r="D1238" s="2" t="str">
        <f t="shared" si="18"/>
        <v>OK</v>
      </c>
    </row>
    <row r="1239" spans="1:4" x14ac:dyDescent="0.2">
      <c r="A1239" s="5">
        <v>1178</v>
      </c>
      <c r="B1239" s="138">
        <f>'Expenditures 15-22'!E127</f>
        <v>459771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459771</v>
      </c>
      <c r="C1241" s="2" t="s">
        <v>594</v>
      </c>
      <c r="D1241" s="2" t="str">
        <f t="shared" si="18"/>
        <v>Error?</v>
      </c>
    </row>
    <row r="1242" spans="1:4" x14ac:dyDescent="0.2">
      <c r="A1242" s="5">
        <v>1181</v>
      </c>
      <c r="B1242" s="138">
        <f>'Expenditures 15-22'!E151</f>
        <v>488483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284705</v>
      </c>
      <c r="D1245" s="2" t="str">
        <f t="shared" si="18"/>
        <v>Error?</v>
      </c>
    </row>
    <row r="1246" spans="1:4" x14ac:dyDescent="0.2">
      <c r="A1246" s="10">
        <v>1185</v>
      </c>
      <c r="D1246" s="2" t="str">
        <f t="shared" si="18"/>
        <v>OK</v>
      </c>
    </row>
    <row r="1247" spans="1:4" x14ac:dyDescent="0.2">
      <c r="A1247" s="5">
        <v>1186</v>
      </c>
      <c r="B1247" s="138">
        <f>'Expenditures 15-22'!F127</f>
        <v>284705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284705</v>
      </c>
      <c r="C1249" s="2" t="s">
        <v>594</v>
      </c>
      <c r="D1249" s="2" t="str">
        <f t="shared" si="18"/>
        <v>Error?</v>
      </c>
    </row>
    <row r="1250" spans="1:4" x14ac:dyDescent="0.2">
      <c r="A1250" s="5">
        <v>1189</v>
      </c>
      <c r="B1250" s="138">
        <f>'Expenditures 15-22'!F151</f>
        <v>284705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16565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16565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16565</v>
      </c>
      <c r="C1258" s="2" t="s">
        <v>594</v>
      </c>
      <c r="D1258" s="2" t="str">
        <f t="shared" si="18"/>
        <v>Error?</v>
      </c>
    </row>
    <row r="1259" spans="1:4" x14ac:dyDescent="0.2">
      <c r="A1259" s="5">
        <v>1198</v>
      </c>
      <c r="B1259" s="138">
        <f>'Expenditures 15-22'!G151</f>
        <v>16565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662</v>
      </c>
      <c r="D1262" s="2" t="str">
        <f t="shared" si="18"/>
        <v>Error?</v>
      </c>
    </row>
    <row r="1263" spans="1:4" x14ac:dyDescent="0.2">
      <c r="A1263" s="10">
        <v>1202</v>
      </c>
      <c r="D1263" s="2" t="str">
        <f t="shared" si="18"/>
        <v>OK</v>
      </c>
    </row>
    <row r="1264" spans="1:4" x14ac:dyDescent="0.2">
      <c r="A1264" s="5">
        <v>1203</v>
      </c>
      <c r="B1264" s="138">
        <f>'Expenditures 15-22'!H127</f>
        <v>662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662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662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1125342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1125342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1125342</v>
      </c>
      <c r="C1281" s="2" t="s">
        <v>594</v>
      </c>
      <c r="D1281" s="2" t="str">
        <f t="shared" si="19"/>
        <v>Error?</v>
      </c>
    </row>
    <row r="1282" spans="1:4" x14ac:dyDescent="0.2">
      <c r="A1282" s="5">
        <v>1221</v>
      </c>
      <c r="B1282" s="138">
        <f>'Expenditures 15-22'!K139</f>
        <v>28712</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1154054</v>
      </c>
      <c r="C1288" s="2" t="s">
        <v>594</v>
      </c>
      <c r="D1288" s="2" t="str">
        <f t="shared" si="19"/>
        <v>Error?</v>
      </c>
    </row>
    <row r="1289" spans="1:4" x14ac:dyDescent="0.2">
      <c r="A1289" s="5">
        <v>1228</v>
      </c>
      <c r="B1289" s="138">
        <f>'Expenditures 15-22'!K152</f>
        <v>536708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446113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1235000</v>
      </c>
      <c r="D1315" s="2" t="str">
        <f t="shared" si="19"/>
        <v>Error?</v>
      </c>
    </row>
    <row r="1316" spans="1:4" x14ac:dyDescent="0.2">
      <c r="A1316" s="5">
        <v>1255</v>
      </c>
      <c r="B1316" s="138">
        <f>'Expenditures 15-22'!H171</f>
        <v>2200</v>
      </c>
      <c r="D1316" s="2" t="str">
        <f t="shared" si="19"/>
        <v>Error?</v>
      </c>
    </row>
    <row r="1317" spans="1:4" x14ac:dyDescent="0.2">
      <c r="A1317" s="5">
        <v>1256</v>
      </c>
      <c r="B1317" s="138">
        <f>'Expenditures 15-22'!H172</f>
        <v>1683313</v>
      </c>
      <c r="C1317" s="2" t="s">
        <v>594</v>
      </c>
      <c r="D1317" s="2" t="str">
        <f t="shared" si="19"/>
        <v>Error?</v>
      </c>
    </row>
    <row r="1318" spans="1:4" x14ac:dyDescent="0.2">
      <c r="A1318" s="5">
        <v>1257</v>
      </c>
      <c r="B1318" s="138">
        <f>'Expenditures 15-22'!H174</f>
        <v>1683313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446113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1235000</v>
      </c>
      <c r="C1329" s="2" t="s">
        <v>594</v>
      </c>
      <c r="D1329" s="2" t="str">
        <f t="shared" si="19"/>
        <v>Error?</v>
      </c>
    </row>
    <row r="1330" spans="1:4" x14ac:dyDescent="0.2">
      <c r="A1330" s="5">
        <v>1269</v>
      </c>
      <c r="B1330" s="138">
        <f>'Expenditures 15-22'!K171</f>
        <v>2200</v>
      </c>
      <c r="C1330" s="2" t="s">
        <v>594</v>
      </c>
      <c r="D1330" s="2" t="str">
        <f t="shared" si="19"/>
        <v>Error?</v>
      </c>
    </row>
    <row r="1331" spans="1:4" x14ac:dyDescent="0.2">
      <c r="A1331" s="5">
        <v>1270</v>
      </c>
      <c r="B1331" s="138">
        <f>'Expenditures 15-22'!K172</f>
        <v>1683313</v>
      </c>
      <c r="C1331" s="2" t="s">
        <v>594</v>
      </c>
      <c r="D1331" s="2" t="str">
        <f t="shared" si="19"/>
        <v>Error?</v>
      </c>
    </row>
    <row r="1332" spans="1:4" x14ac:dyDescent="0.2">
      <c r="A1332" s="5">
        <v>1271</v>
      </c>
      <c r="B1332" s="138">
        <f>'Expenditures 15-22'!K174</f>
        <v>1683313</v>
      </c>
      <c r="C1332" s="2" t="s">
        <v>594</v>
      </c>
      <c r="D1332" s="2" t="str">
        <f t="shared" si="19"/>
        <v>Error?</v>
      </c>
    </row>
    <row r="1333" spans="1:4" x14ac:dyDescent="0.2">
      <c r="A1333" s="5">
        <v>1272</v>
      </c>
      <c r="B1333" s="138">
        <f>'Expenditures 15-22'!K175</f>
        <v>-272179</v>
      </c>
      <c r="C1333" s="2" t="s">
        <v>594</v>
      </c>
      <c r="D1333" s="2" t="str">
        <f t="shared" si="19"/>
        <v>Error?</v>
      </c>
    </row>
    <row r="1334" spans="1:4" x14ac:dyDescent="0.2">
      <c r="A1334" s="10">
        <v>1273</v>
      </c>
      <c r="D1334" s="2" t="str">
        <f t="shared" si="19"/>
        <v>OK</v>
      </c>
    </row>
    <row r="1335" spans="1:4" x14ac:dyDescent="0.2">
      <c r="A1335" s="5">
        <v>1274</v>
      </c>
      <c r="B1335" s="138">
        <f>'Expenditures 15-22'!C182</f>
        <v>119158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119158</v>
      </c>
      <c r="C1339" s="2" t="s">
        <v>594</v>
      </c>
      <c r="D1339" s="2" t="str">
        <f t="shared" si="19"/>
        <v>Error?</v>
      </c>
    </row>
    <row r="1340" spans="1:4" x14ac:dyDescent="0.2">
      <c r="A1340" s="5">
        <v>1279</v>
      </c>
      <c r="B1340" s="138">
        <f>'Expenditures 15-22'!C210</f>
        <v>119158</v>
      </c>
      <c r="C1340" s="2" t="s">
        <v>594</v>
      </c>
      <c r="D1340" s="2" t="str">
        <f t="shared" si="19"/>
        <v>Error?</v>
      </c>
    </row>
    <row r="1341" spans="1:4" x14ac:dyDescent="0.2">
      <c r="A1341" s="5">
        <v>1280</v>
      </c>
      <c r="B1341" s="138">
        <f>'Expenditures 15-22'!D182</f>
        <v>15576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15576</v>
      </c>
      <c r="C1345" s="2" t="s">
        <v>594</v>
      </c>
      <c r="D1345" s="2" t="str">
        <f t="shared" si="20"/>
        <v>Error?</v>
      </c>
    </row>
    <row r="1346" spans="1:4" x14ac:dyDescent="0.2">
      <c r="A1346" s="5">
        <v>1285</v>
      </c>
      <c r="B1346" s="138">
        <f>'Expenditures 15-22'!D210</f>
        <v>15576</v>
      </c>
      <c r="C1346" s="2" t="s">
        <v>594</v>
      </c>
      <c r="D1346" s="2" t="str">
        <f t="shared" si="20"/>
        <v>Error?</v>
      </c>
    </row>
    <row r="1347" spans="1:4" x14ac:dyDescent="0.2">
      <c r="A1347" s="5">
        <v>1286</v>
      </c>
      <c r="B1347" s="138">
        <f>'Expenditures 15-22'!E182</f>
        <v>659806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659806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659806</v>
      </c>
      <c r="C1353" s="2" t="s">
        <v>594</v>
      </c>
      <c r="D1353" s="2" t="str">
        <f t="shared" si="20"/>
        <v>Error?</v>
      </c>
    </row>
    <row r="1354" spans="1:4" x14ac:dyDescent="0.2">
      <c r="A1354" s="5">
        <v>1293</v>
      </c>
      <c r="B1354" s="138">
        <f>'Expenditures 15-22'!F182</f>
        <v>3006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3006</v>
      </c>
      <c r="C1358" s="2" t="s">
        <v>594</v>
      </c>
      <c r="D1358" s="2" t="str">
        <f t="shared" si="20"/>
        <v>Error?</v>
      </c>
    </row>
    <row r="1359" spans="1:4" x14ac:dyDescent="0.2">
      <c r="A1359" s="5">
        <v>1298</v>
      </c>
      <c r="B1359" s="138">
        <f>'Expenditures 15-22'!F210</f>
        <v>3006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281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281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281</v>
      </c>
      <c r="C1376" s="2" t="s">
        <v>594</v>
      </c>
      <c r="D1376" s="2" t="str">
        <f t="shared" si="20"/>
        <v>Error?</v>
      </c>
    </row>
    <row r="1377" spans="1:4" x14ac:dyDescent="0.2">
      <c r="A1377" s="5">
        <v>1316</v>
      </c>
      <c r="B1377" s="138">
        <f>'Expenditures 15-22'!K182</f>
        <v>797827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797827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797827</v>
      </c>
      <c r="C1388" s="2" t="s">
        <v>594</v>
      </c>
      <c r="D1388" s="2" t="str">
        <f t="shared" si="20"/>
        <v>Error?</v>
      </c>
    </row>
    <row r="1389" spans="1:4" x14ac:dyDescent="0.2">
      <c r="A1389" s="5">
        <v>1328</v>
      </c>
      <c r="B1389" s="138">
        <f>'Expenditures 15-22'!K211</f>
        <v>1228438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1712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12777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808</v>
      </c>
      <c r="D1408" s="2" t="str">
        <f t="shared" si="21"/>
        <v>Error?</v>
      </c>
    </row>
    <row r="1409" spans="1:4" x14ac:dyDescent="0.2">
      <c r="A1409" s="5">
        <v>1348</v>
      </c>
      <c r="B1409" s="138">
        <f>'Expenditures 15-22'!D224</f>
        <v>496</v>
      </c>
      <c r="D1409" s="2" t="str">
        <f t="shared" si="21"/>
        <v>Error?</v>
      </c>
    </row>
    <row r="1410" spans="1:4" x14ac:dyDescent="0.2">
      <c r="A1410" s="5">
        <v>1349</v>
      </c>
      <c r="B1410" s="138">
        <f>'Expenditures 15-22'!D229</f>
        <v>137119</v>
      </c>
      <c r="C1410" s="2" t="s">
        <v>594</v>
      </c>
      <c r="D1410" s="2" t="str">
        <f t="shared" si="21"/>
        <v>Error?</v>
      </c>
    </row>
    <row r="1411" spans="1:4" x14ac:dyDescent="0.2">
      <c r="A1411" s="5">
        <v>1350</v>
      </c>
      <c r="B1411" s="138">
        <f>'Expenditures 15-22'!D232</f>
        <v>3928</v>
      </c>
      <c r="D1411" s="2" t="str">
        <f t="shared" si="21"/>
        <v>Error?</v>
      </c>
    </row>
    <row r="1412" spans="1:4" x14ac:dyDescent="0.2">
      <c r="A1412" s="5">
        <v>1351</v>
      </c>
      <c r="B1412" s="138">
        <f>'Expenditures 15-22'!D233</f>
        <v>2431</v>
      </c>
      <c r="D1412" s="2" t="str">
        <f t="shared" si="21"/>
        <v>Error?</v>
      </c>
    </row>
    <row r="1413" spans="1:4" x14ac:dyDescent="0.2">
      <c r="A1413" s="5">
        <v>1352</v>
      </c>
      <c r="B1413" s="138">
        <f>'Expenditures 15-22'!D234</f>
        <v>11954</v>
      </c>
      <c r="D1413" s="2" t="str">
        <f t="shared" si="21"/>
        <v>Error?</v>
      </c>
    </row>
    <row r="1414" spans="1:4" x14ac:dyDescent="0.2">
      <c r="A1414" s="5">
        <v>1353</v>
      </c>
      <c r="B1414" s="138">
        <f>'Expenditures 15-22'!D235</f>
        <v>2186</v>
      </c>
      <c r="D1414" s="2" t="str">
        <f t="shared" si="21"/>
        <v>Error?</v>
      </c>
    </row>
    <row r="1415" spans="1:4" x14ac:dyDescent="0.2">
      <c r="A1415" s="5">
        <v>1354</v>
      </c>
      <c r="B1415" s="138">
        <f>'Expenditures 15-22'!D236</f>
        <v>2365</v>
      </c>
      <c r="D1415" s="2" t="str">
        <f t="shared" si="21"/>
        <v>Error?</v>
      </c>
    </row>
    <row r="1416" spans="1:4" x14ac:dyDescent="0.2">
      <c r="A1416" s="5">
        <v>1355</v>
      </c>
      <c r="B1416" s="138">
        <f>'Expenditures 15-22'!D237</f>
        <v>7903</v>
      </c>
      <c r="D1416" s="2" t="str">
        <f t="shared" si="21"/>
        <v>Error?</v>
      </c>
    </row>
    <row r="1417" spans="1:4" x14ac:dyDescent="0.2">
      <c r="A1417" s="5">
        <v>1356</v>
      </c>
      <c r="B1417" s="138">
        <f>'Expenditures 15-22'!D238</f>
        <v>30767</v>
      </c>
      <c r="C1417" s="2" t="s">
        <v>594</v>
      </c>
      <c r="D1417" s="2" t="str">
        <f t="shared" si="21"/>
        <v>Error?</v>
      </c>
    </row>
    <row r="1418" spans="1:4" x14ac:dyDescent="0.2">
      <c r="A1418" s="5">
        <v>1357</v>
      </c>
      <c r="B1418" s="138">
        <f>'Expenditures 15-22'!D240</f>
        <v>2436</v>
      </c>
      <c r="D1418" s="2" t="str">
        <f t="shared" si="21"/>
        <v>Error?</v>
      </c>
    </row>
    <row r="1419" spans="1:4" x14ac:dyDescent="0.2">
      <c r="A1419" s="5">
        <v>1358</v>
      </c>
      <c r="B1419" s="138">
        <f>'Expenditures 15-22'!D241</f>
        <v>15218</v>
      </c>
      <c r="D1419" s="2" t="str">
        <f t="shared" si="21"/>
        <v>Error?</v>
      </c>
    </row>
    <row r="1420" spans="1:4" x14ac:dyDescent="0.2">
      <c r="A1420" s="5">
        <v>1359</v>
      </c>
      <c r="B1420" s="138">
        <f>'Expenditures 15-22'!D242</f>
        <v>9163</v>
      </c>
      <c r="D1420" s="2" t="str">
        <f t="shared" si="21"/>
        <v>Error?</v>
      </c>
    </row>
    <row r="1421" spans="1:4" x14ac:dyDescent="0.2">
      <c r="A1421" s="5">
        <v>1360</v>
      </c>
      <c r="B1421" s="138">
        <f>'Expenditures 15-22'!D243</f>
        <v>26817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10172</v>
      </c>
      <c r="D1423" s="2" t="str">
        <f t="shared" si="21"/>
        <v>Error?</v>
      </c>
    </row>
    <row r="1424" spans="1:4" x14ac:dyDescent="0.2">
      <c r="A1424" s="5">
        <v>1363</v>
      </c>
      <c r="B1424" s="138">
        <f>'Expenditures 15-22'!D257</f>
        <v>10172</v>
      </c>
      <c r="C1424" s="2" t="s">
        <v>594</v>
      </c>
      <c r="D1424" s="2" t="str">
        <f t="shared" si="21"/>
        <v>Error?</v>
      </c>
    </row>
    <row r="1425" spans="1:4" x14ac:dyDescent="0.2">
      <c r="A1425" s="5">
        <v>1364</v>
      </c>
      <c r="B1425" s="138">
        <f>'Expenditures 15-22'!D259</f>
        <v>63778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63778</v>
      </c>
      <c r="C1427" s="2" t="s">
        <v>594</v>
      </c>
      <c r="D1427" s="2" t="str">
        <f t="shared" si="21"/>
        <v>Error?</v>
      </c>
    </row>
    <row r="1428" spans="1:4" x14ac:dyDescent="0.2">
      <c r="A1428" s="5">
        <v>1367</v>
      </c>
      <c r="B1428" s="138">
        <f>'Expenditures 15-22'!D263</f>
        <v>2140</v>
      </c>
      <c r="D1428" s="2" t="str">
        <f t="shared" si="21"/>
        <v>Error?</v>
      </c>
    </row>
    <row r="1429" spans="1:4" x14ac:dyDescent="0.2">
      <c r="A1429" s="5">
        <v>1368</v>
      </c>
      <c r="B1429" s="138">
        <f>'Expenditures 15-22'!D264</f>
        <v>30861</v>
      </c>
      <c r="D1429" s="2" t="str">
        <f t="shared" si="21"/>
        <v>Error?</v>
      </c>
    </row>
    <row r="1430" spans="1:4" x14ac:dyDescent="0.2">
      <c r="A1430" s="5">
        <v>1369</v>
      </c>
      <c r="B1430" s="138">
        <f>'Expenditures 15-22'!D265</f>
        <v>190</v>
      </c>
      <c r="D1430" s="2" t="str">
        <f t="shared" si="21"/>
        <v>Error?</v>
      </c>
    </row>
    <row r="1431" spans="1:4" x14ac:dyDescent="0.2">
      <c r="A1431" s="5">
        <v>1370</v>
      </c>
      <c r="B1431" s="138">
        <f>'Expenditures 15-22'!D266</f>
        <v>54873</v>
      </c>
      <c r="D1431" s="2" t="str">
        <f t="shared" si="21"/>
        <v>Error?</v>
      </c>
    </row>
    <row r="1432" spans="1:4" x14ac:dyDescent="0.2">
      <c r="A1432" s="5">
        <v>1371</v>
      </c>
      <c r="B1432" s="138">
        <f>'Expenditures 15-22'!D267</f>
        <v>15809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103873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48861</v>
      </c>
      <c r="D1442" s="2" t="str">
        <f t="shared" si="21"/>
        <v>Error?</v>
      </c>
    </row>
    <row r="1443" spans="1:4" x14ac:dyDescent="0.2">
      <c r="A1443" s="10">
        <v>1382</v>
      </c>
      <c r="D1443" s="2" t="str">
        <f t="shared" si="21"/>
        <v>OK</v>
      </c>
    </row>
    <row r="1444" spans="1:4" x14ac:dyDescent="0.2">
      <c r="A1444" s="5">
        <v>1383</v>
      </c>
      <c r="B1444" s="138">
        <f>'Expenditures 15-22'!D277</f>
        <v>48861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284268</v>
      </c>
      <c r="C1446" s="2" t="s">
        <v>594</v>
      </c>
      <c r="D1446" s="2" t="str">
        <f t="shared" si="21"/>
        <v>Error?</v>
      </c>
    </row>
    <row r="1447" spans="1:4" x14ac:dyDescent="0.2">
      <c r="A1447" s="5">
        <v>1386</v>
      </c>
      <c r="B1447" s="138">
        <f>'Expenditures 15-22'!D280</f>
        <v>762</v>
      </c>
      <c r="D1447" s="2" t="str">
        <f t="shared" si="21"/>
        <v>Error?</v>
      </c>
    </row>
    <row r="1448" spans="1:4" x14ac:dyDescent="0.2">
      <c r="A1448" s="5">
        <v>1387</v>
      </c>
      <c r="B1448" s="138">
        <f>'Expenditures 15-22'!D295</f>
        <v>422149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1712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12777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808</v>
      </c>
      <c r="C1472" s="2" t="s">
        <v>594</v>
      </c>
      <c r="D1472" s="2" t="str">
        <f t="shared" si="22"/>
        <v>Error?</v>
      </c>
    </row>
    <row r="1473" spans="1:4" x14ac:dyDescent="0.2">
      <c r="A1473" s="5">
        <v>1412</v>
      </c>
      <c r="B1473" s="138">
        <f>'Expenditures 15-22'!K224</f>
        <v>496</v>
      </c>
      <c r="C1473" s="2" t="s">
        <v>594</v>
      </c>
      <c r="D1473" s="2" t="str">
        <f t="shared" si="22"/>
        <v>Error?</v>
      </c>
    </row>
    <row r="1474" spans="1:4" x14ac:dyDescent="0.2">
      <c r="A1474" s="5">
        <v>1413</v>
      </c>
      <c r="B1474" s="138">
        <f>'Expenditures 15-22'!K229</f>
        <v>137119</v>
      </c>
      <c r="C1474" s="2" t="s">
        <v>594</v>
      </c>
      <c r="D1474" s="2" t="str">
        <f t="shared" si="22"/>
        <v>Error?</v>
      </c>
    </row>
    <row r="1475" spans="1:4" x14ac:dyDescent="0.2">
      <c r="A1475" s="5">
        <v>1414</v>
      </c>
      <c r="B1475" s="138">
        <f>'Expenditures 15-22'!K232</f>
        <v>3928</v>
      </c>
      <c r="C1475" s="2" t="s">
        <v>594</v>
      </c>
      <c r="D1475" s="2" t="str">
        <f t="shared" si="22"/>
        <v>Error?</v>
      </c>
    </row>
    <row r="1476" spans="1:4" x14ac:dyDescent="0.2">
      <c r="A1476" s="5">
        <v>1415</v>
      </c>
      <c r="B1476" s="138">
        <f>'Expenditures 15-22'!K233</f>
        <v>2431</v>
      </c>
      <c r="C1476" s="2" t="s">
        <v>594</v>
      </c>
      <c r="D1476" s="2" t="str">
        <f t="shared" si="22"/>
        <v>Error?</v>
      </c>
    </row>
    <row r="1477" spans="1:4" x14ac:dyDescent="0.2">
      <c r="A1477" s="5">
        <v>1416</v>
      </c>
      <c r="B1477" s="138">
        <f>'Expenditures 15-22'!K234</f>
        <v>11954</v>
      </c>
      <c r="C1477" s="2" t="s">
        <v>594</v>
      </c>
      <c r="D1477" s="2" t="str">
        <f t="shared" si="22"/>
        <v>Error?</v>
      </c>
    </row>
    <row r="1478" spans="1:4" x14ac:dyDescent="0.2">
      <c r="A1478" s="5">
        <v>1417</v>
      </c>
      <c r="B1478" s="138">
        <f>'Expenditures 15-22'!K235</f>
        <v>2186</v>
      </c>
      <c r="C1478" s="2" t="s">
        <v>594</v>
      </c>
      <c r="D1478" s="2" t="str">
        <f t="shared" si="22"/>
        <v>Error?</v>
      </c>
    </row>
    <row r="1479" spans="1:4" x14ac:dyDescent="0.2">
      <c r="A1479" s="5">
        <v>1418</v>
      </c>
      <c r="B1479" s="138">
        <f>'Expenditures 15-22'!K236</f>
        <v>2365</v>
      </c>
      <c r="C1479" s="2" t="s">
        <v>594</v>
      </c>
      <c r="D1479" s="2" t="str">
        <f t="shared" si="22"/>
        <v>Error?</v>
      </c>
    </row>
    <row r="1480" spans="1:4" x14ac:dyDescent="0.2">
      <c r="A1480" s="5">
        <v>1419</v>
      </c>
      <c r="B1480" s="138">
        <f>'Expenditures 15-22'!K237</f>
        <v>7903</v>
      </c>
      <c r="C1480" s="2" t="s">
        <v>594</v>
      </c>
      <c r="D1480" s="2" t="str">
        <f t="shared" si="22"/>
        <v>Error?</v>
      </c>
    </row>
    <row r="1481" spans="1:4" x14ac:dyDescent="0.2">
      <c r="A1481" s="5">
        <v>1420</v>
      </c>
      <c r="B1481" s="138">
        <f>'Expenditures 15-22'!K238</f>
        <v>30767</v>
      </c>
      <c r="C1481" s="2" t="s">
        <v>594</v>
      </c>
      <c r="D1481" s="2" t="str">
        <f t="shared" si="22"/>
        <v>Error?</v>
      </c>
    </row>
    <row r="1482" spans="1:4" x14ac:dyDescent="0.2">
      <c r="A1482" s="5">
        <v>1421</v>
      </c>
      <c r="B1482" s="138">
        <f>'Expenditures 15-22'!K240</f>
        <v>2436</v>
      </c>
      <c r="C1482" s="2" t="s">
        <v>594</v>
      </c>
      <c r="D1482" s="2" t="str">
        <f t="shared" si="22"/>
        <v>Error?</v>
      </c>
    </row>
    <row r="1483" spans="1:4" x14ac:dyDescent="0.2">
      <c r="A1483" s="5">
        <v>1422</v>
      </c>
      <c r="B1483" s="138">
        <f>'Expenditures 15-22'!K241</f>
        <v>15218</v>
      </c>
      <c r="C1483" s="2" t="s">
        <v>594</v>
      </c>
      <c r="D1483" s="2" t="str">
        <f t="shared" si="22"/>
        <v>Error?</v>
      </c>
    </row>
    <row r="1484" spans="1:4" x14ac:dyDescent="0.2">
      <c r="A1484" s="5">
        <v>1423</v>
      </c>
      <c r="B1484" s="138">
        <f>'Expenditures 15-22'!K242</f>
        <v>9163</v>
      </c>
      <c r="C1484" s="2" t="s">
        <v>594</v>
      </c>
      <c r="D1484" s="2" t="str">
        <f t="shared" si="22"/>
        <v>Error?</v>
      </c>
    </row>
    <row r="1485" spans="1:4" x14ac:dyDescent="0.2">
      <c r="A1485" s="5">
        <v>1424</v>
      </c>
      <c r="B1485" s="138">
        <f>'Expenditures 15-22'!K243</f>
        <v>26817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10172</v>
      </c>
      <c r="C1487" s="2" t="s">
        <v>594</v>
      </c>
      <c r="D1487" s="2" t="str">
        <f t="shared" si="22"/>
        <v>Error?</v>
      </c>
    </row>
    <row r="1488" spans="1:4" x14ac:dyDescent="0.2">
      <c r="A1488" s="5">
        <v>1427</v>
      </c>
      <c r="B1488" s="138">
        <f>'Expenditures 15-22'!K257</f>
        <v>10172</v>
      </c>
      <c r="C1488" s="2" t="s">
        <v>594</v>
      </c>
      <c r="D1488" s="2" t="str">
        <f t="shared" si="22"/>
        <v>Error?</v>
      </c>
    </row>
    <row r="1489" spans="1:4" x14ac:dyDescent="0.2">
      <c r="A1489" s="5">
        <v>1428</v>
      </c>
      <c r="B1489" s="138">
        <f>'Expenditures 15-22'!K259</f>
        <v>63778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63778</v>
      </c>
      <c r="C1491" s="2" t="s">
        <v>594</v>
      </c>
      <c r="D1491" s="2" t="str">
        <f t="shared" si="22"/>
        <v>Error?</v>
      </c>
    </row>
    <row r="1492" spans="1:4" x14ac:dyDescent="0.2">
      <c r="A1492" s="5">
        <v>1431</v>
      </c>
      <c r="B1492" s="138">
        <f>'Expenditures 15-22'!K263</f>
        <v>2140</v>
      </c>
      <c r="C1492" s="2" t="s">
        <v>594</v>
      </c>
      <c r="D1492" s="2" t="str">
        <f t="shared" si="22"/>
        <v>Error?</v>
      </c>
    </row>
    <row r="1493" spans="1:4" x14ac:dyDescent="0.2">
      <c r="A1493" s="5">
        <v>1432</v>
      </c>
      <c r="B1493" s="138">
        <f>'Expenditures 15-22'!K264</f>
        <v>30861</v>
      </c>
      <c r="C1493" s="2" t="s">
        <v>594</v>
      </c>
      <c r="D1493" s="2" t="str">
        <f t="shared" si="22"/>
        <v>Error?</v>
      </c>
    </row>
    <row r="1494" spans="1:4" x14ac:dyDescent="0.2">
      <c r="A1494" s="5">
        <v>1433</v>
      </c>
      <c r="B1494" s="138">
        <f>'Expenditures 15-22'!K265</f>
        <v>190</v>
      </c>
      <c r="C1494" s="2" t="s">
        <v>594</v>
      </c>
      <c r="D1494" s="2" t="str">
        <f t="shared" si="22"/>
        <v>Error?</v>
      </c>
    </row>
    <row r="1495" spans="1:4" x14ac:dyDescent="0.2">
      <c r="A1495" s="5">
        <v>1434</v>
      </c>
      <c r="B1495" s="138">
        <f>'Expenditures 15-22'!K266</f>
        <v>54873</v>
      </c>
      <c r="C1495" s="2" t="s">
        <v>594</v>
      </c>
      <c r="D1495" s="2" t="str">
        <f t="shared" si="22"/>
        <v>Error?</v>
      </c>
    </row>
    <row r="1496" spans="1:4" x14ac:dyDescent="0.2">
      <c r="A1496" s="5">
        <v>1435</v>
      </c>
      <c r="B1496" s="138">
        <f>'Expenditures 15-22'!K267</f>
        <v>15809</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103873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48861</v>
      </c>
      <c r="C1506" s="2" t="s">
        <v>594</v>
      </c>
      <c r="D1506" s="2" t="str">
        <f t="shared" si="22"/>
        <v>Error?</v>
      </c>
    </row>
    <row r="1507" spans="1:4" x14ac:dyDescent="0.2">
      <c r="A1507" s="10">
        <v>1446</v>
      </c>
      <c r="D1507" s="2" t="str">
        <f t="shared" si="22"/>
        <v>OK</v>
      </c>
    </row>
    <row r="1508" spans="1:4" x14ac:dyDescent="0.2">
      <c r="A1508" s="5">
        <v>1447</v>
      </c>
      <c r="B1508" s="138">
        <f>'Expenditures 15-22'!K277</f>
        <v>48861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284268</v>
      </c>
      <c r="C1510" s="2" t="s">
        <v>594</v>
      </c>
      <c r="D1510" s="2" t="str">
        <f t="shared" si="22"/>
        <v>Error?</v>
      </c>
    </row>
    <row r="1511" spans="1:4" x14ac:dyDescent="0.2">
      <c r="A1511" s="5">
        <v>1450</v>
      </c>
      <c r="B1511" s="138">
        <f>'Expenditures 15-22'!K280</f>
        <v>762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422149</v>
      </c>
      <c r="C1517" s="2" t="s">
        <v>594</v>
      </c>
      <c r="D1517" s="2" t="str">
        <f t="shared" si="22"/>
        <v>Error?</v>
      </c>
    </row>
    <row r="1518" spans="1:4" x14ac:dyDescent="0.2">
      <c r="A1518" s="5">
        <v>1457</v>
      </c>
      <c r="B1518" s="138">
        <f>'Expenditures 15-22'!K296</f>
        <v>256263</v>
      </c>
      <c r="C1518" s="2" t="s">
        <v>594</v>
      </c>
      <c r="D1518" s="2" t="str">
        <f t="shared" si="22"/>
        <v>Error?</v>
      </c>
    </row>
    <row r="1519" spans="1:4" x14ac:dyDescent="0.2">
      <c r="A1519" s="5">
        <v>1458</v>
      </c>
      <c r="B1519" s="138">
        <f>'Expenditures 15-22'!C301</f>
        <v>14290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14290</v>
      </c>
      <c r="C1523" s="2" t="s">
        <v>594</v>
      </c>
      <c r="D1523" s="2" t="str">
        <f t="shared" si="22"/>
        <v>Error?</v>
      </c>
    </row>
    <row r="1524" spans="1:4" x14ac:dyDescent="0.2">
      <c r="A1524" s="5">
        <v>1463</v>
      </c>
      <c r="B1524" s="138">
        <f>'Expenditures 15-22'!C312</f>
        <v>14290</v>
      </c>
      <c r="C1524" s="2" t="s">
        <v>594</v>
      </c>
      <c r="D1524" s="2" t="str">
        <f t="shared" si="22"/>
        <v>Error?</v>
      </c>
    </row>
    <row r="1525" spans="1:4" x14ac:dyDescent="0.2">
      <c r="A1525" s="5">
        <v>1464</v>
      </c>
      <c r="B1525" s="138">
        <f>'Expenditures 15-22'!D301</f>
        <v>16691</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16691</v>
      </c>
      <c r="C1529" s="2" t="s">
        <v>594</v>
      </c>
      <c r="D1529" s="2" t="str">
        <f t="shared" si="22"/>
        <v>Error?</v>
      </c>
    </row>
    <row r="1530" spans="1:4" x14ac:dyDescent="0.2">
      <c r="A1530" s="5">
        <v>1469</v>
      </c>
      <c r="B1530" s="138">
        <f>'Expenditures 15-22'!D312</f>
        <v>16691</v>
      </c>
      <c r="C1530" s="2" t="s">
        <v>594</v>
      </c>
      <c r="D1530" s="2" t="str">
        <f t="shared" si="22"/>
        <v>Error?</v>
      </c>
    </row>
    <row r="1531" spans="1:4" x14ac:dyDescent="0.2">
      <c r="A1531" s="5">
        <v>1470</v>
      </c>
      <c r="B1531" s="138">
        <f>'Expenditures 15-22'!E301</f>
        <v>416387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416387</v>
      </c>
      <c r="C1535" s="2" t="s">
        <v>594</v>
      </c>
      <c r="D1535" s="2" t="str">
        <f t="shared" ref="D1535:D1598" si="23">IF(ISBLANK(B1535),"OK",IF(A1535-B1535=0,"OK","Error?"))</f>
        <v>Error?</v>
      </c>
    </row>
    <row r="1536" spans="1:4" x14ac:dyDescent="0.2">
      <c r="A1536" s="5">
        <v>1475</v>
      </c>
      <c r="B1536" s="138">
        <f>'Expenditures 15-22'!E312</f>
        <v>416387</v>
      </c>
      <c r="C1536" s="2" t="s">
        <v>594</v>
      </c>
      <c r="D1536" s="2" t="str">
        <f t="shared" si="23"/>
        <v>Error?</v>
      </c>
    </row>
    <row r="1537" spans="1:4" x14ac:dyDescent="0.2">
      <c r="A1537" s="5">
        <v>1476</v>
      </c>
      <c r="B1537" s="138">
        <f>'Expenditures 15-22'!F301</f>
        <v>3695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3695</v>
      </c>
      <c r="C1541" s="2" t="s">
        <v>594</v>
      </c>
      <c r="D1541" s="2" t="str">
        <f t="shared" si="23"/>
        <v>Error?</v>
      </c>
    </row>
    <row r="1542" spans="1:4" x14ac:dyDescent="0.2">
      <c r="A1542" s="5">
        <v>1481</v>
      </c>
      <c r="B1542" s="138">
        <f>'Expenditures 15-22'!F312</f>
        <v>3695</v>
      </c>
      <c r="C1542" s="2" t="s">
        <v>594</v>
      </c>
      <c r="D1542" s="2" t="str">
        <f t="shared" si="23"/>
        <v>Error?</v>
      </c>
    </row>
    <row r="1543" spans="1:4" x14ac:dyDescent="0.2">
      <c r="A1543" s="5">
        <v>1482</v>
      </c>
      <c r="B1543" s="138">
        <f>'Expenditures 15-22'!G301</f>
        <v>3419140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3419140</v>
      </c>
      <c r="C1547" s="2" t="s">
        <v>594</v>
      </c>
      <c r="D1547" s="2" t="str">
        <f t="shared" si="23"/>
        <v>Error?</v>
      </c>
    </row>
    <row r="1548" spans="1:4" x14ac:dyDescent="0.2">
      <c r="A1548" s="5">
        <v>1487</v>
      </c>
      <c r="B1548" s="138">
        <f>'Expenditures 15-22'!G312</f>
        <v>3419140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3870203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3870203</v>
      </c>
      <c r="C1559" s="2" t="s">
        <v>594</v>
      </c>
      <c r="D1559" s="2" t="str">
        <f t="shared" si="23"/>
        <v>Error?</v>
      </c>
    </row>
    <row r="1560" spans="1:4" x14ac:dyDescent="0.2">
      <c r="A1560" s="5">
        <v>1499</v>
      </c>
      <c r="B1560" s="138">
        <f>'Expenditures 15-22'!K312</f>
        <v>3870203</v>
      </c>
      <c r="C1560" s="2" t="s">
        <v>594</v>
      </c>
      <c r="D1560" s="2" t="str">
        <f t="shared" si="23"/>
        <v>Error?</v>
      </c>
    </row>
    <row r="1561" spans="1:4" x14ac:dyDescent="0.2">
      <c r="A1561" s="5">
        <v>1500</v>
      </c>
      <c r="B1561" s="138">
        <f>'Expenditures 15-22'!K313</f>
        <v>-3829311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15938135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15447600</v>
      </c>
      <c r="C1630" s="2" t="s">
        <v>594</v>
      </c>
      <c r="D1630" s="2" t="str">
        <f t="shared" si="24"/>
        <v>Error?</v>
      </c>
    </row>
    <row r="1631" spans="1:4" x14ac:dyDescent="0.2">
      <c r="A1631" s="5">
        <v>1570</v>
      </c>
      <c r="B1631" s="138">
        <f>'Acct Summary 7-8'!D79</f>
        <v>3048844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3585552</v>
      </c>
      <c r="C1644" s="2" t="s">
        <v>594</v>
      </c>
      <c r="D1644" s="2" t="str">
        <f t="shared" si="24"/>
        <v>Error?</v>
      </c>
    </row>
    <row r="1645" spans="1:4" x14ac:dyDescent="0.2">
      <c r="A1645" s="5">
        <v>1584</v>
      </c>
      <c r="B1645" s="138">
        <f>'Acct Summary 7-8'!E79</f>
        <v>1824564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1552385</v>
      </c>
      <c r="C1658" s="2" t="s">
        <v>594</v>
      </c>
      <c r="D1658" s="2" t="str">
        <f t="shared" si="24"/>
        <v>Error?</v>
      </c>
    </row>
    <row r="1659" spans="1:4" x14ac:dyDescent="0.2">
      <c r="A1659" s="5">
        <v>1598</v>
      </c>
      <c r="B1659" s="138">
        <f>'Acct Summary 7-8'!F79</f>
        <v>565847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794285</v>
      </c>
      <c r="C1672" s="2" t="s">
        <v>594</v>
      </c>
      <c r="D1672" s="2" t="str">
        <f t="shared" si="25"/>
        <v>Error?</v>
      </c>
    </row>
    <row r="1673" spans="1:4" x14ac:dyDescent="0.2">
      <c r="A1673" s="5">
        <v>1612</v>
      </c>
      <c r="B1673" s="138">
        <f>'Acct Summary 7-8'!G79</f>
        <v>1305127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1561390</v>
      </c>
      <c r="C1686" s="2" t="s">
        <v>594</v>
      </c>
      <c r="D1686" s="2" t="str">
        <f t="shared" si="25"/>
        <v>Error?</v>
      </c>
    </row>
    <row r="1687" spans="1:4" x14ac:dyDescent="0.2">
      <c r="A1687" s="5">
        <v>1626</v>
      </c>
      <c r="B1687" s="138">
        <f>'Acct Summary 7-8'!H79</f>
        <v>3247186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217875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9657004</v>
      </c>
      <c r="C1744" s="2" t="s">
        <v>594</v>
      </c>
      <c r="D1744" s="2" t="str">
        <f t="shared" si="26"/>
        <v>Error?</v>
      </c>
    </row>
    <row r="1745" spans="1:5" x14ac:dyDescent="0.2">
      <c r="A1745" s="5">
        <v>1684</v>
      </c>
      <c r="B1745" s="138">
        <f>'Tax Sched 23'!B5</f>
        <v>1500284</v>
      </c>
      <c r="C1745" s="2" t="s">
        <v>594</v>
      </c>
      <c r="D1745" s="2" t="str">
        <f t="shared" si="26"/>
        <v>Error?</v>
      </c>
    </row>
    <row r="1746" spans="1:5" x14ac:dyDescent="0.2">
      <c r="A1746" s="5">
        <v>1685</v>
      </c>
      <c r="B1746" s="138">
        <f>'Tax Sched 23'!B6</f>
        <v>1403565</v>
      </c>
      <c r="C1746" s="2" t="s">
        <v>594</v>
      </c>
      <c r="D1746" s="2" t="str">
        <f t="shared" si="26"/>
        <v>Error?</v>
      </c>
    </row>
    <row r="1747" spans="1:5" x14ac:dyDescent="0.2">
      <c r="A1747" s="5">
        <v>1686</v>
      </c>
      <c r="B1747" s="138">
        <f>'Tax Sched 23'!B7</f>
        <v>1616065</v>
      </c>
      <c r="C1747" s="2" t="s">
        <v>594</v>
      </c>
      <c r="D1747" s="2" t="str">
        <f t="shared" si="26"/>
        <v>Error?</v>
      </c>
    </row>
    <row r="1748" spans="1:5" x14ac:dyDescent="0.2">
      <c r="A1748" s="5">
        <v>1687</v>
      </c>
      <c r="B1748" s="138">
        <f>'Tax Sched 23'!B8</f>
        <v>334696</v>
      </c>
      <c r="C1748" s="2" t="s">
        <v>594</v>
      </c>
      <c r="D1748" s="2" t="str">
        <f t="shared" si="26"/>
        <v>Error?</v>
      </c>
    </row>
    <row r="1749" spans="1:5" x14ac:dyDescent="0.2">
      <c r="A1749" s="5">
        <v>1688</v>
      </c>
      <c r="B1749" s="138">
        <f>'Tax Sched 23'!B10</f>
        <v>136350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186316</v>
      </c>
      <c r="C1752" s="2" t="s">
        <v>594</v>
      </c>
      <c r="D1752" s="2" t="str">
        <f t="shared" si="26"/>
        <v>Error?</v>
      </c>
    </row>
    <row r="1753" spans="1:5" x14ac:dyDescent="0.2">
      <c r="A1753" s="5">
        <v>1692</v>
      </c>
      <c r="B1753" s="138">
        <f>'Tax Sched 23'!B12</f>
        <v>151465</v>
      </c>
      <c r="C1753" s="2" t="s">
        <v>594</v>
      </c>
      <c r="D1753" s="2" t="str">
        <f t="shared" si="26"/>
        <v>Error?</v>
      </c>
    </row>
    <row r="1754" spans="1:5" x14ac:dyDescent="0.2">
      <c r="A1754" s="5">
        <v>1693</v>
      </c>
      <c r="B1754" s="138">
        <f>'Tax Sched 23'!B14</f>
        <v>1091090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16490832</v>
      </c>
      <c r="C1759" s="2" t="s">
        <v>594</v>
      </c>
      <c r="D1759" s="2" t="str">
        <f t="shared" si="26"/>
        <v>Error?</v>
      </c>
    </row>
    <row r="1760" spans="1:5" x14ac:dyDescent="0.2">
      <c r="A1760" s="5">
        <v>1699</v>
      </c>
      <c r="B1760" s="138">
        <f>'Tax Sched 23'!D4</f>
        <v>4120950</v>
      </c>
      <c r="C1760" s="2" t="s">
        <v>594</v>
      </c>
      <c r="D1760" s="2" t="str">
        <f t="shared" si="26"/>
        <v>Error?</v>
      </c>
    </row>
    <row r="1761" spans="1:5" x14ac:dyDescent="0.2">
      <c r="A1761" s="5">
        <v>1700</v>
      </c>
      <c r="B1761" s="138">
        <f>'Tax Sched 23'!D5</f>
        <v>647534</v>
      </c>
      <c r="C1761" s="2" t="s">
        <v>594</v>
      </c>
      <c r="D1761" s="2" t="str">
        <f t="shared" si="26"/>
        <v>Error?</v>
      </c>
    </row>
    <row r="1762" spans="1:5" s="8" customFormat="1" x14ac:dyDescent="0.2">
      <c r="A1762" s="5">
        <v>1701</v>
      </c>
      <c r="B1762" s="138">
        <f>'Tax Sched 23'!D6</f>
        <v>643377</v>
      </c>
      <c r="C1762" s="2" t="s">
        <v>594</v>
      </c>
      <c r="D1762" s="2" t="str">
        <f t="shared" si="26"/>
        <v>Error?</v>
      </c>
      <c r="E1762" s="9"/>
    </row>
    <row r="1763" spans="1:5" x14ac:dyDescent="0.2">
      <c r="A1763" s="5">
        <v>1702</v>
      </c>
      <c r="B1763" s="138">
        <f>'Tax Sched 23'!D7</f>
        <v>1256204</v>
      </c>
      <c r="C1763" s="2" t="s">
        <v>594</v>
      </c>
      <c r="D1763" s="2" t="str">
        <f t="shared" si="26"/>
        <v>Error?</v>
      </c>
    </row>
    <row r="1764" spans="1:5" x14ac:dyDescent="0.2">
      <c r="A1764" s="5">
        <v>1703</v>
      </c>
      <c r="B1764" s="138">
        <f>'Tax Sched 23'!D8</f>
        <v>189728</v>
      </c>
      <c r="C1764" s="2" t="s">
        <v>594</v>
      </c>
      <c r="D1764" s="2" t="str">
        <f t="shared" si="26"/>
        <v>Error?</v>
      </c>
    </row>
    <row r="1765" spans="1:5" x14ac:dyDescent="0.2">
      <c r="A1765" s="5">
        <v>1704</v>
      </c>
      <c r="B1765" s="138">
        <f>'Tax Sched 23'!D10</f>
        <v>58827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80885</v>
      </c>
      <c r="C1768" s="2" t="s">
        <v>594</v>
      </c>
      <c r="D1768" s="2" t="str">
        <f t="shared" si="26"/>
        <v>Error?</v>
      </c>
    </row>
    <row r="1769" spans="1:5" x14ac:dyDescent="0.2">
      <c r="A1769" s="5">
        <v>1708</v>
      </c>
      <c r="B1769" s="138">
        <f>'Tax Sched 23'!D12</f>
        <v>-3580</v>
      </c>
      <c r="C1769" s="2" t="s">
        <v>594</v>
      </c>
      <c r="D1769" s="2" t="str">
        <f t="shared" si="26"/>
        <v>Error?</v>
      </c>
    </row>
    <row r="1770" spans="1:5" x14ac:dyDescent="0.2">
      <c r="A1770" s="5">
        <v>1709</v>
      </c>
      <c r="B1770" s="138">
        <f>'Tax Sched 23'!D14</f>
        <v>470908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7694326</v>
      </c>
      <c r="C1775" s="2" t="s">
        <v>594</v>
      </c>
      <c r="D1775" s="2" t="str">
        <f t="shared" si="26"/>
        <v>Error?</v>
      </c>
    </row>
    <row r="1776" spans="1:5" x14ac:dyDescent="0.2">
      <c r="A1776" s="5">
        <v>1715</v>
      </c>
      <c r="B1776" s="138">
        <f>'Tax Sched 23'!C4</f>
        <v>5536054</v>
      </c>
      <c r="D1776" s="2" t="str">
        <f t="shared" si="26"/>
        <v>Error?</v>
      </c>
    </row>
    <row r="1777" spans="1:4" x14ac:dyDescent="0.2">
      <c r="A1777" s="5">
        <v>1716</v>
      </c>
      <c r="B1777" s="138">
        <f>'Tax Sched 23'!C5</f>
        <v>852750</v>
      </c>
      <c r="D1777" s="2" t="str">
        <f t="shared" si="26"/>
        <v>Error?</v>
      </c>
    </row>
    <row r="1778" spans="1:4" x14ac:dyDescent="0.2">
      <c r="A1778" s="5">
        <v>1717</v>
      </c>
      <c r="B1778" s="138">
        <f>'Tax Sched 23'!C6</f>
        <v>760188</v>
      </c>
      <c r="D1778" s="2" t="str">
        <f t="shared" si="26"/>
        <v>Error?</v>
      </c>
    </row>
    <row r="1779" spans="1:4" x14ac:dyDescent="0.2">
      <c r="A1779" s="5">
        <v>1718</v>
      </c>
      <c r="B1779" s="138">
        <f>'Tax Sched 23'!C7</f>
        <v>359861</v>
      </c>
      <c r="D1779" s="2" t="str">
        <f t="shared" si="26"/>
        <v>Error?</v>
      </c>
    </row>
    <row r="1780" spans="1:4" x14ac:dyDescent="0.2">
      <c r="A1780" s="5">
        <v>1719</v>
      </c>
      <c r="B1780" s="138">
        <f>'Tax Sched 23'!C8</f>
        <v>144968</v>
      </c>
      <c r="D1780" s="2" t="str">
        <f t="shared" si="26"/>
        <v>Error?</v>
      </c>
    </row>
    <row r="1781" spans="1:4" x14ac:dyDescent="0.2">
      <c r="A1781" s="5">
        <v>1720</v>
      </c>
      <c r="B1781" s="138">
        <f>'Tax Sched 23'!C10</f>
        <v>77523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105431</v>
      </c>
      <c r="D1784" s="2" t="str">
        <f t="shared" si="26"/>
        <v>Error?</v>
      </c>
    </row>
    <row r="1785" spans="1:4" x14ac:dyDescent="0.2">
      <c r="A1785" s="5">
        <v>1724</v>
      </c>
      <c r="B1785" s="138">
        <f>'Tax Sched 23'!C12</f>
        <v>155045</v>
      </c>
      <c r="D1785" s="2" t="str">
        <f t="shared" si="26"/>
        <v>Error?</v>
      </c>
    </row>
    <row r="1786" spans="1:4" x14ac:dyDescent="0.2">
      <c r="A1786" s="5">
        <v>1725</v>
      </c>
      <c r="B1786" s="138">
        <f>'Tax Sched 23'!C14</f>
        <v>620182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8796506</v>
      </c>
      <c r="C1791" s="2" t="s">
        <v>594</v>
      </c>
      <c r="D1791" s="2" t="str">
        <f t="shared" ref="D1791:D1854" si="27">IF(ISBLANK(B1791),"OK",IF(A1791-B1791=0,"OK","Error?"))</f>
        <v>Error?</v>
      </c>
    </row>
    <row r="1792" spans="1:4" x14ac:dyDescent="0.2">
      <c r="A1792" s="5">
        <v>1731</v>
      </c>
      <c r="B1792" s="138">
        <f>'Tax Sched 23'!F4</f>
        <v>5278961</v>
      </c>
      <c r="C1792" s="2" t="s">
        <v>594</v>
      </c>
      <c r="D1792" s="2" t="str">
        <f t="shared" si="27"/>
        <v>Error?</v>
      </c>
    </row>
    <row r="1793" spans="1:4" x14ac:dyDescent="0.2">
      <c r="A1793" s="5">
        <v>1732</v>
      </c>
      <c r="B1793" s="138">
        <f>'Tax Sched 23'!F5</f>
        <v>813158</v>
      </c>
      <c r="C1793" s="2" t="s">
        <v>594</v>
      </c>
      <c r="D1793" s="2" t="str">
        <f t="shared" si="27"/>
        <v>Error?</v>
      </c>
    </row>
    <row r="1794" spans="1:4" x14ac:dyDescent="0.2">
      <c r="A1794" s="5">
        <v>1733</v>
      </c>
      <c r="B1794" s="138">
        <f>'Tax Sched 23'!F6</f>
        <v>724893</v>
      </c>
      <c r="C1794" s="2" t="s">
        <v>594</v>
      </c>
      <c r="D1794" s="2" t="str">
        <f t="shared" si="27"/>
        <v>Error?</v>
      </c>
    </row>
    <row r="1795" spans="1:4" x14ac:dyDescent="0.2">
      <c r="A1795" s="5">
        <v>1734</v>
      </c>
      <c r="B1795" s="138">
        <f>'Tax Sched 23'!F7</f>
        <v>343152</v>
      </c>
      <c r="C1795" s="2" t="s">
        <v>594</v>
      </c>
      <c r="D1795" s="2" t="str">
        <f t="shared" si="27"/>
        <v>Error?</v>
      </c>
    </row>
    <row r="1796" spans="1:4" x14ac:dyDescent="0.2">
      <c r="A1796" s="5">
        <v>1735</v>
      </c>
      <c r="B1796" s="138">
        <f>'Tax Sched 23'!F8</f>
        <v>138236</v>
      </c>
      <c r="C1796" s="2" t="s">
        <v>594</v>
      </c>
      <c r="D1796" s="2" t="str">
        <f t="shared" si="27"/>
        <v>Error?</v>
      </c>
    </row>
    <row r="1797" spans="1:4" x14ac:dyDescent="0.2">
      <c r="A1797" s="5">
        <v>1736</v>
      </c>
      <c r="B1797" s="138">
        <f>'Tax Sched 23'!F10</f>
        <v>73923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100536</v>
      </c>
      <c r="C1800" s="2" t="s">
        <v>594</v>
      </c>
      <c r="D1800" s="2" t="str">
        <f t="shared" si="27"/>
        <v>Error?</v>
      </c>
    </row>
    <row r="1801" spans="1:4" x14ac:dyDescent="0.2">
      <c r="A1801" s="5">
        <v>1740</v>
      </c>
      <c r="B1801" s="138">
        <f>'Tax Sched 23'!F12</f>
        <v>147847</v>
      </c>
      <c r="C1801" s="2" t="s">
        <v>594</v>
      </c>
      <c r="D1801" s="2" t="str">
        <f t="shared" si="27"/>
        <v>Error?</v>
      </c>
    </row>
    <row r="1802" spans="1:4" x14ac:dyDescent="0.2">
      <c r="A1802" s="5">
        <v>1741</v>
      </c>
      <c r="B1802" s="138">
        <f>'Tax Sched 23'!F14</f>
        <v>591387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8388031</v>
      </c>
      <c r="C1807" s="2" t="s">
        <v>594</v>
      </c>
      <c r="D1807" s="2" t="str">
        <f t="shared" si="27"/>
        <v>Error?</v>
      </c>
    </row>
    <row r="1808" spans="1:4" x14ac:dyDescent="0.2">
      <c r="A1808" s="5">
        <v>1747</v>
      </c>
      <c r="B1808" s="138">
        <f>'Tax Sched 23'!E4</f>
        <v>10815015</v>
      </c>
      <c r="D1808" s="2" t="str">
        <f t="shared" si="27"/>
        <v>Error?</v>
      </c>
    </row>
    <row r="1809" spans="1:4" x14ac:dyDescent="0.2">
      <c r="A1809" s="5">
        <v>1748</v>
      </c>
      <c r="B1809" s="138">
        <f>'Tax Sched 23'!E5</f>
        <v>1665908</v>
      </c>
      <c r="D1809" s="2" t="str">
        <f t="shared" si="27"/>
        <v>Error?</v>
      </c>
    </row>
    <row r="1810" spans="1:4" x14ac:dyDescent="0.2">
      <c r="A1810" s="5">
        <v>1749</v>
      </c>
      <c r="B1810" s="138">
        <f>'Tax Sched 23'!E6</f>
        <v>1485081</v>
      </c>
      <c r="D1810" s="2" t="str">
        <f t="shared" si="27"/>
        <v>Error?</v>
      </c>
    </row>
    <row r="1811" spans="1:4" x14ac:dyDescent="0.2">
      <c r="A1811" s="5">
        <v>1750</v>
      </c>
      <c r="B1811" s="138">
        <f>'Tax Sched 23'!E7</f>
        <v>703013</v>
      </c>
      <c r="D1811" s="2" t="str">
        <f t="shared" si="27"/>
        <v>Error?</v>
      </c>
    </row>
    <row r="1812" spans="1:4" x14ac:dyDescent="0.2">
      <c r="A1812" s="5">
        <v>1751</v>
      </c>
      <c r="B1812" s="138">
        <f>'Tax Sched 23'!E8</f>
        <v>283204</v>
      </c>
      <c r="D1812" s="2" t="str">
        <f t="shared" si="27"/>
        <v>Error?</v>
      </c>
    </row>
    <row r="1813" spans="1:4" x14ac:dyDescent="0.2">
      <c r="A1813" s="5">
        <v>1752</v>
      </c>
      <c r="B1813" s="138">
        <f>'Tax Sched 23'!E10</f>
        <v>151446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205967</v>
      </c>
      <c r="D1816" s="2" t="str">
        <f t="shared" si="27"/>
        <v>Error?</v>
      </c>
    </row>
    <row r="1817" spans="1:4" x14ac:dyDescent="0.2">
      <c r="A1817" s="5">
        <v>1756</v>
      </c>
      <c r="B1817" s="138">
        <f>'Tax Sched 23'!E12</f>
        <v>302892</v>
      </c>
      <c r="D1817" s="2" t="str">
        <f t="shared" si="27"/>
        <v>Error?</v>
      </c>
    </row>
    <row r="1818" spans="1:4" x14ac:dyDescent="0.2">
      <c r="A1818" s="5">
        <v>1757</v>
      </c>
      <c r="B1818" s="138">
        <f>'Tax Sched 23'!E14</f>
        <v>1211569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17184537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1091090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1091090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1091090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369846</v>
      </c>
      <c r="D2008" s="2" t="str">
        <f t="shared" si="30"/>
        <v>Error?</v>
      </c>
    </row>
    <row r="2009" spans="1:4" x14ac:dyDescent="0.2">
      <c r="A2009" s="5">
        <v>1948</v>
      </c>
      <c r="B2009" s="138">
        <f>'Cap Outlay Deprec 26'!C8</f>
        <v>22424131</v>
      </c>
      <c r="D2009" s="2" t="str">
        <f t="shared" si="30"/>
        <v>Error?</v>
      </c>
    </row>
    <row r="2010" spans="1:4" x14ac:dyDescent="0.2">
      <c r="A2010" s="5">
        <v>1949</v>
      </c>
      <c r="B2010" s="138">
        <f>'Cap Outlay Deprec 26'!C10</f>
        <v>2287195</v>
      </c>
      <c r="D2010" s="2" t="str">
        <f t="shared" si="30"/>
        <v>Error?</v>
      </c>
    </row>
    <row r="2011" spans="1:4" x14ac:dyDescent="0.2">
      <c r="A2011" s="5">
        <v>1950</v>
      </c>
      <c r="B2011" s="138">
        <f>'Cap Outlay Deprec 26'!C12</f>
        <v>2293554</v>
      </c>
      <c r="D2011" s="2" t="str">
        <f t="shared" si="30"/>
        <v>Error?</v>
      </c>
    </row>
    <row r="2012" spans="1:4" x14ac:dyDescent="0.2">
      <c r="A2012" s="5">
        <v>1951</v>
      </c>
      <c r="B2012" s="138">
        <f>'Cap Outlay Deprec 26'!C13</f>
        <v>200606</v>
      </c>
      <c r="D2012" s="2" t="str">
        <f t="shared" si="30"/>
        <v>Error?</v>
      </c>
    </row>
    <row r="2013" spans="1:4" x14ac:dyDescent="0.2">
      <c r="A2013" s="5">
        <v>1952</v>
      </c>
      <c r="B2013" s="138">
        <f>'Cap Outlay Deprec 26'!C16</f>
        <v>32125230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8011235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19783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8031018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277930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4827828</v>
      </c>
      <c r="C2025" s="2" t="s">
        <v>594</v>
      </c>
      <c r="D2025" s="2" t="str">
        <f t="shared" si="30"/>
        <v>Error?</v>
      </c>
    </row>
    <row r="2026" spans="1:4" x14ac:dyDescent="0.2">
      <c r="A2026" s="5">
        <v>1965</v>
      </c>
      <c r="B2026" s="138">
        <f>'Cap Outlay Deprec 26'!F5</f>
        <v>369846</v>
      </c>
      <c r="C2026" s="2" t="s">
        <v>594</v>
      </c>
      <c r="D2026" s="2" t="str">
        <f t="shared" si="30"/>
        <v>Error?</v>
      </c>
    </row>
    <row r="2027" spans="1:4" x14ac:dyDescent="0.2">
      <c r="A2027" s="5">
        <v>1966</v>
      </c>
      <c r="B2027" s="138">
        <f>'Cap Outlay Deprec 26'!F8</f>
        <v>30435366</v>
      </c>
      <c r="C2027" s="2" t="s">
        <v>594</v>
      </c>
      <c r="D2027" s="2" t="str">
        <f t="shared" si="30"/>
        <v>Error?</v>
      </c>
    </row>
    <row r="2028" spans="1:4" x14ac:dyDescent="0.2">
      <c r="A2028" s="5">
        <v>1967</v>
      </c>
      <c r="B2028" s="138">
        <f>'Cap Outlay Deprec 26'!F10</f>
        <v>2287195</v>
      </c>
      <c r="C2028" s="2" t="s">
        <v>594</v>
      </c>
      <c r="D2028" s="2" t="str">
        <f t="shared" si="30"/>
        <v>Error?</v>
      </c>
    </row>
    <row r="2029" spans="1:4" x14ac:dyDescent="0.2">
      <c r="A2029" s="5">
        <v>1968</v>
      </c>
      <c r="B2029" s="138">
        <f>'Cap Outlay Deprec 26'!F12</f>
        <v>2035407</v>
      </c>
      <c r="C2029" s="2" t="s">
        <v>594</v>
      </c>
      <c r="D2029" s="2" t="str">
        <f t="shared" si="30"/>
        <v>Error?</v>
      </c>
    </row>
    <row r="2030" spans="1:4" x14ac:dyDescent="0.2">
      <c r="A2030" s="5">
        <v>1969</v>
      </c>
      <c r="B2030" s="138">
        <f>'Cap Outlay Deprec 26'!F13</f>
        <v>200606</v>
      </c>
      <c r="C2030" s="2" t="s">
        <v>594</v>
      </c>
      <c r="D2030" s="2" t="str">
        <f t="shared" si="30"/>
        <v>Error?</v>
      </c>
    </row>
    <row r="2031" spans="1:4" x14ac:dyDescent="0.2">
      <c r="A2031" s="5">
        <v>1970</v>
      </c>
      <c r="B2031" s="138">
        <f>'Cap Outlay Deprec 26'!F16</f>
        <v>35328420</v>
      </c>
      <c r="C2031" s="2" t="s">
        <v>594</v>
      </c>
      <c r="D2031" s="2" t="str">
        <f t="shared" si="30"/>
        <v>Error?</v>
      </c>
    </row>
    <row r="2032" spans="1:4" x14ac:dyDescent="0.2">
      <c r="A2032" s="10">
        <v>1971</v>
      </c>
      <c r="D2032" s="2" t="str">
        <f t="shared" si="30"/>
        <v>OK</v>
      </c>
    </row>
    <row r="2033" spans="1:4" x14ac:dyDescent="0.2">
      <c r="A2033" s="5">
        <v>1972</v>
      </c>
      <c r="B2033" s="138">
        <f>'Cap Outlay Deprec 26'!H8</f>
        <v>12161865</v>
      </c>
      <c r="D2033" s="2" t="str">
        <f t="shared" si="30"/>
        <v>Error?</v>
      </c>
    </row>
    <row r="2034" spans="1:4" x14ac:dyDescent="0.2">
      <c r="A2034" s="5">
        <v>1973</v>
      </c>
      <c r="B2034" s="138">
        <f>'Cap Outlay Deprec 26'!H10</f>
        <v>171586</v>
      </c>
      <c r="D2034" s="2" t="str">
        <f t="shared" si="30"/>
        <v>Error?</v>
      </c>
    </row>
    <row r="2035" spans="1:4" x14ac:dyDescent="0.2">
      <c r="A2035" s="5">
        <v>1974</v>
      </c>
      <c r="B2035" s="138">
        <f>'Cap Outlay Deprec 26'!H12</f>
        <v>1212696</v>
      </c>
      <c r="D2035" s="2" t="str">
        <f t="shared" si="30"/>
        <v>Error?</v>
      </c>
    </row>
    <row r="2036" spans="1:4" x14ac:dyDescent="0.2">
      <c r="A2036" s="5">
        <v>1975</v>
      </c>
      <c r="B2036" s="138">
        <f>'Cap Outlay Deprec 26'!H13</f>
        <v>130567</v>
      </c>
      <c r="D2036" s="2" t="str">
        <f t="shared" si="30"/>
        <v>Error?</v>
      </c>
    </row>
    <row r="2037" spans="1:4" x14ac:dyDescent="0.2">
      <c r="A2037" s="5">
        <v>1976</v>
      </c>
      <c r="B2037" s="138">
        <f>'Cap Outlay Deprec 26'!H16</f>
        <v>13676714</v>
      </c>
      <c r="C2037" s="2" t="s">
        <v>594</v>
      </c>
      <c r="D2037" s="2" t="str">
        <f t="shared" si="30"/>
        <v>Error?</v>
      </c>
    </row>
    <row r="2038" spans="1:4" x14ac:dyDescent="0.2">
      <c r="A2038" s="10">
        <v>1977</v>
      </c>
      <c r="D2038" s="2" t="str">
        <f t="shared" si="30"/>
        <v>OK</v>
      </c>
    </row>
    <row r="2039" spans="1:4" x14ac:dyDescent="0.2">
      <c r="A2039" s="5">
        <v>1978</v>
      </c>
      <c r="B2039" s="138">
        <f>'Cap Outlay Deprec 26'!I8</f>
        <v>857119</v>
      </c>
      <c r="D2039" s="2" t="str">
        <f t="shared" si="30"/>
        <v>Error?</v>
      </c>
    </row>
    <row r="2040" spans="1:4" x14ac:dyDescent="0.2">
      <c r="A2040" s="5">
        <v>1979</v>
      </c>
      <c r="B2040" s="138">
        <f>'Cap Outlay Deprec 26'!I10</f>
        <v>111997</v>
      </c>
      <c r="D2040" s="2" t="str">
        <f t="shared" si="30"/>
        <v>Error?</v>
      </c>
    </row>
    <row r="2041" spans="1:4" x14ac:dyDescent="0.2">
      <c r="A2041" s="5">
        <v>1980</v>
      </c>
      <c r="B2041" s="138">
        <f>'Cap Outlay Deprec 26'!I12</f>
        <v>136562</v>
      </c>
      <c r="D2041" s="2" t="str">
        <f t="shared" si="30"/>
        <v>Error?</v>
      </c>
    </row>
    <row r="2042" spans="1:4" x14ac:dyDescent="0.2">
      <c r="A2042" s="5">
        <v>1981</v>
      </c>
      <c r="B2042" s="138">
        <f>'Cap Outlay Deprec 26'!I13</f>
        <v>15127</v>
      </c>
      <c r="D2042" s="2" t="str">
        <f t="shared" si="30"/>
        <v>Error?</v>
      </c>
    </row>
    <row r="2043" spans="1:4" x14ac:dyDescent="0.2">
      <c r="A2043" s="5">
        <v>1982</v>
      </c>
      <c r="B2043" s="138">
        <f>'Cap Outlay Deprec 26'!I16</f>
        <v>1120805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276663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276663</v>
      </c>
      <c r="C2049" s="2" t="s">
        <v>594</v>
      </c>
      <c r="D2049" s="2" t="str">
        <f t="shared" si="31"/>
        <v>Error?</v>
      </c>
    </row>
    <row r="2050" spans="1:4" x14ac:dyDescent="0.2">
      <c r="A2050" s="10">
        <v>1989</v>
      </c>
      <c r="D2050" s="2" t="str">
        <f t="shared" si="31"/>
        <v>OK</v>
      </c>
    </row>
    <row r="2051" spans="1:4" x14ac:dyDescent="0.2">
      <c r="A2051" s="5">
        <v>1990</v>
      </c>
      <c r="B2051" s="138">
        <f>'Cap Outlay Deprec 26'!K8</f>
        <v>13018984</v>
      </c>
      <c r="C2051" s="2" t="s">
        <v>594</v>
      </c>
      <c r="D2051" s="2" t="str">
        <f t="shared" si="31"/>
        <v>Error?</v>
      </c>
    </row>
    <row r="2052" spans="1:4" x14ac:dyDescent="0.2">
      <c r="A2052" s="5">
        <v>1991</v>
      </c>
      <c r="B2052" s="138">
        <f>'Cap Outlay Deprec 26'!K10</f>
        <v>283583</v>
      </c>
      <c r="C2052" s="2" t="s">
        <v>594</v>
      </c>
      <c r="D2052" s="2" t="str">
        <f t="shared" si="31"/>
        <v>Error?</v>
      </c>
    </row>
    <row r="2053" spans="1:4" x14ac:dyDescent="0.2">
      <c r="A2053" s="5">
        <v>1992</v>
      </c>
      <c r="B2053" s="138">
        <f>'Cap Outlay Deprec 26'!K12</f>
        <v>1072595</v>
      </c>
      <c r="C2053" s="2" t="s">
        <v>594</v>
      </c>
      <c r="D2053" s="2" t="str">
        <f t="shared" si="31"/>
        <v>Error?</v>
      </c>
    </row>
    <row r="2054" spans="1:4" x14ac:dyDescent="0.2">
      <c r="A2054" s="5">
        <v>1993</v>
      </c>
      <c r="B2054" s="138">
        <f>'Cap Outlay Deprec 26'!K13</f>
        <v>145694</v>
      </c>
      <c r="C2054" s="2" t="s">
        <v>594</v>
      </c>
      <c r="D2054" s="2" t="str">
        <f t="shared" si="31"/>
        <v>Error?</v>
      </c>
    </row>
    <row r="2055" spans="1:4" x14ac:dyDescent="0.2">
      <c r="A2055" s="5">
        <v>1994</v>
      </c>
      <c r="B2055" s="138">
        <f>'Cap Outlay Deprec 26'!K16</f>
        <v>14520856</v>
      </c>
      <c r="C2055" s="2" t="s">
        <v>594</v>
      </c>
      <c r="D2055" s="2" t="str">
        <f t="shared" si="31"/>
        <v>Error?</v>
      </c>
    </row>
    <row r="2056" spans="1:4" x14ac:dyDescent="0.2">
      <c r="A2056" s="5">
        <v>1995</v>
      </c>
      <c r="B2056" s="138">
        <f>'Cap Outlay Deprec 26'!L5</f>
        <v>369846</v>
      </c>
      <c r="C2056" s="2" t="s">
        <v>594</v>
      </c>
      <c r="D2056" s="2" t="str">
        <f t="shared" si="31"/>
        <v>Error?</v>
      </c>
    </row>
    <row r="2057" spans="1:4" x14ac:dyDescent="0.2">
      <c r="A2057" s="5">
        <v>1996</v>
      </c>
      <c r="B2057" s="138">
        <f>'Cap Outlay Deprec 26'!L8</f>
        <v>17416382</v>
      </c>
      <c r="C2057" s="2" t="s">
        <v>594</v>
      </c>
      <c r="D2057" s="2" t="str">
        <f t="shared" si="31"/>
        <v>Error?</v>
      </c>
    </row>
    <row r="2058" spans="1:4" x14ac:dyDescent="0.2">
      <c r="A2058" s="5">
        <v>1997</v>
      </c>
      <c r="B2058" s="138">
        <f>'Cap Outlay Deprec 26'!L10</f>
        <v>2003612</v>
      </c>
      <c r="C2058" s="2" t="s">
        <v>594</v>
      </c>
      <c r="D2058" s="2" t="str">
        <f t="shared" si="31"/>
        <v>Error?</v>
      </c>
    </row>
    <row r="2059" spans="1:4" x14ac:dyDescent="0.2">
      <c r="A2059" s="5">
        <v>1998</v>
      </c>
      <c r="B2059" s="138">
        <f>'Cap Outlay Deprec 26'!L12</f>
        <v>962812</v>
      </c>
      <c r="C2059" s="2" t="s">
        <v>594</v>
      </c>
      <c r="D2059" s="2" t="str">
        <f t="shared" si="31"/>
        <v>Error?</v>
      </c>
    </row>
    <row r="2060" spans="1:4" x14ac:dyDescent="0.2">
      <c r="A2060" s="5">
        <v>1999</v>
      </c>
      <c r="B2060" s="138">
        <f>'Cap Outlay Deprec 26'!L13</f>
        <v>54912</v>
      </c>
      <c r="C2060" s="2" t="s">
        <v>594</v>
      </c>
      <c r="D2060" s="2" t="str">
        <f t="shared" si="31"/>
        <v>Error?</v>
      </c>
    </row>
    <row r="2061" spans="1:4" x14ac:dyDescent="0.2">
      <c r="A2061" s="5">
        <v>2000</v>
      </c>
      <c r="B2061" s="138">
        <f>'Cap Outlay Deprec 26'!L16</f>
        <v>20807564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292077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528450</v>
      </c>
      <c r="C2088" s="2" t="s">
        <v>594</v>
      </c>
      <c r="D2088" s="2" t="str">
        <f t="shared" si="31"/>
        <v>Error?</v>
      </c>
    </row>
    <row r="2089" spans="1:4" x14ac:dyDescent="0.2">
      <c r="A2089" s="5">
        <v>2028</v>
      </c>
      <c r="B2089" s="138">
        <f>'Expenditures 15-22'!K92</f>
        <v>464782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28712</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908749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11961465</v>
      </c>
      <c r="C2551" s="2" t="s">
        <v>594</v>
      </c>
      <c r="D2551" s="2" t="str">
        <f t="shared" si="38"/>
        <v>Error?</v>
      </c>
    </row>
    <row r="2552" spans="1:4" x14ac:dyDescent="0.2">
      <c r="A2552" s="10">
        <v>2491</v>
      </c>
      <c r="D2552" s="2" t="str">
        <f t="shared" si="38"/>
        <v>OK</v>
      </c>
    </row>
    <row r="2553" spans="1:4" x14ac:dyDescent="0.2">
      <c r="A2553" s="5">
        <v>2492</v>
      </c>
      <c r="B2553" s="138">
        <f>'Acct Summary 7-8'!C6</f>
        <v>1371900</v>
      </c>
      <c r="C2553" s="2" t="s">
        <v>594</v>
      </c>
      <c r="D2553" s="2" t="str">
        <f t="shared" si="38"/>
        <v>Error?</v>
      </c>
    </row>
    <row r="2554" spans="1:4" x14ac:dyDescent="0.2">
      <c r="A2554" s="5">
        <v>2493</v>
      </c>
      <c r="B2554" s="138">
        <f>'Acct Summary 7-8'!C7</f>
        <v>429049</v>
      </c>
      <c r="C2554" s="2" t="s">
        <v>594</v>
      </c>
      <c r="D2554" s="2" t="str">
        <f t="shared" si="38"/>
        <v>Error?</v>
      </c>
    </row>
    <row r="2555" spans="1:4" x14ac:dyDescent="0.2">
      <c r="A2555" s="5">
        <v>2494</v>
      </c>
      <c r="B2555" s="138">
        <f>'Acct Summary 7-8'!C8</f>
        <v>13762414</v>
      </c>
      <c r="C2555" s="2" t="s">
        <v>594</v>
      </c>
      <c r="D2555" s="2" t="str">
        <f t="shared" si="38"/>
        <v>Error?</v>
      </c>
    </row>
    <row r="2556" spans="1:4" x14ac:dyDescent="0.2">
      <c r="A2556" s="5">
        <v>2495</v>
      </c>
      <c r="B2556" s="138">
        <f>'Acct Summary 7-8'!C12</f>
        <v>8355368</v>
      </c>
      <c r="C2556" s="2" t="s">
        <v>594</v>
      </c>
      <c r="D2556" s="2" t="str">
        <f t="shared" si="38"/>
        <v>Error?</v>
      </c>
    </row>
    <row r="2557" spans="1:4" x14ac:dyDescent="0.2">
      <c r="A2557" s="5">
        <v>2496</v>
      </c>
      <c r="B2557" s="138">
        <f>'Acct Summary 7-8'!C13</f>
        <v>5097849</v>
      </c>
      <c r="C2557" s="2" t="s">
        <v>594</v>
      </c>
      <c r="D2557" s="2" t="str">
        <f t="shared" si="38"/>
        <v>Error?</v>
      </c>
    </row>
    <row r="2558" spans="1:4" x14ac:dyDescent="0.2">
      <c r="A2558" s="5">
        <v>2497</v>
      </c>
      <c r="B2558" s="138">
        <f>'Acct Summary 7-8'!C14</f>
        <v>806500</v>
      </c>
      <c r="C2558" s="2" t="s">
        <v>594</v>
      </c>
      <c r="D2558" s="2" t="str">
        <f t="shared" si="38"/>
        <v>Error?</v>
      </c>
    </row>
    <row r="2559" spans="1:4" x14ac:dyDescent="0.2">
      <c r="A2559" s="5">
        <v>2498</v>
      </c>
      <c r="B2559" s="138">
        <f>'Acct Summary 7-8'!C15</f>
        <v>993232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15252949</v>
      </c>
      <c r="C2561" s="2" t="s">
        <v>594</v>
      </c>
      <c r="D2561" s="2" t="str">
        <f t="shared" si="39"/>
        <v>Error?</v>
      </c>
    </row>
    <row r="2562" spans="1:4" x14ac:dyDescent="0.2">
      <c r="A2562" s="5">
        <v>2501</v>
      </c>
      <c r="B2562" s="138">
        <f>'Acct Summary 7-8'!C20</f>
        <v>-1490535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1683353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7409</v>
      </c>
      <c r="C2567" s="2" t="s">
        <v>594</v>
      </c>
      <c r="D2567" s="2" t="str">
        <f t="shared" si="39"/>
        <v>Error?</v>
      </c>
    </row>
    <row r="2568" spans="1:4" x14ac:dyDescent="0.2">
      <c r="A2568" s="5">
        <v>2507</v>
      </c>
      <c r="B2568" s="138">
        <f>'Acct Summary 7-8'!D8</f>
        <v>1690762</v>
      </c>
      <c r="C2568" s="2" t="s">
        <v>594</v>
      </c>
      <c r="D2568" s="2" t="str">
        <f t="shared" si="39"/>
        <v>Error?</v>
      </c>
    </row>
    <row r="2569" spans="1:4" x14ac:dyDescent="0.2">
      <c r="A2569" s="5">
        <v>2508</v>
      </c>
      <c r="B2569" s="138">
        <f>'Acct Summary 7-8'!D13</f>
        <v>1125342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28712</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1154054</v>
      </c>
      <c r="C2573" s="2" t="s">
        <v>594</v>
      </c>
      <c r="D2573" s="2" t="str">
        <f t="shared" si="39"/>
        <v>Error?</v>
      </c>
    </row>
    <row r="2574" spans="1:4" x14ac:dyDescent="0.2">
      <c r="A2574" s="5">
        <v>2513</v>
      </c>
      <c r="B2574" s="138">
        <f>'Acct Summary 7-8'!D20</f>
        <v>536708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1681780</v>
      </c>
      <c r="C2591" s="2" t="s">
        <v>594</v>
      </c>
      <c r="D2591" s="2" t="str">
        <f t="shared" si="39"/>
        <v>Error?</v>
      </c>
    </row>
    <row r="2592" spans="1:4" x14ac:dyDescent="0.2">
      <c r="A2592" s="10">
        <v>2531</v>
      </c>
      <c r="D2592" s="2" t="str">
        <f t="shared" si="39"/>
        <v>OK</v>
      </c>
    </row>
    <row r="2593" spans="1:4" x14ac:dyDescent="0.2">
      <c r="A2593" s="5">
        <v>2532</v>
      </c>
      <c r="B2593" s="138">
        <f>'Acct Summary 7-8'!F6</f>
        <v>344485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2026265</v>
      </c>
      <c r="C2595" s="2" t="s">
        <v>594</v>
      </c>
      <c r="D2595" s="2" t="str">
        <f t="shared" si="39"/>
        <v>Error?</v>
      </c>
    </row>
    <row r="2596" spans="1:4" x14ac:dyDescent="0.2">
      <c r="A2596" s="5">
        <v>2535</v>
      </c>
      <c r="B2596" s="138">
        <f>'Acct Summary 7-8'!F13</f>
        <v>797827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797827</v>
      </c>
      <c r="C2600" s="2" t="s">
        <v>594</v>
      </c>
      <c r="D2600" s="2" t="str">
        <f t="shared" si="39"/>
        <v>Error?</v>
      </c>
    </row>
    <row r="2601" spans="1:4" x14ac:dyDescent="0.2">
      <c r="A2601" s="5">
        <v>2540</v>
      </c>
      <c r="B2601" s="138">
        <f>'Acct Summary 7-8'!F20</f>
        <v>1228438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678412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678412</v>
      </c>
      <c r="C2606" s="2" t="s">
        <v>594</v>
      </c>
      <c r="D2606" s="2" t="str">
        <f t="shared" si="39"/>
        <v>Error?</v>
      </c>
    </row>
    <row r="2607" spans="1:4" x14ac:dyDescent="0.2">
      <c r="A2607" s="5">
        <v>2546</v>
      </c>
      <c r="B2607" s="138">
        <f>'Acct Summary 7-8'!G12</f>
        <v>137119</v>
      </c>
      <c r="C2607" s="2" t="s">
        <v>594</v>
      </c>
      <c r="D2607" s="2" t="str">
        <f t="shared" si="39"/>
        <v>Error?</v>
      </c>
    </row>
    <row r="2608" spans="1:4" x14ac:dyDescent="0.2">
      <c r="A2608" s="5">
        <v>2547</v>
      </c>
      <c r="B2608" s="138">
        <f>'Acct Summary 7-8'!G13</f>
        <v>284268</v>
      </c>
      <c r="C2608" s="2" t="s">
        <v>594</v>
      </c>
      <c r="D2608" s="2" t="str">
        <f t="shared" si="39"/>
        <v>Error?</v>
      </c>
    </row>
    <row r="2609" spans="1:4" x14ac:dyDescent="0.2">
      <c r="A2609" s="5">
        <v>2548</v>
      </c>
      <c r="B2609" s="138">
        <f>'Acct Summary 7-8'!G14</f>
        <v>762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422149</v>
      </c>
      <c r="C2612" s="2" t="s">
        <v>594</v>
      </c>
      <c r="D2612" s="2" t="str">
        <f t="shared" si="39"/>
        <v>Error?</v>
      </c>
    </row>
    <row r="2613" spans="1:4" x14ac:dyDescent="0.2">
      <c r="A2613" s="5">
        <v>2552</v>
      </c>
      <c r="B2613" s="138">
        <f>'Acct Summary 7-8'!G20</f>
        <v>256263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1411134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1411134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1683313</v>
      </c>
      <c r="C2634" s="2" t="s">
        <v>594</v>
      </c>
      <c r="D2634" s="2" t="str">
        <f t="shared" si="40"/>
        <v>Error?</v>
      </c>
    </row>
    <row r="2635" spans="1:4" x14ac:dyDescent="0.2">
      <c r="A2635" s="5">
        <v>2574</v>
      </c>
      <c r="B2635" s="138">
        <f>'Acct Summary 7-8'!E17</f>
        <v>1683313</v>
      </c>
      <c r="C2635" s="2" t="s">
        <v>594</v>
      </c>
      <c r="D2635" s="2" t="str">
        <f t="shared" si="40"/>
        <v>Error?</v>
      </c>
    </row>
    <row r="2636" spans="1:4" x14ac:dyDescent="0.2">
      <c r="A2636" s="5">
        <v>2575</v>
      </c>
      <c r="B2636" s="138">
        <f>'Acct Summary 7-8'!E20</f>
        <v>-272179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40892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40892</v>
      </c>
      <c r="C2658" s="2" t="s">
        <v>594</v>
      </c>
      <c r="D2658" s="2" t="str">
        <f t="shared" si="40"/>
        <v>Error?</v>
      </c>
    </row>
    <row r="2659" spans="1:4" x14ac:dyDescent="0.2">
      <c r="A2659" s="5">
        <v>2598</v>
      </c>
      <c r="B2659" s="138">
        <f>'Acct Summary 7-8'!H13</f>
        <v>3870203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3870203</v>
      </c>
      <c r="C2661" s="2" t="s">
        <v>594</v>
      </c>
      <c r="D2661" s="2" t="str">
        <f t="shared" si="40"/>
        <v>Error?</v>
      </c>
    </row>
    <row r="2662" spans="1:4" x14ac:dyDescent="0.2">
      <c r="A2662" s="5">
        <v>2601</v>
      </c>
      <c r="B2662" s="138">
        <f>'Acct Summary 7-8'!H20</f>
        <v>-3829311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236373</v>
      </c>
      <c r="C2789" s="2" t="s">
        <v>594</v>
      </c>
      <c r="D2789" s="2" t="str">
        <f t="shared" si="42"/>
        <v>Error?</v>
      </c>
    </row>
    <row r="2790" spans="1:4" x14ac:dyDescent="0.2">
      <c r="A2790" s="5">
        <v>2729</v>
      </c>
      <c r="B2790" s="138">
        <f>'Expenditures 15-22'!E102</f>
        <v>236373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73923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5669358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108534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73923</v>
      </c>
      <c r="D2908" s="2" t="str">
        <f t="shared" si="44"/>
        <v>Error?</v>
      </c>
    </row>
    <row r="2909" spans="1:4" x14ac:dyDescent="0.2">
      <c r="A2909" s="10">
        <v>2848</v>
      </c>
      <c r="D2909" s="2" t="str">
        <f t="shared" si="44"/>
        <v>OK</v>
      </c>
    </row>
    <row r="2910" spans="1:4" x14ac:dyDescent="0.2">
      <c r="A2910" s="5">
        <v>2849</v>
      </c>
      <c r="B2910" s="138">
        <f>'Assets-Liab 5-6'!I34</f>
        <v>73923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5595435</v>
      </c>
      <c r="D2912" s="2" t="str">
        <f t="shared" si="44"/>
        <v>Error?</v>
      </c>
    </row>
    <row r="2913" spans="1:4" x14ac:dyDescent="0.2">
      <c r="A2913" s="5">
        <v>2852</v>
      </c>
      <c r="B2913" s="138">
        <f>'Assets-Liab 5-6'!I41</f>
        <v>5669358</v>
      </c>
      <c r="C2913" s="2" t="s">
        <v>594</v>
      </c>
      <c r="D2913" s="2" t="str">
        <f t="shared" si="44"/>
        <v>Error?</v>
      </c>
    </row>
    <row r="2914" spans="1:4" x14ac:dyDescent="0.2">
      <c r="A2914" s="5">
        <v>2853</v>
      </c>
      <c r="B2914" s="138">
        <f>'Assets-Liab 5-6'!L33</f>
        <v>108534</v>
      </c>
      <c r="D2914" s="2" t="str">
        <f t="shared" si="44"/>
        <v>Error?</v>
      </c>
    </row>
    <row r="2915" spans="1:4" x14ac:dyDescent="0.2">
      <c r="A2915" s="10">
        <v>2854</v>
      </c>
      <c r="D2915" s="2" t="str">
        <f t="shared" si="44"/>
        <v>OK</v>
      </c>
    </row>
    <row r="2916" spans="1:4" x14ac:dyDescent="0.2">
      <c r="A2916" s="5">
        <v>2855</v>
      </c>
      <c r="B2916" s="138">
        <f>'Assets-Liab 5-6'!L34</f>
        <v>108534</v>
      </c>
      <c r="C2916" s="2" t="s">
        <v>594</v>
      </c>
      <c r="D2916" s="2" t="str">
        <f t="shared" si="44"/>
        <v>Error?</v>
      </c>
    </row>
    <row r="2917" spans="1:4" x14ac:dyDescent="0.2">
      <c r="A2917" s="5">
        <v>2856</v>
      </c>
      <c r="B2917" s="138">
        <f>'Assets-Liab 5-6'!L41</f>
        <v>108534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1300</v>
      </c>
      <c r="D2949" s="2" t="str">
        <f t="shared" si="45"/>
        <v>Error?</v>
      </c>
    </row>
    <row r="2950" spans="1:4" x14ac:dyDescent="0.2">
      <c r="A2950" s="5">
        <v>2889</v>
      </c>
      <c r="B2950" s="138">
        <f>'Expenditures 15-22'!E79</f>
        <v>235073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292077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1300</v>
      </c>
      <c r="C2973" s="2" t="s">
        <v>594</v>
      </c>
      <c r="D2973" s="2" t="str">
        <f t="shared" si="45"/>
        <v>Error?</v>
      </c>
    </row>
    <row r="2974" spans="1:4" x14ac:dyDescent="0.2">
      <c r="A2974" s="5">
        <v>2913</v>
      </c>
      <c r="B2974" s="138">
        <f>'Expenditures 15-22'!K79</f>
        <v>527150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28712</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202760</v>
      </c>
      <c r="D3055" s="2" t="str">
        <f t="shared" si="46"/>
        <v>Error?</v>
      </c>
    </row>
    <row r="3056" spans="1:4" x14ac:dyDescent="0.2">
      <c r="A3056" s="5">
        <v>2995</v>
      </c>
      <c r="B3056" s="138">
        <f>'Expenditures 15-22'!D10</f>
        <v>61321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264081</v>
      </c>
      <c r="C3062" s="2" t="s">
        <v>594</v>
      </c>
      <c r="D3062" s="2" t="str">
        <f t="shared" si="46"/>
        <v>Error?</v>
      </c>
    </row>
    <row r="3063" spans="1:4" x14ac:dyDescent="0.2">
      <c r="A3063" s="10">
        <v>3002</v>
      </c>
      <c r="D3063" s="2" t="str">
        <f t="shared" si="46"/>
        <v>OK</v>
      </c>
    </row>
    <row r="3064" spans="1:4" x14ac:dyDescent="0.2">
      <c r="A3064" s="5">
        <v>3003</v>
      </c>
      <c r="B3064" s="138">
        <f>'Expenditures 15-22'!D219</f>
        <v>5455</v>
      </c>
      <c r="D3064" s="2" t="str">
        <f t="shared" si="46"/>
        <v>Error?</v>
      </c>
    </row>
    <row r="3065" spans="1:4" x14ac:dyDescent="0.2">
      <c r="A3065" s="5">
        <v>3004</v>
      </c>
      <c r="B3065" s="138">
        <f>'Expenditures 15-22'!K219</f>
        <v>5455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143722</v>
      </c>
      <c r="C3225" s="2" t="s">
        <v>594</v>
      </c>
      <c r="D3225" s="2" t="str">
        <f t="shared" si="49"/>
        <v>Error?</v>
      </c>
    </row>
    <row r="3226" spans="1:4" x14ac:dyDescent="0.2">
      <c r="A3226" s="5">
        <v>3165</v>
      </c>
      <c r="B3226" s="138">
        <f>'Acct Summary 7-8'!I8</f>
        <v>143722</v>
      </c>
      <c r="C3226" s="2" t="s">
        <v>594</v>
      </c>
      <c r="D3226" s="2" t="str">
        <f t="shared" si="49"/>
        <v>Error?</v>
      </c>
    </row>
    <row r="3227" spans="1:4" x14ac:dyDescent="0.2">
      <c r="A3227" s="5">
        <v>3166</v>
      </c>
      <c r="B3227" s="138">
        <f>'Acct Summary 7-8'!I20</f>
        <v>143722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1000000</v>
      </c>
      <c r="C3232" s="2" t="s">
        <v>594</v>
      </c>
      <c r="D3232" s="2" t="str">
        <f t="shared" si="49"/>
        <v>Error?</v>
      </c>
    </row>
    <row r="3233" spans="1:4" x14ac:dyDescent="0.2">
      <c r="A3233" s="5">
        <v>3172</v>
      </c>
      <c r="B3233" s="138">
        <f>'Acct Summary 7-8'!C78</f>
        <v>-490535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536708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1000000</v>
      </c>
      <c r="C3254" s="2" t="s">
        <v>594</v>
      </c>
      <c r="D3254" s="2" t="str">
        <f t="shared" si="49"/>
        <v>Error?</v>
      </c>
    </row>
    <row r="3255" spans="1:4" x14ac:dyDescent="0.2">
      <c r="A3255" s="5">
        <v>3194</v>
      </c>
      <c r="B3255" s="138">
        <f>'Acct Summary 7-8'!F77</f>
        <v>-1000000</v>
      </c>
      <c r="C3255" s="2" t="s">
        <v>594</v>
      </c>
      <c r="D3255" s="2" t="str">
        <f t="shared" si="49"/>
        <v>Error?</v>
      </c>
    </row>
    <row r="3256" spans="1:4" x14ac:dyDescent="0.2">
      <c r="A3256" s="5">
        <v>3195</v>
      </c>
      <c r="B3256" s="138">
        <f>'Acct Summary 7-8'!F78</f>
        <v>228438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256263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-272179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800000</v>
      </c>
      <c r="C3299" s="2" t="s">
        <v>594</v>
      </c>
      <c r="D3299" s="2" t="str">
        <f t="shared" si="50"/>
        <v>Error?</v>
      </c>
    </row>
    <row r="3300" spans="1:4" x14ac:dyDescent="0.2">
      <c r="A3300" s="5">
        <v>3239</v>
      </c>
      <c r="B3300" s="138">
        <f>'Acct Summary 7-8'!H78</f>
        <v>-3029311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800000</v>
      </c>
      <c r="C3318" s="2" t="s">
        <v>594</v>
      </c>
      <c r="D3318" s="2" t="str">
        <f t="shared" si="50"/>
        <v>Error?</v>
      </c>
    </row>
    <row r="3319" spans="1:4" x14ac:dyDescent="0.2">
      <c r="A3319" s="5">
        <v>3258</v>
      </c>
      <c r="B3319" s="138">
        <f>'Acct Summary 7-8'!I77</f>
        <v>-800000</v>
      </c>
      <c r="C3319" s="2" t="s">
        <v>594</v>
      </c>
      <c r="D3319" s="2" t="str">
        <f t="shared" si="50"/>
        <v>Error?</v>
      </c>
    </row>
    <row r="3320" spans="1:4" x14ac:dyDescent="0.2">
      <c r="A3320" s="5">
        <v>3259</v>
      </c>
      <c r="B3320" s="138">
        <f>'Acct Summary 7-8'!I78</f>
        <v>-656278</v>
      </c>
      <c r="C3320" s="2" t="s">
        <v>594</v>
      </c>
      <c r="D3320" s="2" t="str">
        <f t="shared" si="50"/>
        <v>Error?</v>
      </c>
    </row>
    <row r="3321" spans="1:4" x14ac:dyDescent="0.2">
      <c r="A3321" s="5">
        <v>3260</v>
      </c>
      <c r="B3321" s="138">
        <f>'Acct Summary 7-8'!I79</f>
        <v>6251713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5595435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971467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181399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1161817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70379</v>
      </c>
      <c r="D3387" s="2" t="str">
        <f t="shared" si="51"/>
        <v>Error?</v>
      </c>
    </row>
    <row r="3388" spans="1:4" x14ac:dyDescent="0.2">
      <c r="A3388" s="5">
        <v>3327</v>
      </c>
      <c r="B3388" s="138">
        <f>'Expenditures 15-22'!D217</f>
        <v>39111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70379</v>
      </c>
      <c r="C3390" s="2" t="s">
        <v>594</v>
      </c>
      <c r="D3390" s="2" t="str">
        <f t="shared" si="51"/>
        <v>Error?</v>
      </c>
    </row>
    <row r="3391" spans="1:4" x14ac:dyDescent="0.2">
      <c r="A3391" s="5">
        <v>3330</v>
      </c>
      <c r="B3391" s="138">
        <f>'Expenditures 15-22'!K217</f>
        <v>39111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15601801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3593532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1553635</v>
      </c>
      <c r="D3417" s="2" t="str">
        <f t="shared" si="52"/>
        <v>Error?</v>
      </c>
    </row>
    <row r="3418" spans="1:4" x14ac:dyDescent="0.2">
      <c r="A3418" s="10">
        <v>3357</v>
      </c>
      <c r="D3418" s="2" t="str">
        <f t="shared" si="52"/>
        <v>OK</v>
      </c>
    </row>
    <row r="3419" spans="1:4" x14ac:dyDescent="0.2">
      <c r="A3419" s="5">
        <v>3358</v>
      </c>
      <c r="B3419" s="138">
        <f>'Assets-Liab 5-6'!F4</f>
        <v>733134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1561390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217875</v>
      </c>
      <c r="D3425" s="2" t="str">
        <f t="shared" si="52"/>
        <v>Error?</v>
      </c>
    </row>
    <row r="3426" spans="1:4" x14ac:dyDescent="0.2">
      <c r="A3426" s="10">
        <v>3365</v>
      </c>
      <c r="D3426" s="2" t="str">
        <f t="shared" si="52"/>
        <v>OK</v>
      </c>
    </row>
    <row r="3427" spans="1:4" x14ac:dyDescent="0.2">
      <c r="A3427" s="5">
        <v>3366</v>
      </c>
      <c r="B3427" s="138">
        <f>'Assets-Liab 5-6'!I4</f>
        <v>5595435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108534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347875</v>
      </c>
      <c r="C3446" s="2" t="s">
        <v>594</v>
      </c>
      <c r="D3446" s="2" t="str">
        <f t="shared" si="52"/>
        <v>Error?</v>
      </c>
    </row>
    <row r="3447" spans="1:4" x14ac:dyDescent="0.2">
      <c r="A3447" s="5">
        <v>3386</v>
      </c>
      <c r="B3447" s="138">
        <f>'Tax Sched 23'!D16</f>
        <v>189729</v>
      </c>
      <c r="C3447" s="2" t="s">
        <v>594</v>
      </c>
      <c r="D3447" s="2" t="str">
        <f t="shared" si="52"/>
        <v>Error?</v>
      </c>
    </row>
    <row r="3448" spans="1:4" x14ac:dyDescent="0.2">
      <c r="A3448" s="5">
        <v>3387</v>
      </c>
      <c r="B3448" s="138">
        <f>'Tax Sched 23'!C16</f>
        <v>158146</v>
      </c>
      <c r="D3448" s="2" t="str">
        <f t="shared" si="52"/>
        <v>Error?</v>
      </c>
    </row>
    <row r="3449" spans="1:4" x14ac:dyDescent="0.2">
      <c r="A3449" s="5">
        <v>3388</v>
      </c>
      <c r="B3449" s="138">
        <f>'Tax Sched 23'!F16</f>
        <v>150804</v>
      </c>
      <c r="C3449" s="2" t="s">
        <v>594</v>
      </c>
      <c r="D3449" s="2" t="str">
        <f t="shared" si="52"/>
        <v>Error?</v>
      </c>
    </row>
    <row r="3450" spans="1:4" x14ac:dyDescent="0.2">
      <c r="A3450" s="5">
        <v>3389</v>
      </c>
      <c r="B3450" s="138">
        <f>'Tax Sched 23'!E16</f>
        <v>308950</v>
      </c>
      <c r="D3450" s="2" t="str">
        <f t="shared" si="52"/>
        <v>Error?</v>
      </c>
    </row>
    <row r="3451" spans="1:4" x14ac:dyDescent="0.2">
      <c r="A3451" s="5">
        <v>3390</v>
      </c>
      <c r="B3451" s="138">
        <f>'Cap Outlay Deprec 26'!C15</f>
        <v>4549898</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4549898</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446703</v>
      </c>
      <c r="D3546" s="2" t="str">
        <f t="shared" si="54"/>
        <v>Error?</v>
      </c>
    </row>
    <row r="3547" spans="1:4" x14ac:dyDescent="0.2">
      <c r="A3547" s="10">
        <v>3486</v>
      </c>
      <c r="D3547" s="2" t="str">
        <f t="shared" si="54"/>
        <v>OK</v>
      </c>
    </row>
    <row r="3548" spans="1:4" x14ac:dyDescent="0.2">
      <c r="A3548" s="5">
        <v>3487</v>
      </c>
      <c r="B3548" s="138">
        <f>'Assets-Liab 5-6'!K6</f>
        <v>147844</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594547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147844</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147844</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446703</v>
      </c>
      <c r="D3567" s="2" t="str">
        <f t="shared" si="54"/>
        <v>Error?</v>
      </c>
    </row>
    <row r="3568" spans="1:4" x14ac:dyDescent="0.2">
      <c r="A3568" s="5">
        <v>3507</v>
      </c>
      <c r="B3568" s="138">
        <f>'Assets-Liab 5-6'!K41</f>
        <v>594547</v>
      </c>
      <c r="C3568" s="2" t="s">
        <v>594</v>
      </c>
      <c r="D3568" s="2" t="str">
        <f t="shared" si="54"/>
        <v>Error?</v>
      </c>
    </row>
    <row r="3569" spans="1:4" x14ac:dyDescent="0.2">
      <c r="A3569" s="5">
        <v>3508</v>
      </c>
      <c r="B3569" s="138">
        <f>'Acct Summary 7-8'!K4</f>
        <v>145926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145926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145926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145926</v>
      </c>
      <c r="C3588" s="2" t="s">
        <v>594</v>
      </c>
      <c r="D3588" s="2" t="str">
        <f t="shared" si="55"/>
        <v>Error?</v>
      </c>
    </row>
    <row r="3589" spans="1:4" x14ac:dyDescent="0.2">
      <c r="A3589" s="5">
        <v>3528</v>
      </c>
      <c r="B3589" s="138">
        <f>'Acct Summary 7-8'!K79</f>
        <v>300777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446703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145926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66122</v>
      </c>
      <c r="C3725" s="2" t="s">
        <v>594</v>
      </c>
      <c r="D3725" s="2" t="str">
        <f t="shared" si="57"/>
        <v>Error?</v>
      </c>
    </row>
    <row r="3726" spans="1:4" x14ac:dyDescent="0.2">
      <c r="A3726" s="5">
        <v>3665</v>
      </c>
      <c r="B3726" s="138">
        <f>'Tax Sched 23'!D13</f>
        <v>39764</v>
      </c>
      <c r="C3726" s="2" t="s">
        <v>594</v>
      </c>
      <c r="D3726" s="2" t="str">
        <f t="shared" si="57"/>
        <v>Error?</v>
      </c>
    </row>
    <row r="3727" spans="1:4" x14ac:dyDescent="0.2">
      <c r="A3727" s="5">
        <v>3666</v>
      </c>
      <c r="B3727" s="138">
        <f>'Tax Sched 23'!C13</f>
        <v>26358</v>
      </c>
      <c r="D3727" s="2" t="str">
        <f t="shared" si="57"/>
        <v>Error?</v>
      </c>
    </row>
    <row r="3728" spans="1:4" x14ac:dyDescent="0.2">
      <c r="A3728" s="5">
        <v>3667</v>
      </c>
      <c r="B3728" s="138">
        <f>'Tax Sched 23'!F13</f>
        <v>25134</v>
      </c>
      <c r="C3728" s="2" t="s">
        <v>594</v>
      </c>
      <c r="D3728" s="2" t="str">
        <f t="shared" si="57"/>
        <v>Error?</v>
      </c>
    </row>
    <row r="3729" spans="1:4" x14ac:dyDescent="0.2">
      <c r="A3729" s="5">
        <v>3668</v>
      </c>
      <c r="B3729" s="138">
        <f>'Tax Sched 23'!E13</f>
        <v>51492</v>
      </c>
      <c r="D3729" s="2" t="str">
        <f t="shared" si="57"/>
        <v>Error?</v>
      </c>
    </row>
    <row r="3730" spans="1:4" x14ac:dyDescent="0.2">
      <c r="A3730" s="5">
        <v>3669</v>
      </c>
      <c r="B3730" s="138">
        <f>'ICR Computation 30'!E10</f>
        <v>158775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6247689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20010103</v>
      </c>
      <c r="C4122" s="2" t="s">
        <v>594</v>
      </c>
      <c r="D4122" s="2" t="str">
        <f t="shared" si="63"/>
        <v>Error?</v>
      </c>
    </row>
    <row r="4123" spans="1:4" x14ac:dyDescent="0.2">
      <c r="A4123" s="5">
        <v>4062</v>
      </c>
      <c r="B4123" s="138">
        <f>'Acct Summary 7-8'!D10</f>
        <v>1690762</v>
      </c>
      <c r="C4123" s="2" t="s">
        <v>594</v>
      </c>
      <c r="D4123" s="2" t="str">
        <f t="shared" si="63"/>
        <v>Error?</v>
      </c>
    </row>
    <row r="4124" spans="1:4" x14ac:dyDescent="0.2">
      <c r="A4124" s="5">
        <v>4063</v>
      </c>
      <c r="B4124" s="138">
        <f>'Acct Summary 7-8'!E10</f>
        <v>1411134</v>
      </c>
      <c r="C4124" s="2" t="s">
        <v>594</v>
      </c>
      <c r="D4124" s="2" t="str">
        <f t="shared" si="63"/>
        <v>Error?</v>
      </c>
    </row>
    <row r="4125" spans="1:4" x14ac:dyDescent="0.2">
      <c r="A4125" s="5">
        <v>4064</v>
      </c>
      <c r="B4125" s="138">
        <f>'Acct Summary 7-8'!F10</f>
        <v>2026265</v>
      </c>
      <c r="C4125" s="2" t="s">
        <v>594</v>
      </c>
      <c r="D4125" s="2" t="str">
        <f t="shared" si="63"/>
        <v>Error?</v>
      </c>
    </row>
    <row r="4126" spans="1:4" x14ac:dyDescent="0.2">
      <c r="A4126" s="5">
        <v>4065</v>
      </c>
      <c r="B4126" s="138">
        <f>'Acct Summary 7-8'!G10</f>
        <v>678412</v>
      </c>
      <c r="C4126" s="2" t="s">
        <v>594</v>
      </c>
      <c r="D4126" s="2" t="str">
        <f t="shared" si="63"/>
        <v>Error?</v>
      </c>
    </row>
    <row r="4127" spans="1:4" x14ac:dyDescent="0.2">
      <c r="A4127" s="5">
        <v>4066</v>
      </c>
      <c r="B4127" s="138">
        <f>'Acct Summary 7-8'!H10</f>
        <v>40892</v>
      </c>
      <c r="C4127" s="2" t="s">
        <v>594</v>
      </c>
      <c r="D4127" s="2" t="str">
        <f t="shared" si="63"/>
        <v>Error?</v>
      </c>
    </row>
    <row r="4128" spans="1:4" x14ac:dyDescent="0.2">
      <c r="A4128" s="5">
        <v>4067</v>
      </c>
      <c r="B4128" s="138">
        <f>'Acct Summary 7-8'!I10</f>
        <v>143722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145926</v>
      </c>
      <c r="C4130" s="2" t="s">
        <v>594</v>
      </c>
      <c r="D4130" s="2" t="str">
        <f t="shared" si="63"/>
        <v>Error?</v>
      </c>
    </row>
    <row r="4131" spans="1:4" x14ac:dyDescent="0.2">
      <c r="A4131" s="5">
        <v>4070</v>
      </c>
      <c r="B4131" s="138">
        <f>'Acct Summary 7-8'!C18</f>
        <v>6247689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21500638</v>
      </c>
      <c r="C4136" s="2" t="s">
        <v>594</v>
      </c>
      <c r="D4136" s="2" t="str">
        <f t="shared" si="63"/>
        <v>Error?</v>
      </c>
    </row>
    <row r="4137" spans="1:4" x14ac:dyDescent="0.2">
      <c r="A4137" s="5">
        <v>4076</v>
      </c>
      <c r="B4137" s="138">
        <f>'Acct Summary 7-8'!D19</f>
        <v>1154054</v>
      </c>
      <c r="C4137" s="2" t="s">
        <v>594</v>
      </c>
      <c r="D4137" s="2" t="str">
        <f t="shared" si="63"/>
        <v>Error?</v>
      </c>
    </row>
    <row r="4138" spans="1:4" x14ac:dyDescent="0.2">
      <c r="A4138" s="5">
        <v>4077</v>
      </c>
      <c r="B4138" s="138">
        <f>'Acct Summary 7-8'!E19</f>
        <v>1683313</v>
      </c>
      <c r="C4138" s="2" t="s">
        <v>594</v>
      </c>
      <c r="D4138" s="2" t="str">
        <f t="shared" si="63"/>
        <v>Error?</v>
      </c>
    </row>
    <row r="4139" spans="1:4" x14ac:dyDescent="0.2">
      <c r="A4139" s="5">
        <v>4078</v>
      </c>
      <c r="B4139" s="138">
        <f>'Acct Summary 7-8'!F19</f>
        <v>797827</v>
      </c>
      <c r="C4139" s="2" t="s">
        <v>594</v>
      </c>
      <c r="D4139" s="2" t="str">
        <f t="shared" si="63"/>
        <v>Error?</v>
      </c>
    </row>
    <row r="4140" spans="1:4" x14ac:dyDescent="0.2">
      <c r="A4140" s="5">
        <v>4079</v>
      </c>
      <c r="B4140" s="138">
        <f>'Acct Summary 7-8'!G19</f>
        <v>422149</v>
      </c>
      <c r="C4140" s="2" t="s">
        <v>594</v>
      </c>
      <c r="D4140" s="2" t="str">
        <f t="shared" si="63"/>
        <v>Error?</v>
      </c>
    </row>
    <row r="4141" spans="1:4" x14ac:dyDescent="0.2">
      <c r="A4141" s="5">
        <v>4080</v>
      </c>
      <c r="B4141" s="138">
        <f>'Acct Summary 7-8'!H19</f>
        <v>3870203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11285000</v>
      </c>
      <c r="C4171" s="2" t="s">
        <v>594</v>
      </c>
      <c r="D4171" s="2" t="str">
        <f t="shared" si="64"/>
        <v>Error?</v>
      </c>
    </row>
    <row r="4172" spans="1:4" x14ac:dyDescent="0.2">
      <c r="A4172" s="5">
        <v>4111</v>
      </c>
      <c r="B4172" s="138">
        <f>'Short-Term Long-Term Debt 24'!J49</f>
        <v>9732615</v>
      </c>
      <c r="C4172" s="2" t="s">
        <v>594</v>
      </c>
      <c r="D4172" s="2" t="str">
        <f t="shared" si="64"/>
        <v>Error?</v>
      </c>
    </row>
    <row r="4173" spans="1:4" x14ac:dyDescent="0.2">
      <c r="A4173" s="5">
        <v>4112</v>
      </c>
      <c r="B4173" s="138">
        <f>'Short-Term Long-Term Debt 24'!H49</f>
        <v>1235000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28712</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28712</v>
      </c>
      <c r="C4202" s="2" t="s">
        <v>594</v>
      </c>
      <c r="D4202" s="2" t="str">
        <f t="shared" si="64"/>
        <v>Error?</v>
      </c>
    </row>
    <row r="4203" spans="1:4" x14ac:dyDescent="0.2">
      <c r="A4203" s="5">
        <v>4142</v>
      </c>
      <c r="B4203" s="138">
        <f>'Expenditures 15-22'!E139</f>
        <v>28712</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3570.6000000000004</v>
      </c>
      <c r="C4265" s="2" t="s">
        <v>594</v>
      </c>
      <c r="D4265" s="2" t="str">
        <f t="shared" si="65"/>
        <v>Error?</v>
      </c>
      <c r="E4265" s="128"/>
    </row>
    <row r="4266" spans="1:5" x14ac:dyDescent="0.2">
      <c r="A4266" s="12">
        <v>4205</v>
      </c>
      <c r="B4266" s="138">
        <f>('FP Info 3'!F10)*100000</f>
        <v>550</v>
      </c>
      <c r="C4266" s="2" t="s">
        <v>594</v>
      </c>
      <c r="D4266" s="2" t="str">
        <f t="shared" si="65"/>
        <v>Error?</v>
      </c>
      <c r="E4266" s="128"/>
    </row>
    <row r="4267" spans="1:5" x14ac:dyDescent="0.2">
      <c r="A4267" s="12">
        <v>4206</v>
      </c>
      <c r="B4267" s="138">
        <f>('FP Info 3'!H10)*100000</f>
        <v>232.10000000000002</v>
      </c>
      <c r="C4267" s="2" t="s">
        <v>594</v>
      </c>
      <c r="D4267" s="2" t="str">
        <f t="shared" si="65"/>
        <v>Error?</v>
      </c>
      <c r="E4267" s="128"/>
    </row>
    <row r="4268" spans="1:5" x14ac:dyDescent="0.2">
      <c r="A4268" s="12">
        <v>4207</v>
      </c>
      <c r="B4268" s="138">
        <f>('FP Info 3'!J10)*100000</f>
        <v>4353</v>
      </c>
      <c r="C4268" s="2" t="s">
        <v>594</v>
      </c>
      <c r="D4268" s="2" t="str">
        <f t="shared" si="65"/>
        <v>Error?</v>
      </c>
    </row>
    <row r="4269" spans="1:5" x14ac:dyDescent="0.2">
      <c r="A4269" s="12">
        <v>4208</v>
      </c>
      <c r="B4269" s="138">
        <f>'FP Info 3'!J16</f>
        <v>25422872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840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15477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24468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1165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4000</v>
      </c>
      <c r="D4852" s="2" t="str">
        <f t="shared" si="74"/>
        <v>Error?</v>
      </c>
    </row>
    <row r="4853" spans="1:4" x14ac:dyDescent="0.2">
      <c r="A4853" s="5">
        <v>4792</v>
      </c>
      <c r="B4853" s="138">
        <f>'Revenues 9-14'!D272</f>
        <v>7409</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302892327</v>
      </c>
      <c r="D4995" s="2" t="str">
        <f t="shared" si="77"/>
        <v>Error?</v>
      </c>
    </row>
    <row r="4996" spans="1:4" x14ac:dyDescent="0.2">
      <c r="A4996" s="12">
        <v>4935</v>
      </c>
      <c r="B4996" s="138">
        <f>'FP Info 3'!H31</f>
        <v>20899570.563000001</v>
      </c>
      <c r="D4996" s="2" t="str">
        <f t="shared" si="77"/>
        <v>Error?</v>
      </c>
    </row>
    <row r="4997" spans="1:4" x14ac:dyDescent="0.2">
      <c r="A4997" s="12">
        <v>4936</v>
      </c>
      <c r="B4997" s="138">
        <f>'FP Info 3'!H37</f>
        <v>11285000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1000000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9657004</v>
      </c>
      <c r="D5061" s="2" t="str">
        <f t="shared" si="78"/>
        <v>Error?</v>
      </c>
    </row>
    <row r="5062" spans="1:4" x14ac:dyDescent="0.2">
      <c r="A5062" s="10">
        <v>5001</v>
      </c>
      <c r="D5062" s="2" t="str">
        <f t="shared" si="78"/>
        <v>OK</v>
      </c>
    </row>
    <row r="5063" spans="1:4" x14ac:dyDescent="0.2">
      <c r="A5063" s="5">
        <v>5002</v>
      </c>
      <c r="B5063" s="138">
        <f>'Revenues 9-14'!C7</f>
        <v>1091090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10748094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344223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344223</v>
      </c>
      <c r="C5071" s="2" t="s">
        <v>594</v>
      </c>
      <c r="D5071" s="2" t="str">
        <f t="shared" si="78"/>
        <v>Error?</v>
      </c>
    </row>
    <row r="5072" spans="1:4" x14ac:dyDescent="0.2">
      <c r="A5072" s="5">
        <v>5011</v>
      </c>
      <c r="B5072" s="138">
        <f>'Revenues 9-14'!C20</f>
        <v>49805</v>
      </c>
      <c r="D5072" s="2" t="str">
        <f t="shared" si="78"/>
        <v>Error?</v>
      </c>
    </row>
    <row r="5073" spans="1:4" x14ac:dyDescent="0.2">
      <c r="A5073" s="5">
        <v>5012</v>
      </c>
      <c r="B5073" s="138">
        <f>'Revenues 9-14'!C21</f>
        <v>193445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10420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29750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283420</v>
      </c>
      <c r="C5087" s="2" t="s">
        <v>594</v>
      </c>
      <c r="D5087" s="2" t="str">
        <f t="shared" si="78"/>
        <v>Error?</v>
      </c>
    </row>
    <row r="5088" spans="1:4" x14ac:dyDescent="0.2">
      <c r="A5088" s="5">
        <v>5027</v>
      </c>
      <c r="B5088" s="138">
        <f>'Revenues 9-14'!C65</f>
        <v>345230</v>
      </c>
      <c r="D5088" s="2" t="str">
        <f t="shared" si="78"/>
        <v>Error?</v>
      </c>
    </row>
    <row r="5089" spans="1:4" x14ac:dyDescent="0.2">
      <c r="A5089" s="5">
        <v>5028</v>
      </c>
      <c r="B5089" s="138">
        <f>'Revenues 9-14'!C66</f>
        <v>-288674</v>
      </c>
      <c r="D5089" s="2" t="str">
        <f t="shared" si="78"/>
        <v>Error?</v>
      </c>
    </row>
    <row r="5090" spans="1:4" x14ac:dyDescent="0.2">
      <c r="A5090" s="5">
        <v>5029</v>
      </c>
      <c r="B5090" s="138">
        <f>'Revenues 9-14'!C67</f>
        <v>56556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56681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9914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233207</v>
      </c>
      <c r="C5096" s="2" t="s">
        <v>594</v>
      </c>
      <c r="D5096" s="2" t="str">
        <f t="shared" si="78"/>
        <v>Error?</v>
      </c>
    </row>
    <row r="5097" spans="1:4" x14ac:dyDescent="0.2">
      <c r="A5097" s="5">
        <v>5036</v>
      </c>
      <c r="B5097" s="138">
        <f>'Revenues 9-14'!C77</f>
        <v>100</v>
      </c>
      <c r="D5097" s="2" t="str">
        <f t="shared" si="78"/>
        <v>Error?</v>
      </c>
    </row>
    <row r="5098" spans="1:4" x14ac:dyDescent="0.2">
      <c r="A5098" s="5">
        <v>5037</v>
      </c>
      <c r="B5098" s="138">
        <f>'Revenues 9-14'!C78</f>
        <v>117165</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8916</v>
      </c>
      <c r="D5101" s="2" t="str">
        <f t="shared" si="78"/>
        <v>Error?</v>
      </c>
    </row>
    <row r="5102" spans="1:4" x14ac:dyDescent="0.2">
      <c r="A5102" s="5">
        <v>5041</v>
      </c>
      <c r="B5102" s="138">
        <f>'Revenues 9-14'!C82</f>
        <v>126181</v>
      </c>
      <c r="C5102" s="2" t="s">
        <v>594</v>
      </c>
      <c r="D5102" s="2" t="str">
        <f t="shared" si="78"/>
        <v>Error?</v>
      </c>
    </row>
    <row r="5103" spans="1:4" x14ac:dyDescent="0.2">
      <c r="A5103" s="5">
        <v>5042</v>
      </c>
      <c r="B5103" s="138">
        <f>'Revenues 9-14'!C84</f>
        <v>121680</v>
      </c>
      <c r="D5103" s="2" t="str">
        <f t="shared" si="78"/>
        <v>Error?</v>
      </c>
    </row>
    <row r="5104" spans="1:4" x14ac:dyDescent="0.2">
      <c r="A5104" s="5">
        <v>5043</v>
      </c>
      <c r="B5104" s="138">
        <f>'Revenues 9-14'!C85</f>
        <v>17593</v>
      </c>
      <c r="D5104" s="2" t="str">
        <f t="shared" si="78"/>
        <v>Error?</v>
      </c>
    </row>
    <row r="5105" spans="1:4" x14ac:dyDescent="0.2">
      <c r="A5105" s="5">
        <v>5044</v>
      </c>
      <c r="B5105" s="138">
        <f>'Revenues 9-14'!C86</f>
        <v>1200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140473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17213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10933</v>
      </c>
      <c r="D5119" s="2" t="str">
        <f t="shared" ref="D5119:D5182" si="79">IF(ISBLANK(B5119),"OK",IF(A5119-B5119=0,"OK","Error?"))</f>
        <v>Error?</v>
      </c>
    </row>
    <row r="5120" spans="1:4" x14ac:dyDescent="0.2">
      <c r="A5120" s="5">
        <v>5059</v>
      </c>
      <c r="B5120" s="138">
        <f>'Revenues 9-14'!C108</f>
        <v>29311</v>
      </c>
      <c r="C5120" s="2" t="s">
        <v>594</v>
      </c>
      <c r="D5120" s="2" t="str">
        <f t="shared" si="79"/>
        <v>Error?</v>
      </c>
    </row>
    <row r="5121" spans="1:4" x14ac:dyDescent="0.2">
      <c r="A5121" s="5">
        <v>5060</v>
      </c>
      <c r="B5121" s="138">
        <f>'Revenues 9-14'!C109</f>
        <v>11961465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1246899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1246899</v>
      </c>
      <c r="C5132" s="2" t="s">
        <v>594</v>
      </c>
      <c r="D5132" s="2" t="str">
        <f t="shared" si="79"/>
        <v>Error?</v>
      </c>
    </row>
    <row r="5133" spans="1:4" x14ac:dyDescent="0.2">
      <c r="A5133" s="5">
        <v>5072</v>
      </c>
      <c r="B5133" s="138">
        <f>'Revenues 9-14'!C124</f>
        <v>40536</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40536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17699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17699</v>
      </c>
      <c r="C5165" s="2" t="s">
        <v>594</v>
      </c>
      <c r="D5165" s="2" t="str">
        <f t="shared" si="79"/>
        <v>Error?</v>
      </c>
    </row>
    <row r="5166" spans="1:4" x14ac:dyDescent="0.2">
      <c r="A5166" s="10">
        <v>5105</v>
      </c>
      <c r="D5166" s="2" t="str">
        <f t="shared" si="79"/>
        <v>OK</v>
      </c>
    </row>
    <row r="5167" spans="1:4" x14ac:dyDescent="0.2">
      <c r="A5167" s="5">
        <v>5106</v>
      </c>
      <c r="B5167" s="138">
        <f>'Revenues 9-14'!C145</f>
        <v>1372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63894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125001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1371900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158775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158775</v>
      </c>
      <c r="C5246" s="2" t="s">
        <v>594</v>
      </c>
      <c r="D5246" s="2" t="str">
        <f t="shared" si="80"/>
        <v>Error?</v>
      </c>
    </row>
    <row r="5247" spans="1:4" x14ac:dyDescent="0.2">
      <c r="A5247" s="5">
        <v>5186</v>
      </c>
      <c r="B5247" s="138">
        <f>'Revenues 9-14'!C203</f>
        <v>122900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840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122900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102589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102589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429049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429049</v>
      </c>
      <c r="C5326" s="2" t="s">
        <v>594</v>
      </c>
      <c r="D5326" s="2" t="str">
        <f t="shared" si="82"/>
        <v>Error?</v>
      </c>
    </row>
    <row r="5327" spans="1:4" x14ac:dyDescent="0.2">
      <c r="A5327" s="5">
        <v>5266</v>
      </c>
      <c r="B5327" s="138">
        <f>'Revenues 9-14'!C275</f>
        <v>13762414</v>
      </c>
      <c r="C5327" s="2" t="s">
        <v>594</v>
      </c>
      <c r="D5327" s="2" t="str">
        <f t="shared" si="82"/>
        <v>Error?</v>
      </c>
    </row>
    <row r="5328" spans="1:4" x14ac:dyDescent="0.2">
      <c r="A5328" s="5">
        <v>5267</v>
      </c>
      <c r="B5328" s="138">
        <f>'Revenues 9-14'!D5</f>
        <v>1500284</v>
      </c>
      <c r="D5328" s="2" t="str">
        <f t="shared" si="82"/>
        <v>Error?</v>
      </c>
    </row>
    <row r="5329" spans="1:4" x14ac:dyDescent="0.2">
      <c r="A5329" s="10">
        <v>5268</v>
      </c>
      <c r="D5329" s="2" t="str">
        <f t="shared" si="82"/>
        <v>OK</v>
      </c>
    </row>
    <row r="5330" spans="1:4" x14ac:dyDescent="0.2">
      <c r="A5330" s="5">
        <v>5269</v>
      </c>
      <c r="B5330" s="138">
        <f>'Revenues 9-14'!D6</f>
        <v>66122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1566406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74191</v>
      </c>
      <c r="D5340" s="2" t="str">
        <f t="shared" si="82"/>
        <v>Error?</v>
      </c>
    </row>
    <row r="5341" spans="1:4" x14ac:dyDescent="0.2">
      <c r="A5341" s="5">
        <v>5280</v>
      </c>
      <c r="B5341" s="138">
        <f>'Revenues 9-14'!D66</f>
        <v>-89063</v>
      </c>
      <c r="D5341" s="2" t="str">
        <f t="shared" si="82"/>
        <v>Error?</v>
      </c>
    </row>
    <row r="5342" spans="1:4" x14ac:dyDescent="0.2">
      <c r="A5342" s="5">
        <v>5281</v>
      </c>
      <c r="B5342" s="138">
        <f>'Revenues 9-14'!D67</f>
        <v>-14872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131819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131819</v>
      </c>
      <c r="C5355" s="2" t="s">
        <v>594</v>
      </c>
      <c r="D5355" s="2" t="str">
        <f t="shared" si="82"/>
        <v>Error?</v>
      </c>
    </row>
    <row r="5356" spans="1:4" x14ac:dyDescent="0.2">
      <c r="A5356" s="5">
        <v>5295</v>
      </c>
      <c r="B5356" s="138">
        <f>'Revenues 9-14'!D109</f>
        <v>1683353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7409</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7409</v>
      </c>
      <c r="C5507" s="2" t="s">
        <v>594</v>
      </c>
      <c r="D5507" s="2" t="str">
        <f t="shared" si="85"/>
        <v>Error?</v>
      </c>
    </row>
    <row r="5508" spans="1:4" x14ac:dyDescent="0.2">
      <c r="A5508" s="5">
        <v>5447</v>
      </c>
      <c r="B5508" s="138">
        <f>'Revenues 9-14'!D275</f>
        <v>1690762</v>
      </c>
      <c r="C5508" s="2" t="s">
        <v>594</v>
      </c>
      <c r="D5508" s="2" t="str">
        <f t="shared" si="85"/>
        <v>Error?</v>
      </c>
    </row>
    <row r="5509" spans="1:4" x14ac:dyDescent="0.2">
      <c r="A5509" s="5">
        <v>5448</v>
      </c>
      <c r="B5509" s="138">
        <f>'Revenues 9-14'!E5</f>
        <v>1403565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1403565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39956</v>
      </c>
      <c r="D5519" s="2" t="str">
        <f t="shared" si="85"/>
        <v>Error?</v>
      </c>
    </row>
    <row r="5520" spans="1:4" x14ac:dyDescent="0.2">
      <c r="A5520" s="5">
        <v>5459</v>
      </c>
      <c r="B5520" s="138">
        <f>'Revenues 9-14'!E66</f>
        <v>-32387</v>
      </c>
      <c r="D5520" s="2" t="str">
        <f t="shared" si="85"/>
        <v>Error?</v>
      </c>
    </row>
    <row r="5521" spans="1:4" x14ac:dyDescent="0.2">
      <c r="A5521" s="5">
        <v>5460</v>
      </c>
      <c r="B5521" s="138">
        <f>'Revenues 9-14'!E67</f>
        <v>7569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1411134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1411134</v>
      </c>
      <c r="C5552" s="2" t="s">
        <v>594</v>
      </c>
      <c r="D5552" s="2" t="str">
        <f t="shared" si="85"/>
        <v>Error?</v>
      </c>
    </row>
    <row r="5553" spans="1:4" x14ac:dyDescent="0.2">
      <c r="A5553" s="5">
        <v>5492</v>
      </c>
      <c r="B5553" s="138">
        <f>'Revenues 9-14'!F5</f>
        <v>1616065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1616065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51362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51362</v>
      </c>
      <c r="C5579" s="2" t="s">
        <v>594</v>
      </c>
      <c r="D5579" s="2" t="str">
        <f t="shared" si="86"/>
        <v>Error?</v>
      </c>
    </row>
    <row r="5580" spans="1:4" x14ac:dyDescent="0.2">
      <c r="A5580" s="5">
        <v>5519</v>
      </c>
      <c r="B5580" s="138">
        <f>'Revenues 9-14'!F65</f>
        <v>42624</v>
      </c>
      <c r="D5580" s="2" t="str">
        <f t="shared" si="86"/>
        <v>Error?</v>
      </c>
    </row>
    <row r="5581" spans="1:4" x14ac:dyDescent="0.2">
      <c r="A5581" s="5">
        <v>5520</v>
      </c>
      <c r="B5581" s="138">
        <f>'Revenues 9-14'!F66</f>
        <v>-28271</v>
      </c>
      <c r="D5581" s="2" t="str">
        <f t="shared" si="86"/>
        <v>Error?</v>
      </c>
    </row>
    <row r="5582" spans="1:4" x14ac:dyDescent="0.2">
      <c r="A5582" s="5">
        <v>5521</v>
      </c>
      <c r="B5582" s="138">
        <f>'Revenues 9-14'!F67</f>
        <v>14353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1681780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344485</v>
      </c>
      <c r="D5617" s="2" t="str">
        <f t="shared" si="86"/>
        <v>Error?</v>
      </c>
    </row>
    <row r="5618" spans="1:4" x14ac:dyDescent="0.2">
      <c r="A5618" s="5">
        <v>5557</v>
      </c>
      <c r="B5618" s="138">
        <f>'Revenues 9-14'!F154</f>
        <v>344485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344485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344485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2026265</v>
      </c>
      <c r="C5720" s="2" t="s">
        <v>594</v>
      </c>
      <c r="D5720" s="2" t="str">
        <f t="shared" si="88"/>
        <v>Error?</v>
      </c>
    </row>
    <row r="5721" spans="1:4" x14ac:dyDescent="0.2">
      <c r="A5721" s="5">
        <v>5660</v>
      </c>
      <c r="B5721" s="138">
        <f>'Revenues 9-14'!G5</f>
        <v>334696</v>
      </c>
      <c r="D5721" s="2" t="str">
        <f t="shared" si="88"/>
        <v>Error?</v>
      </c>
    </row>
    <row r="5722" spans="1:4" x14ac:dyDescent="0.2">
      <c r="A5722" s="5">
        <v>5661</v>
      </c>
      <c r="B5722" s="138">
        <f>'Revenues 9-14'!G7</f>
        <v>0</v>
      </c>
      <c r="D5722" s="2" t="str">
        <f t="shared" si="88"/>
        <v>Error?</v>
      </c>
    </row>
    <row r="5723" spans="1:4" x14ac:dyDescent="0.2">
      <c r="A5723" s="5">
        <v>5662</v>
      </c>
      <c r="B5723" s="138">
        <f>'Revenues 9-14'!G8</f>
        <v>347875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682571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72551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72551</v>
      </c>
      <c r="C5730" s="2" t="s">
        <v>594</v>
      </c>
      <c r="D5730" s="2" t="str">
        <f t="shared" si="88"/>
        <v>Error?</v>
      </c>
    </row>
    <row r="5731" spans="1:4" x14ac:dyDescent="0.2">
      <c r="A5731" s="5">
        <v>5670</v>
      </c>
      <c r="B5731" s="138">
        <f>'Revenues 9-14'!G65</f>
        <v>34853</v>
      </c>
      <c r="D5731" s="2" t="str">
        <f t="shared" si="88"/>
        <v>Error?</v>
      </c>
    </row>
    <row r="5732" spans="1:4" x14ac:dyDescent="0.2">
      <c r="A5732" s="5">
        <v>5671</v>
      </c>
      <c r="B5732" s="138">
        <f>'Revenues 9-14'!G66</f>
        <v>-111563</v>
      </c>
      <c r="D5732" s="2" t="str">
        <f t="shared" si="88"/>
        <v>Error?</v>
      </c>
    </row>
    <row r="5733" spans="1:4" x14ac:dyDescent="0.2">
      <c r="A5733" s="5">
        <v>5672</v>
      </c>
      <c r="B5733" s="138">
        <f>'Revenues 9-14'!G67</f>
        <v>-76710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678412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12315</v>
      </c>
      <c r="D5879" s="2" t="str">
        <f t="shared" si="90"/>
        <v>Error?</v>
      </c>
    </row>
    <row r="5880" spans="1:4" x14ac:dyDescent="0.2">
      <c r="A5880" s="5">
        <v>5819</v>
      </c>
      <c r="B5880" s="138">
        <f>'Revenues 9-14'!H66</f>
        <v>28577</v>
      </c>
      <c r="D5880" s="2" t="str">
        <f t="shared" si="90"/>
        <v>Error?</v>
      </c>
    </row>
    <row r="5881" spans="1:4" x14ac:dyDescent="0.2">
      <c r="A5881" s="5">
        <v>5820</v>
      </c>
      <c r="B5881" s="138">
        <f>'Revenues 9-14'!H67</f>
        <v>40892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40892</v>
      </c>
      <c r="C5915" s="2" t="s">
        <v>594</v>
      </c>
      <c r="D5915" s="2" t="str">
        <f t="shared" si="91"/>
        <v>Error?</v>
      </c>
    </row>
    <row r="5916" spans="1:4" x14ac:dyDescent="0.2">
      <c r="A5916" s="5">
        <v>5855</v>
      </c>
      <c r="B5916" s="138">
        <f>'Revenues 9-14'!I5</f>
        <v>136350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136350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127920</v>
      </c>
      <c r="D5924" s="2" t="str">
        <f t="shared" si="91"/>
        <v>Error?</v>
      </c>
    </row>
    <row r="5925" spans="1:4" x14ac:dyDescent="0.2">
      <c r="A5925" s="5">
        <v>5864</v>
      </c>
      <c r="B5925" s="138">
        <f>'Revenues 9-14'!I66</f>
        <v>-120548</v>
      </c>
      <c r="D5925" s="2" t="str">
        <f t="shared" si="91"/>
        <v>Error?</v>
      </c>
    </row>
    <row r="5926" spans="1:4" x14ac:dyDescent="0.2">
      <c r="A5926" s="5">
        <v>5865</v>
      </c>
      <c r="B5926" s="138">
        <f>'Revenues 9-14'!I67</f>
        <v>7372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143722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151465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151465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6510</v>
      </c>
      <c r="D5993" s="2" t="str">
        <f t="shared" si="92"/>
        <v>Error?</v>
      </c>
    </row>
    <row r="5994" spans="1:4" x14ac:dyDescent="0.2">
      <c r="A5994" s="5">
        <v>5933</v>
      </c>
      <c r="B5994" s="138">
        <f>'Revenues 9-14'!K66</f>
        <v>-12049</v>
      </c>
      <c r="D5994" s="2" t="str">
        <f t="shared" si="92"/>
        <v>Error?</v>
      </c>
    </row>
    <row r="5995" spans="1:4" x14ac:dyDescent="0.2">
      <c r="A5995" s="5">
        <v>5934</v>
      </c>
      <c r="B5995" s="138">
        <f>'Revenues 9-14'!K67</f>
        <v>-5539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145926</v>
      </c>
      <c r="C6023" s="2" t="s">
        <v>594</v>
      </c>
      <c r="D6023" s="2" t="str">
        <f t="shared" si="93"/>
        <v>Error?</v>
      </c>
    </row>
    <row r="6024" spans="1:5" x14ac:dyDescent="0.2">
      <c r="A6024" s="5">
        <v>5963</v>
      </c>
      <c r="B6024" s="138">
        <f>'Revenues 9-14'!G109</f>
        <v>678412</v>
      </c>
      <c r="C6024" s="2" t="s">
        <v>594</v>
      </c>
      <c r="D6024" s="2" t="str">
        <f t="shared" si="93"/>
        <v>Error?</v>
      </c>
    </row>
    <row r="6025" spans="1:5" x14ac:dyDescent="0.2">
      <c r="A6025" s="5">
        <v>5964</v>
      </c>
      <c r="B6025" s="138">
        <f>'Revenues 9-14'!H109</f>
        <v>40892</v>
      </c>
      <c r="C6025" s="2" t="s">
        <v>594</v>
      </c>
      <c r="D6025" s="2" t="str">
        <f t="shared" si="93"/>
        <v>Error?</v>
      </c>
    </row>
    <row r="6026" spans="1:5" x14ac:dyDescent="0.2">
      <c r="A6026" s="5">
        <v>5965</v>
      </c>
      <c r="B6026" s="138">
        <f>'Revenues 9-14'!I109</f>
        <v>143722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145926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166612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28045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995.72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21079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86209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1320944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226079</v>
      </c>
      <c r="D6142" s="2" t="str">
        <f t="shared" si="94"/>
        <v>Error?</v>
      </c>
      <c r="E6142" s="2" t="s">
        <v>199</v>
      </c>
    </row>
    <row r="6143" spans="1:5" x14ac:dyDescent="0.2">
      <c r="A6143">
        <v>6082</v>
      </c>
      <c r="B6143" s="138">
        <f>'Assets-Liab 5-6'!D27</f>
        <v>7980</v>
      </c>
      <c r="D6143" s="2" t="str">
        <f t="shared" ref="D6143:D6206" si="95">IF(ISBLANK(B6143),"OK",IF(A6143-B6143=0,"OK","Error?"))</f>
        <v>Error?</v>
      </c>
      <c r="E6143" s="2" t="s">
        <v>199</v>
      </c>
    </row>
    <row r="6144" spans="1:5" x14ac:dyDescent="0.2">
      <c r="A6144">
        <v>6083</v>
      </c>
      <c r="B6144" s="138">
        <f>'Assets-Liab 5-6'!E27</f>
        <v>1250</v>
      </c>
      <c r="D6144" s="2" t="str">
        <f t="shared" si="95"/>
        <v>Error?</v>
      </c>
      <c r="E6144" s="2" t="s">
        <v>199</v>
      </c>
    </row>
    <row r="6145" spans="1:5" x14ac:dyDescent="0.2">
      <c r="A6145">
        <v>6084</v>
      </c>
      <c r="B6145" s="138">
        <f>'Assets-Liab 5-6'!F27</f>
        <v>25058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100536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100536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1220408</v>
      </c>
      <c r="D6215" s="2" t="str">
        <f t="shared" si="96"/>
        <v>Error?</v>
      </c>
      <c r="E6215" s="2" t="s">
        <v>199</v>
      </c>
    </row>
    <row r="6216" spans="1:5" x14ac:dyDescent="0.2">
      <c r="A6216">
        <v>6155</v>
      </c>
      <c r="B6216" s="138">
        <f>'Assets-Liab 5-6'!J41</f>
        <v>1320944</v>
      </c>
      <c r="D6216" s="2" t="str">
        <f t="shared" si="96"/>
        <v>Error?</v>
      </c>
      <c r="E6216" s="2" t="s">
        <v>199</v>
      </c>
    </row>
    <row r="6217" spans="1:5" x14ac:dyDescent="0.2">
      <c r="A6217">
        <v>6156</v>
      </c>
      <c r="B6217" s="138">
        <f>'Assets-Liab 5-6'!J4</f>
        <v>1220408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100536</v>
      </c>
      <c r="D6219" s="2" t="str">
        <f t="shared" si="96"/>
        <v>Error?</v>
      </c>
      <c r="E6219" s="2" t="s">
        <v>199</v>
      </c>
    </row>
    <row r="6220" spans="1:5" x14ac:dyDescent="0.2">
      <c r="A6220">
        <v>6159</v>
      </c>
      <c r="B6220" s="138">
        <f>'Acct Summary 7-8'!J4</f>
        <v>183915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183915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183915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115738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115738</v>
      </c>
      <c r="D6229" s="2" t="str">
        <f t="shared" si="96"/>
        <v>Error?</v>
      </c>
      <c r="E6229" s="2" t="s">
        <v>199</v>
      </c>
    </row>
    <row r="6230" spans="1:5" x14ac:dyDescent="0.2">
      <c r="A6230">
        <v>6169</v>
      </c>
      <c r="B6230" s="138">
        <f>'Acct Summary 7-8'!J20</f>
        <v>68177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68177</v>
      </c>
      <c r="D6263" s="2" t="str">
        <f t="shared" si="96"/>
        <v>Error?</v>
      </c>
      <c r="E6263" s="2" t="s">
        <v>199</v>
      </c>
    </row>
    <row r="6264" spans="1:5" x14ac:dyDescent="0.2">
      <c r="A6264">
        <v>6203</v>
      </c>
      <c r="B6264" s="138">
        <f>'Acct Summary 7-8'!J79</f>
        <v>1152231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1220408</v>
      </c>
      <c r="D6266" s="2" t="str">
        <f t="shared" si="96"/>
        <v>Error?</v>
      </c>
      <c r="E6266" s="2" t="s">
        <v>199</v>
      </c>
    </row>
    <row r="6267" spans="1:5" x14ac:dyDescent="0.2">
      <c r="A6267">
        <v>6206</v>
      </c>
      <c r="B6267" s="138">
        <f>'Acct Summary 7-8'!C82</f>
        <v>-490535</v>
      </c>
      <c r="D6267" s="2" t="str">
        <f t="shared" si="96"/>
        <v>Error?</v>
      </c>
      <c r="E6267" s="2" t="s">
        <v>199</v>
      </c>
    </row>
    <row r="6268" spans="1:5" x14ac:dyDescent="0.2">
      <c r="A6268">
        <v>6207</v>
      </c>
      <c r="B6268" s="138">
        <f>'Acct Summary 7-8'!D82</f>
        <v>536708</v>
      </c>
      <c r="D6268" s="2" t="str">
        <f t="shared" si="96"/>
        <v>Error?</v>
      </c>
      <c r="E6268" s="2" t="s">
        <v>199</v>
      </c>
    </row>
    <row r="6269" spans="1:5" x14ac:dyDescent="0.2">
      <c r="A6269">
        <v>6208</v>
      </c>
      <c r="B6269" s="138">
        <f>'Acct Summary 7-8'!E82</f>
        <v>-272179</v>
      </c>
      <c r="D6269" s="2" t="str">
        <f t="shared" si="96"/>
        <v>Error?</v>
      </c>
      <c r="E6269" s="2" t="s">
        <v>199</v>
      </c>
    </row>
    <row r="6270" spans="1:5" x14ac:dyDescent="0.2">
      <c r="A6270">
        <v>6209</v>
      </c>
      <c r="B6270" s="138">
        <f>'Acct Summary 7-8'!F82</f>
        <v>228438</v>
      </c>
      <c r="D6270" s="2" t="str">
        <f t="shared" si="96"/>
        <v>Error?</v>
      </c>
      <c r="E6270" s="2" t="s">
        <v>199</v>
      </c>
    </row>
    <row r="6271" spans="1:5" x14ac:dyDescent="0.2">
      <c r="A6271">
        <v>6210</v>
      </c>
      <c r="B6271" s="138">
        <f>'Acct Summary 7-8'!G82</f>
        <v>256263</v>
      </c>
      <c r="D6271" s="2" t="str">
        <f t="shared" ref="D6271:D6334" si="97">IF(ISBLANK(B6271),"OK",IF(A6271-B6271=0,"OK","Error?"))</f>
        <v>Error?</v>
      </c>
      <c r="E6271" s="2" t="s">
        <v>199</v>
      </c>
    </row>
    <row r="6272" spans="1:5" x14ac:dyDescent="0.2">
      <c r="A6272">
        <v>6211</v>
      </c>
      <c r="B6272" s="138">
        <f>'Acct Summary 7-8'!H82</f>
        <v>-3029311</v>
      </c>
      <c r="D6272" s="2" t="str">
        <f t="shared" si="97"/>
        <v>Error?</v>
      </c>
      <c r="E6272" s="2" t="s">
        <v>199</v>
      </c>
    </row>
    <row r="6273" spans="1:5" x14ac:dyDescent="0.2">
      <c r="A6273">
        <v>6212</v>
      </c>
      <c r="B6273" s="138">
        <f>'Acct Summary 7-8'!I82</f>
        <v>-656278</v>
      </c>
      <c r="D6273" s="2" t="str">
        <f t="shared" si="97"/>
        <v>Error?</v>
      </c>
      <c r="E6273" s="2" t="s">
        <v>199</v>
      </c>
    </row>
    <row r="6274" spans="1:5" x14ac:dyDescent="0.2">
      <c r="A6274">
        <v>6213</v>
      </c>
      <c r="B6274" s="138">
        <f>'Acct Summary 7-8'!J82</f>
        <v>68177</v>
      </c>
      <c r="D6274" s="2" t="str">
        <f t="shared" si="97"/>
        <v>Error?</v>
      </c>
      <c r="E6274" s="2" t="s">
        <v>199</v>
      </c>
    </row>
    <row r="6275" spans="1:5" x14ac:dyDescent="0.2">
      <c r="A6275">
        <v>6214</v>
      </c>
      <c r="B6275" s="138">
        <f>'Acct Summary 7-8'!K82</f>
        <v>145926</v>
      </c>
      <c r="D6275" s="2" t="str">
        <f t="shared" si="97"/>
        <v>Error?</v>
      </c>
      <c r="E6275" s="2" t="s">
        <v>199</v>
      </c>
    </row>
    <row r="6276" spans="1:5" x14ac:dyDescent="0.2">
      <c r="A6276">
        <v>6215</v>
      </c>
      <c r="B6276" s="138">
        <f>'Acct Summary 7-8'!C83</f>
        <v>-3.1754770967658406E-2</v>
      </c>
      <c r="D6276" s="2" t="str">
        <f t="shared" si="97"/>
        <v>Error?</v>
      </c>
      <c r="E6276" s="2" t="s">
        <v>199</v>
      </c>
    </row>
    <row r="6277" spans="1:5" x14ac:dyDescent="0.2">
      <c r="A6277">
        <v>6216</v>
      </c>
      <c r="B6277" s="138">
        <f>'Acct Summary 7-8'!D83</f>
        <v>0.14968629655907933</v>
      </c>
      <c r="D6277" s="2" t="str">
        <f t="shared" si="97"/>
        <v>Error?</v>
      </c>
      <c r="E6277" s="2" t="s">
        <v>199</v>
      </c>
    </row>
    <row r="6278" spans="1:5" x14ac:dyDescent="0.2">
      <c r="A6278">
        <v>6217</v>
      </c>
      <c r="B6278" s="138">
        <f>'Acct Summary 7-8'!E83</f>
        <v>-0.17532957352718559</v>
      </c>
      <c r="D6278" s="2" t="str">
        <f t="shared" si="97"/>
        <v>Error?</v>
      </c>
      <c r="E6278" s="2" t="s">
        <v>199</v>
      </c>
    </row>
    <row r="6279" spans="1:5" x14ac:dyDescent="0.2">
      <c r="A6279">
        <v>6218</v>
      </c>
      <c r="B6279" s="138">
        <f>'Acct Summary 7-8'!F83</f>
        <v>0.28760205719609461</v>
      </c>
      <c r="D6279" s="2" t="str">
        <f t="shared" si="97"/>
        <v>Error?</v>
      </c>
      <c r="E6279" s="2" t="s">
        <v>199</v>
      </c>
    </row>
    <row r="6280" spans="1:5" x14ac:dyDescent="0.2">
      <c r="A6280">
        <v>6219</v>
      </c>
      <c r="B6280" s="138">
        <f>'Acct Summary 7-8'!G83</f>
        <v>0.16412491433914653</v>
      </c>
      <c r="D6280" s="2" t="str">
        <f t="shared" si="97"/>
        <v>Error?</v>
      </c>
      <c r="E6280" s="2" t="s">
        <v>199</v>
      </c>
    </row>
    <row r="6281" spans="1:5" x14ac:dyDescent="0.2">
      <c r="A6281">
        <v>6220</v>
      </c>
      <c r="B6281" s="138">
        <f>'Acct Summary 7-8'!H83</f>
        <v>-13.903894434882387</v>
      </c>
      <c r="D6281" s="2" t="str">
        <f t="shared" si="97"/>
        <v>Error?</v>
      </c>
      <c r="E6281" s="2" t="s">
        <v>199</v>
      </c>
    </row>
    <row r="6282" spans="1:5" x14ac:dyDescent="0.2">
      <c r="A6282">
        <v>6221</v>
      </c>
      <c r="B6282" s="138">
        <f>'Acct Summary 7-8'!I83</f>
        <v>-0.11728811075457046</v>
      </c>
      <c r="D6282" s="2" t="str">
        <f t="shared" si="97"/>
        <v>Error?</v>
      </c>
      <c r="E6282" s="2" t="s">
        <v>199</v>
      </c>
    </row>
    <row r="6283" spans="1:5" x14ac:dyDescent="0.2">
      <c r="A6283">
        <v>6222</v>
      </c>
      <c r="B6283" s="138">
        <f>'Acct Summary 7-8'!J83</f>
        <v>5.5864104463425344E-2</v>
      </c>
      <c r="D6283" s="2" t="str">
        <f t="shared" si="97"/>
        <v>Error?</v>
      </c>
      <c r="E6283" s="2" t="s">
        <v>199</v>
      </c>
    </row>
    <row r="6284" spans="1:5" x14ac:dyDescent="0.2">
      <c r="A6284">
        <v>6223</v>
      </c>
      <c r="B6284" s="138">
        <f>'Acct Summary 7-8'!K83</f>
        <v>0.32667342731076354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800000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186316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186316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26383</v>
      </c>
      <c r="D6316" s="2" t="str">
        <f t="shared" si="97"/>
        <v>Error?</v>
      </c>
      <c r="E6316" s="2" t="s">
        <v>199</v>
      </c>
    </row>
    <row r="6317" spans="1:5" x14ac:dyDescent="0.2">
      <c r="A6317">
        <v>6256</v>
      </c>
      <c r="B6317" s="138">
        <f>'Revenues 9-14'!J66</f>
        <v>-28784</v>
      </c>
      <c r="D6317" s="2" t="str">
        <f t="shared" si="97"/>
        <v>Error?</v>
      </c>
      <c r="E6317" s="2" t="s">
        <v>199</v>
      </c>
    </row>
    <row r="6318" spans="1:5" x14ac:dyDescent="0.2">
      <c r="A6318">
        <v>6257</v>
      </c>
      <c r="B6318" s="138">
        <f>'Revenues 9-14'!J67</f>
        <v>-2401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183915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91784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355905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134176</v>
      </c>
      <c r="D6848" s="2" t="str">
        <f t="shared" si="106"/>
        <v>Error?</v>
      </c>
    </row>
    <row r="6849" spans="1:4" x14ac:dyDescent="0.2">
      <c r="A6849">
        <v>6788</v>
      </c>
      <c r="B6849" s="138">
        <f>'Expenditures 15-22'!I8</f>
        <v>3725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78100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359630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184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184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250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1324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1574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1893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1893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3651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757166</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464782</v>
      </c>
      <c r="D6983" s="2" t="str">
        <f t="shared" si="108"/>
        <v>Error?</v>
      </c>
    </row>
    <row r="6984" spans="1:4" x14ac:dyDescent="0.2">
      <c r="A6984">
        <v>6923</v>
      </c>
      <c r="B6984" s="138">
        <f>'Expenditures 15-22'!K86</f>
        <v>464782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464782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1120447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19241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19241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19241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115738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19241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183915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4027</v>
      </c>
      <c r="D7073" s="2" t="str">
        <f t="shared" si="109"/>
        <v>Error?</v>
      </c>
    </row>
    <row r="7074" spans="1:4" x14ac:dyDescent="0.2">
      <c r="A7074">
        <v>7013</v>
      </c>
      <c r="B7074" s="138">
        <f>'Expenditures 15-22'!K216</f>
        <v>4027</v>
      </c>
      <c r="D7074" s="2" t="str">
        <f t="shared" si="109"/>
        <v>Error?</v>
      </c>
    </row>
    <row r="7075" spans="1:4" x14ac:dyDescent="0.2">
      <c r="A7075">
        <v>7014</v>
      </c>
      <c r="B7075" s="138">
        <f>'Expenditures 15-22'!D218</f>
        <v>2354</v>
      </c>
      <c r="D7075" s="2" t="str">
        <f t="shared" si="109"/>
        <v>Error?</v>
      </c>
    </row>
    <row r="7076" spans="1:4" x14ac:dyDescent="0.2">
      <c r="A7076">
        <v>7015</v>
      </c>
      <c r="B7076" s="138">
        <f>'Expenditures 15-22'!K218</f>
        <v>2354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3552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3552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33648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33648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404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6062</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11697</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18163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14097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14097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97979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6062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11697</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115738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97979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6062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11697</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115738</v>
      </c>
      <c r="D7224" s="2" t="str">
        <f t="shared" si="111"/>
        <v>Error?</v>
      </c>
    </row>
    <row r="7225" spans="1:4" x14ac:dyDescent="0.2">
      <c r="A7225">
        <v>7164</v>
      </c>
      <c r="B7225" s="138">
        <f>'Expenditures 15-22'!K343</f>
        <v>68177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38941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3451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58195</v>
      </c>
      <c r="D7251" s="2" t="str">
        <f t="shared" si="112"/>
        <v>Error?</v>
      </c>
    </row>
    <row r="7252" spans="1:4" x14ac:dyDescent="0.2">
      <c r="A7252">
        <f t="shared" si="113"/>
        <v>7191</v>
      </c>
      <c r="B7252" s="138">
        <f>'Expenditures 15-22'!D9</f>
        <v>19905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1151385</v>
      </c>
      <c r="D7624" s="2" t="str">
        <f t="shared" si="124"/>
        <v>Error?</v>
      </c>
      <c r="E7624" s="2" t="s">
        <v>19</v>
      </c>
    </row>
    <row r="7625" spans="1:5" x14ac:dyDescent="0.2">
      <c r="A7625">
        <f t="shared" si="123"/>
        <v>7564</v>
      </c>
      <c r="B7625" s="138">
        <f>'Cap Outlay Deprec 26'!I17</f>
        <v>115138.5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1235943.5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800000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46278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46278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1091090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800000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99721</v>
      </c>
      <c r="D7759" s="2" t="str">
        <f t="shared" si="127"/>
        <v>Error?</v>
      </c>
      <c r="E7759" s="4" t="s">
        <v>1400</v>
      </c>
    </row>
    <row r="7760" spans="1:6" x14ac:dyDescent="0.2">
      <c r="A7760">
        <v>7699</v>
      </c>
      <c r="B7760" s="138">
        <f>'Aud Quest 2'!J90</f>
        <v>99721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426915.54</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351915.54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Skokie SD 73-5</v>
      </c>
      <c r="B7" s="2404"/>
      <c r="C7" s="2404"/>
      <c r="D7" s="2441"/>
      <c r="E7" s="2442">
        <f>COVER!A13</f>
        <v>5016073502</v>
      </c>
      <c r="F7" s="2443"/>
      <c r="G7" s="2410" t="str">
        <f>COVER!T23</f>
        <v>066-005142</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EDER, CASELLA &amp; CO</v>
      </c>
      <c r="H9" s="2417"/>
      <c r="I9" s="2417"/>
      <c r="J9" s="2417"/>
      <c r="K9" s="2417"/>
      <c r="L9" s="2418"/>
    </row>
    <row r="10" spans="1:29" ht="13.5" customHeight="1" x14ac:dyDescent="0.2">
      <c r="A10" s="2400" t="str">
        <f>COVER!A38</f>
        <v>KATE DONEGAN</v>
      </c>
      <c r="B10" s="2401"/>
      <c r="C10" s="2401"/>
      <c r="D10" s="2401"/>
      <c r="E10" s="2401"/>
      <c r="F10" s="2402"/>
      <c r="G10" s="2416" t="str">
        <f>COVER!T17</f>
        <v>5400 WEST ELM STREET, SUITE 203</v>
      </c>
      <c r="H10" s="2429"/>
      <c r="I10" s="2429"/>
      <c r="J10" s="2429"/>
      <c r="K10" s="2429"/>
      <c r="L10" s="2430"/>
    </row>
    <row r="11" spans="1:29" ht="13.5" customHeight="1" x14ac:dyDescent="0.2">
      <c r="A11" s="1185" t="s">
        <v>1599</v>
      </c>
      <c r="B11" s="1186"/>
      <c r="C11" s="1187"/>
      <c r="D11" s="1192"/>
      <c r="E11" s="1187"/>
      <c r="F11" s="1191"/>
      <c r="G11" s="2416" t="str">
        <f>COVER!T19</f>
        <v xml:space="preserve">MCHENRY </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CPAS@EDERCASELLA.COM</v>
      </c>
      <c r="J13" s="2438"/>
      <c r="K13" s="2438"/>
      <c r="L13" s="2439"/>
    </row>
    <row r="14" spans="1:29" ht="13.5" customHeight="1" x14ac:dyDescent="0.2">
      <c r="A14" s="2416" t="str">
        <f>COVER!A19</f>
        <v>800 EAST PRAIRIE ROAD</v>
      </c>
      <c r="B14" s="2429"/>
      <c r="C14" s="2429"/>
      <c r="D14" s="2429"/>
      <c r="E14" s="2429"/>
      <c r="F14" s="2430"/>
      <c r="G14" s="1196" t="s">
        <v>1247</v>
      </c>
      <c r="H14" s="1194"/>
      <c r="I14" s="1194"/>
      <c r="J14" s="1194"/>
      <c r="K14" s="1194"/>
      <c r="L14" s="1195"/>
    </row>
    <row r="15" spans="1:29" ht="13.5" customHeight="1" x14ac:dyDescent="0.2">
      <c r="A15" s="2416" t="str">
        <f>COVER!A21</f>
        <v>SKOKIE</v>
      </c>
      <c r="B15" s="2429"/>
      <c r="C15" s="2429"/>
      <c r="D15" s="2429"/>
      <c r="E15" s="2429"/>
      <c r="F15" s="2430"/>
      <c r="G15" s="2426" t="str">
        <f>COVER!T15</f>
        <v>CHERYDEN JUERGENSEN</v>
      </c>
      <c r="H15" s="2427"/>
      <c r="I15" s="2427"/>
      <c r="J15" s="2427"/>
      <c r="K15" s="2427"/>
      <c r="L15" s="2428"/>
    </row>
    <row r="16" spans="1:29" ht="12.2" customHeight="1" x14ac:dyDescent="0.2">
      <c r="A16" s="2406">
        <f>COVER!A25</f>
        <v>60076</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815-344-1300</v>
      </c>
      <c r="H18" s="2404"/>
      <c r="I18" s="2404"/>
      <c r="J18" s="2404"/>
      <c r="K18" s="2403" t="str">
        <f>COVER!X21</f>
        <v>815-344-1320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 zoomScaleNormal="100"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Skokie SD 73-5</v>
      </c>
      <c r="B1" s="2440"/>
      <c r="C1" s="2440"/>
      <c r="D1" s="2440"/>
    </row>
    <row r="2" spans="1:11" s="1215" customFormat="1" ht="12.75" x14ac:dyDescent="0.2">
      <c r="A2" s="2445">
        <f>'Single Audit Cover'!E7</f>
        <v>5016073502</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Skokie SD 73-5</v>
      </c>
      <c r="B1" s="2448"/>
      <c r="C1" s="2448"/>
      <c r="D1" s="2448"/>
      <c r="E1" s="2448"/>
    </row>
    <row r="2" spans="1:5" x14ac:dyDescent="0.2">
      <c r="A2" s="2449">
        <f>'Single Audit Cover'!E7</f>
        <v>5016073502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436458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28045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464503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464503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464503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Skokie SD 73-5</v>
      </c>
      <c r="B1" s="2453"/>
      <c r="C1" s="2453"/>
      <c r="D1" s="2453"/>
      <c r="E1" s="2453"/>
      <c r="F1" s="2453"/>
    </row>
    <row r="2" spans="1:7" ht="13.5" customHeight="1" x14ac:dyDescent="0.2">
      <c r="A2" s="2454">
        <f>'Single Audit Cover'!E7</f>
        <v>5016073502</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Skokie SD 73-5</v>
      </c>
      <c r="C1" s="2465"/>
      <c r="D1" s="2465"/>
      <c r="E1" s="2465"/>
      <c r="F1" s="2465"/>
      <c r="G1" s="2465"/>
      <c r="H1" s="2465"/>
      <c r="I1" s="2465"/>
      <c r="J1" s="2465"/>
      <c r="K1" s="2465"/>
      <c r="L1" s="2465"/>
      <c r="M1" s="2465"/>
    </row>
    <row r="2" spans="2:14" ht="15" x14ac:dyDescent="0.2">
      <c r="B2" s="2454">
        <f>'Single Audit Cover'!E7</f>
        <v>5016073502</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Skokie SD 73-5</v>
      </c>
      <c r="C1" s="2473"/>
      <c r="D1" s="2473"/>
      <c r="E1" s="2473"/>
      <c r="F1" s="2473"/>
      <c r="G1" s="2473"/>
      <c r="H1" s="2473"/>
      <c r="I1" s="2473"/>
      <c r="J1" s="1422"/>
    </row>
    <row r="2" spans="2:10" s="317" customFormat="1" ht="12.75" customHeight="1" x14ac:dyDescent="0.2">
      <c r="B2" s="2474">
        <f>'Single Audit Cover'!E7</f>
        <v>5016073502</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Skokie SD 73-5</v>
      </c>
      <c r="C1" s="2472"/>
      <c r="D1" s="2472"/>
      <c r="E1" s="2472"/>
      <c r="F1" s="2472"/>
      <c r="G1" s="2472"/>
      <c r="H1" s="2472"/>
      <c r="I1" s="2472"/>
      <c r="J1" s="2472"/>
      <c r="K1" s="2472"/>
      <c r="L1" s="1374"/>
      <c r="M1" s="1374"/>
    </row>
    <row r="2" spans="1:13" ht="12" customHeight="1" x14ac:dyDescent="0.2">
      <c r="B2" s="2474">
        <f>'Single Audit Cover'!E7</f>
        <v>5016073502</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Skokie SD 73-5</v>
      </c>
      <c r="C1" s="2499"/>
      <c r="D1" s="2499"/>
      <c r="E1" s="2499"/>
      <c r="F1" s="2499"/>
      <c r="G1" s="2499"/>
      <c r="H1" s="2499"/>
      <c r="I1" s="2499"/>
      <c r="J1" s="2499"/>
      <c r="K1" s="2499"/>
      <c r="L1" s="1465"/>
    </row>
    <row r="2" spans="1:12" ht="12.75" customHeight="1" x14ac:dyDescent="0.2">
      <c r="B2" s="2500">
        <f>'Single Audit Cover'!E7</f>
        <v>5016073502</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Skokie SD 73-5</v>
      </c>
      <c r="C1" s="2472"/>
      <c r="D1" s="2472"/>
      <c r="E1" s="1491"/>
    </row>
    <row r="2" spans="2:5" s="1282" customFormat="1" ht="12.75" customHeight="1" x14ac:dyDescent="0.2">
      <c r="B2" s="2474">
        <f>'Single Audit Cover'!E7</f>
        <v>5016073502</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http://schemas.microsoft.com/sharepoint/v3"/>
    <ds:schemaRef ds:uri="http://schemas.microsoft.com/office/2006/documentManagement/types"/>
    <ds:schemaRef ds:uri="http://purl.org/dc/elements/1.1/"/>
    <ds:schemaRef ds:uri="6ce3111e-7420-4802-b50a-75d4e9a0b980"/>
    <ds:schemaRef ds:uri="http://www.w3.org/XML/1998/namespace"/>
    <ds:schemaRef ds:uri="http://schemas.microsoft.com/office/infopath/2007/PartnerControls"/>
    <ds:schemaRef ds:uri="d21dc803-237d-4c68-8692-8d731fd29118"/>
    <ds:schemaRef ds:uri="http://schemas.openxmlformats.org/package/2006/metadata/core-properties"/>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2018-12-04T23:25:36Z</cp:lastPrinted>
  <dcterms:created xsi:type="dcterms:W3CDTF">2003-10-29T19:06:34Z</dcterms:created>
  <dcterms:modified xsi:type="dcterms:W3CDTF">2018-12-13T14:25:09Z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AFR and Components</vt:lpwstr>
  </property>
  <property fmtid="{D5CDD505-2E9C-101B-9397-08002B2CF9AE}" pid="5" name="tabIndex">
    <vt:lpwstr>3</vt:lpwstr>
  </property>
  <property fmtid="{D5CDD505-2E9C-101B-9397-08002B2CF9AE}" pid="6" name="workpaperIndex">
    <vt:lpwstr/>
  </property>
</Properties>
</file>