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19215" windowHeight="5595" tabRatio="959" firstSheet="7" activeTab="1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2018 SEFA" sheetId="183" r:id="rId29"/>
    <sheet name=" SEFA" sheetId="179" state="hidden"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H15" i="145" l="1"/>
  <c r="H14" i="145"/>
  <c r="H13" i="145"/>
  <c r="H12" i="145"/>
  <c r="G39" i="3" l="1"/>
  <c r="D35" i="171" l="1"/>
  <c r="L19" i="183"/>
  <c r="I20" i="183"/>
  <c r="L20" i="183"/>
  <c r="L21" i="183"/>
  <c r="L24" i="183" s="1"/>
  <c r="E24" i="183"/>
  <c r="F24" i="183"/>
  <c r="H24" i="183"/>
  <c r="I24" i="183"/>
  <c r="K24" i="183"/>
  <c r="M24" i="183"/>
  <c r="L28" i="183"/>
  <c r="F32" i="183"/>
  <c r="I32" i="183"/>
  <c r="K32" i="183"/>
  <c r="L32" i="183"/>
  <c r="M32" i="183"/>
  <c r="L37" i="183"/>
  <c r="L53" i="183" s="1"/>
  <c r="L38" i="183"/>
  <c r="L39" i="183"/>
  <c r="L43" i="183"/>
  <c r="L44" i="183"/>
  <c r="L45" i="183"/>
  <c r="L48" i="183"/>
  <c r="I49" i="183"/>
  <c r="L49" i="183"/>
  <c r="L50" i="183"/>
  <c r="E53" i="183"/>
  <c r="F53" i="183"/>
  <c r="H53" i="183"/>
  <c r="I53" i="183"/>
  <c r="K53" i="183"/>
  <c r="M53" i="183"/>
  <c r="L63" i="183"/>
  <c r="L64" i="183"/>
  <c r="I65" i="183"/>
  <c r="L65" i="183"/>
  <c r="L66" i="183"/>
  <c r="L71" i="183" s="1"/>
  <c r="L67" i="183"/>
  <c r="L68" i="183"/>
  <c r="E71" i="183"/>
  <c r="F71" i="183"/>
  <c r="H71" i="183"/>
  <c r="I71" i="183"/>
  <c r="K71" i="183"/>
  <c r="M71" i="183"/>
  <c r="L75" i="183"/>
  <c r="L76" i="183"/>
  <c r="L80" i="183" s="1"/>
  <c r="L88" i="183" s="1"/>
  <c r="L77" i="183"/>
  <c r="E80" i="183"/>
  <c r="F80" i="183"/>
  <c r="H80" i="183"/>
  <c r="I80" i="183"/>
  <c r="I88" i="183" s="1"/>
  <c r="K80" i="183"/>
  <c r="K88" i="183" s="1"/>
  <c r="M80" i="183"/>
  <c r="L84" i="183"/>
  <c r="L85" i="183"/>
  <c r="L86" i="183"/>
  <c r="E88" i="183"/>
  <c r="F88" i="183"/>
  <c r="H88" i="183"/>
  <c r="L95" i="183"/>
  <c r="L96" i="183"/>
  <c r="L98" i="183"/>
  <c r="L108" i="183" s="1"/>
  <c r="L129" i="183" s="1"/>
  <c r="I99" i="183"/>
  <c r="I108" i="183" s="1"/>
  <c r="I129" i="183" s="1"/>
  <c r="L99" i="183"/>
  <c r="H100" i="183"/>
  <c r="L100" i="183"/>
  <c r="L103" i="183"/>
  <c r="I104" i="183"/>
  <c r="L104" i="183"/>
  <c r="H105" i="183"/>
  <c r="H108" i="183" s="1"/>
  <c r="H129" i="183" s="1"/>
  <c r="L105" i="183"/>
  <c r="E108" i="183"/>
  <c r="E129" i="183" s="1"/>
  <c r="F108" i="183"/>
  <c r="K108" i="183"/>
  <c r="L111" i="183"/>
  <c r="I112" i="183"/>
  <c r="I116" i="183" s="1"/>
  <c r="L112" i="183"/>
  <c r="L116" i="183" s="1"/>
  <c r="L113" i="183"/>
  <c r="E116" i="183"/>
  <c r="F116" i="183"/>
  <c r="H116" i="183"/>
  <c r="K116" i="183"/>
  <c r="L125" i="183"/>
  <c r="L126" i="183"/>
  <c r="L127" i="183"/>
  <c r="F129" i="183"/>
  <c r="K129" i="183"/>
  <c r="L132" i="183"/>
  <c r="E135" i="183"/>
  <c r="F135" i="183"/>
  <c r="H135" i="183"/>
  <c r="I135" i="183"/>
  <c r="J135" i="183"/>
  <c r="K135" i="183"/>
  <c r="L135" i="183"/>
  <c r="L139" i="183"/>
  <c r="H140" i="183"/>
  <c r="L140" i="183" s="1"/>
  <c r="L150" i="183" s="1"/>
  <c r="L141" i="183"/>
  <c r="L145" i="183"/>
  <c r="L146" i="183"/>
  <c r="L147" i="183"/>
  <c r="E150" i="183"/>
  <c r="E159" i="183" s="1"/>
  <c r="E164" i="183" s="1"/>
  <c r="F150" i="183"/>
  <c r="H150" i="183"/>
  <c r="H159" i="183" s="1"/>
  <c r="I150" i="183"/>
  <c r="K150" i="183"/>
  <c r="L154" i="183"/>
  <c r="L155" i="183"/>
  <c r="L159" i="183" s="1"/>
  <c r="L164" i="183" s="1"/>
  <c r="L156" i="183"/>
  <c r="F159" i="183"/>
  <c r="I159" i="183"/>
  <c r="K159" i="183"/>
  <c r="F164" i="183"/>
  <c r="I164" i="183" l="1"/>
  <c r="K164" i="183"/>
  <c r="H164" i="18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l="1"/>
  <c r="D81" i="36" s="1"/>
  <c r="F74" i="34"/>
  <c r="F60" i="34"/>
  <c r="F59"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B2" i="174"/>
  <c r="A2" i="170"/>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c r="B5117" i="106"/>
  <c r="D5117" i="106"/>
  <c r="B5118" i="106"/>
  <c r="D5118" i="106" s="1"/>
  <c r="B5119" i="106"/>
  <c r="D5119" i="106"/>
  <c r="B5122" i="106"/>
  <c r="D5122" i="106"/>
  <c r="B5123" i="106"/>
  <c r="D5123" i="106"/>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s="1"/>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F19" i="7" l="1"/>
  <c r="B1807" i="106" s="1"/>
  <c r="D1807" i="106" s="1"/>
  <c r="K350" i="29"/>
  <c r="G352" i="29"/>
  <c r="C342" i="29"/>
  <c r="B7216" i="106" s="1"/>
  <c r="D7216" i="106" s="1"/>
  <c r="B1410" i="106"/>
  <c r="D1410" i="106" s="1"/>
  <c r="K184" i="29"/>
  <c r="F13" i="4" s="1"/>
  <c r="B2596" i="106" s="1"/>
  <c r="D2596" i="106" s="1"/>
  <c r="E29" i="108"/>
  <c r="B1329" i="106"/>
  <c r="D1329" i="106" s="1"/>
  <c r="F61" i="34"/>
  <c r="C129" i="29"/>
  <c r="L367" i="29"/>
  <c r="L342" i="29"/>
  <c r="L312" i="29"/>
  <c r="H4" i="4"/>
  <c r="B2655" i="106" s="1"/>
  <c r="D2655" i="106" s="1"/>
  <c r="G109" i="5"/>
  <c r="B6024" i="106" s="1"/>
  <c r="D6024" i="106" s="1"/>
  <c r="D109" i="5"/>
  <c r="C173" i="5"/>
  <c r="B5223" i="106" s="1"/>
  <c r="D5223" i="106" s="1"/>
  <c r="C109" i="5"/>
  <c r="B5121" i="106" s="1"/>
  <c r="D512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L16" i="11"/>
  <c r="B2061" i="106" s="1"/>
  <c r="D206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H8" i="4"/>
  <c r="D274" i="5"/>
  <c r="B7270" i="106"/>
  <c r="B3649" i="106" l="1"/>
  <c r="D3649" i="106" s="1"/>
  <c r="G367" i="29"/>
  <c r="B3650" i="106" s="1"/>
  <c r="D3650" i="106" s="1"/>
  <c r="B3670" i="106"/>
  <c r="D3670" i="106" s="1"/>
  <c r="K352" i="29"/>
  <c r="K342" i="29"/>
  <c r="F13" i="34" s="1"/>
  <c r="B1317" i="106"/>
  <c r="D1317" i="106" s="1"/>
  <c r="C114" i="29"/>
  <c r="B757" i="106" s="1"/>
  <c r="D757" i="106" s="1"/>
  <c r="G4" i="4"/>
  <c r="B2603" i="106" s="1"/>
  <c r="D2603" i="106" s="1"/>
  <c r="F6" i="4"/>
  <c r="B2593" i="106" s="1"/>
  <c r="D2593" i="106" s="1"/>
  <c r="B5356" i="106"/>
  <c r="D5356" i="106" s="1"/>
  <c r="D4" i="4"/>
  <c r="B2564" i="106" s="1"/>
  <c r="D2564" i="106" s="1"/>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K13" i="4" l="1"/>
  <c r="B3572" i="106" s="1"/>
  <c r="D3572" i="106" s="1"/>
  <c r="B3672" i="106"/>
  <c r="D3672" i="106" s="1"/>
  <c r="K367" i="29"/>
  <c r="B7224" i="106"/>
  <c r="D7224" i="106" s="1"/>
  <c r="J17" i="4"/>
  <c r="J20" i="4" s="1"/>
  <c r="G41" i="108"/>
  <c r="G44" i="108" s="1"/>
  <c r="G45" i="108" s="1"/>
  <c r="E41" i="108"/>
  <c r="E44" i="108" s="1"/>
  <c r="E45" i="108" s="1"/>
  <c r="F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authors>
    <author>McGladrey</author>
  </authors>
  <commentList>
    <comment ref="A132" authorId="0" shapeId="0">
      <text>
        <r>
          <rPr>
            <b/>
            <sz val="9"/>
            <color indexed="81"/>
            <rFont val="Tahoma"/>
            <family val="2"/>
          </rPr>
          <t>McGladrey:</t>
        </r>
        <r>
          <rPr>
            <sz val="9"/>
            <color indexed="81"/>
            <rFont val="Tahoma"/>
            <family val="2"/>
          </rPr>
          <t xml:space="preserve">
Moved to porper cliuster 10.555 on Final SEFA and Major program determination worksheet</t>
        </r>
      </text>
    </comment>
  </commentList>
</comments>
</file>

<file path=xl/sharedStrings.xml><?xml version="1.0" encoding="utf-8"?>
<sst xmlns="http://schemas.openxmlformats.org/spreadsheetml/2006/main" count="5617" uniqueCount="2385">
  <si>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</si>
  <si>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</si>
  <si>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</si>
  <si>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</si>
  <si>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</si>
  <si>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</si>
  <si>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</si>
  <si>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</si>
  <si>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</si>
  <si>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</si>
  <si>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</si>
  <si>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</si>
  <si>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</si>
  <si>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</si>
  <si>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</si>
  <si>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</si>
  <si>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</si>
  <si>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</si>
  <si>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</si>
  <si>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</si>
  <si>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</si>
  <si>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</si>
  <si>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</si>
  <si>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</si>
  <si>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</si>
  <si>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</si>
  <si>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</si>
  <si>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</si>
  <si>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</si>
  <si>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</si>
  <si>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</si>
  <si>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</si>
  <si>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</si>
  <si>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</si>
  <si>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</si>
  <si>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</si>
  <si>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</si>
  <si>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</si>
  <si>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</si>
  <si>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</si>
  <si>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</si>
  <si>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</si>
  <si>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</si>
  <si>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</si>
  <si>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</si>
  <si>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</si>
  <si>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</si>
  <si>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</si>
  <si>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</si>
  <si>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</si>
  <si>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</si>
  <si>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</si>
  <si>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</si>
  <si>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</si>
  <si>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</si>
  <si>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</si>
  <si>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</si>
  <si>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</si>
  <si>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</si>
  <si>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</si>
  <si>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</si>
  <si>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</si>
  <si>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</si>
  <si>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</si>
  <si>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</si>
  <si>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</si>
  <si>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</si>
  <si>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</si>
  <si>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</si>
  <si>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</si>
  <si>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</si>
  <si>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</si>
  <si>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</si>
  <si>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</si>
  <si>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</si>
  <si>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</si>
  <si>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</si>
  <si>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</si>
  <si>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</si>
  <si>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</si>
  <si>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</si>
  <si>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</si>
  <si>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</si>
  <si>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</si>
  <si>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</si>
  <si>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</si>
  <si>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</si>
  <si>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</si>
  <si>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</si>
  <si>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</si>
  <si>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</si>
  <si>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</si>
  <si>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</si>
  <si>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</si>
  <si>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</si>
  <si>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</si>
  <si>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</si>
  <si>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</si>
  <si>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</si>
  <si>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</si>
  <si>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</si>
  <si>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</si>
  <si>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</si>
  <si>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</si>
  <si>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</si>
  <si>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</si>
  <si>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</si>
  <si>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</si>
  <si>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</si>
  <si>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</si>
  <si>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</si>
  <si>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</si>
  <si>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</si>
  <si>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</si>
  <si>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</si>
  <si>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</si>
  <si>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</si>
  <si>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</si>
  <si>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</si>
  <si>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</si>
  <si>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</si>
  <si>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</si>
  <si>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</si>
  <si>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</si>
  <si>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</si>
  <si>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</si>
  <si>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</si>
  <si>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</si>
  <si>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</si>
  <si>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</si>
  <si>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</si>
  <si>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</si>
  <si>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</si>
  <si>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</si>
  <si>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</si>
  <si>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</si>
  <si>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</si>
  <si>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</si>
  <si>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</si>
  <si>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</si>
  <si>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</si>
  <si>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</si>
  <si>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</si>
  <si>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</si>
  <si>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</si>
  <si>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</si>
  <si>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</si>
  <si>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</si>
  <si>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</si>
  <si>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</si>
  <si>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</si>
  <si>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</si>
  <si>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</si>
  <si>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</si>
  <si>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</si>
  <si>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</si>
  <si>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</si>
  <si>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</si>
  <si>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</si>
  <si>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</si>
  <si>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</si>
  <si>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</si>
  <si>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</si>
  <si>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</si>
  <si>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</si>
  <si>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</si>
  <si>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</si>
  <si>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</si>
  <si>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</si>
  <si>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</si>
  <si>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</si>
  <si>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</si>
  <si>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</si>
  <si>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</si>
  <si>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</si>
  <si>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</si>
  <si>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</si>
  <si>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</si>
  <si>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</si>
  <si>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</si>
  <si>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</si>
  <si>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</si>
  <si>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</si>
  <si>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</si>
  <si>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</si>
  <si>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</si>
  <si>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</si>
  <si>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</si>
  <si>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</si>
  <si>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</si>
  <si>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</si>
  <si>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</si>
  <si>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</si>
  <si>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</si>
  <si>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</si>
  <si>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</si>
  <si>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</si>
  <si>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</si>
  <si>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</si>
  <si>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</si>
  <si>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</si>
  <si>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</si>
  <si>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</si>
  <si>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</si>
  <si>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</si>
  <si>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</si>
  <si>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</si>
  <si>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</si>
  <si>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</si>
  <si>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</si>
  <si>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</si>
  <si>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</si>
  <si>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</si>
  <si>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</si>
  <si>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</si>
  <si>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</si>
  <si>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</si>
  <si>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</si>
  <si>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</si>
  <si>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</si>
  <si>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</si>
  <si>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</si>
  <si>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</si>
  <si>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</si>
  <si>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</si>
  <si>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</si>
  <si>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</si>
  <si>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</si>
  <si>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</si>
  <si>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</si>
  <si>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</si>
  <si>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</si>
  <si>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</si>
  <si>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</si>
  <si>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</si>
  <si>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</si>
  <si>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</si>
  <si>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</si>
  <si>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</si>
  <si>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</si>
  <si>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</si>
  <si>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</si>
  <si>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</si>
  <si>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</si>
  <si>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</si>
  <si>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</si>
  <si>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</si>
  <si>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</si>
  <si>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</si>
  <si>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</si>
  <si>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</si>
  <si>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</si>
  <si>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</si>
  <si>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</si>
  <si>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</si>
  <si>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</si>
  <si>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</si>
  <si>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</si>
  <si>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</si>
  <si>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</si>
  <si>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</si>
  <si>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</si>
  <si>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</si>
  <si>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</si>
  <si>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</si>
  <si>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</si>
  <si>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</si>
  <si>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</si>
  <si>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</si>
  <si>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</si>
  <si>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</si>
  <si>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</si>
  <si>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</si>
  <si>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</si>
  <si>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</si>
  <si>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</si>
  <si>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</si>
  <si>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</si>
  <si>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</si>
  <si>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</si>
  <si>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</si>
  <si>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</si>
  <si>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</si>
  <si>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</si>
  <si>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</si>
  <si>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</si>
  <si>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</si>
  <si>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</si>
  <si>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</si>
  <si>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</si>
  <si>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</si>
  <si>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</si>
  <si>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</si>
  <si>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</si>
  <si>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</si>
  <si>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</si>
  <si>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</si>
  <si>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</si>
  <si>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</si>
  <si>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</si>
  <si>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</si>
  <si>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</si>
  <si>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</si>
  <si>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</si>
  <si>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</si>
  <si>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</si>
  <si>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</si>
  <si>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</si>
  <si>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</si>
  <si>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</si>
  <si>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</si>
  <si>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</si>
  <si>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</si>
  <si>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</si>
  <si>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</si>
  <si>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</si>
  <si>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</si>
  <si>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</si>
  <si>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</si>
  <si>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</si>
  <si>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</si>
  <si>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</si>
  <si>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</si>
  <si>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</si>
  <si>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</si>
  <si>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</si>
  <si>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</si>
  <si>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</si>
  <si>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</si>
  <si>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</si>
  <si>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</si>
  <si>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</si>
  <si>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</si>
  <si>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</si>
  <si>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</si>
  <si>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</si>
  <si>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</si>
  <si>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</si>
  <si>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</si>
  <si>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</si>
  <si>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</si>
  <si>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</si>
  <si>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</si>
  <si>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</si>
  <si>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</si>
  <si>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</si>
  <si>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</si>
  <si>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</si>
  <si>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</si>
  <si>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</si>
  <si>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</si>
  <si>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</si>
  <si>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</si>
  <si>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</si>
  <si>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</si>
  <si>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</si>
  <si>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</si>
  <si>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</si>
  <si>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</si>
  <si>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</si>
  <si>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</si>
  <si>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</si>
  <si>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</si>
  <si>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</si>
  <si>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</si>
  <si>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</si>
  <si>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</si>
  <si>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</si>
  <si>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</si>
  <si>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</si>
  <si>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</si>
  <si>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</si>
  <si>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</si>
  <si>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</si>
  <si>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</si>
  <si>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</si>
  <si>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</si>
  <si>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</si>
  <si>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</si>
  <si>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</si>
  <si>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</si>
  <si>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</si>
  <si>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</si>
  <si>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</si>
  <si>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</si>
  <si>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</si>
  <si>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</si>
  <si>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</si>
  <si>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</si>
  <si>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</si>
  <si>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</si>
  <si>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</si>
  <si>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</si>
  <si>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</si>
  <si>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</si>
  <si>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</si>
  <si>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</si>
  <si>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</si>
  <si>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</si>
  <si>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</si>
  <si>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</si>
  <si>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</si>
  <si>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</si>
  <si>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</si>
  <si>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</si>
  <si>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</si>
  <si>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</si>
  <si>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</si>
  <si>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</si>
  <si>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</si>
  <si>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</si>
  <si>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</si>
  <si>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</si>
  <si>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</si>
  <si>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</si>
  <si>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</si>
  <si>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</si>
  <si>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</si>
  <si>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</si>
  <si>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</si>
  <si>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</si>
  <si>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</si>
  <si>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</si>
  <si>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</si>
  <si>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</si>
  <si>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</si>
  <si>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</si>
  <si>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</si>
  <si>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</si>
  <si>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</si>
  <si>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</si>
  <si>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</si>
  <si>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</si>
  <si>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</si>
  <si>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</si>
  <si>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</si>
  <si>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</si>
  <si>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</si>
  <si>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</si>
  <si>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</si>
  <si>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</si>
  <si>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</si>
  <si>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</si>
  <si>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</si>
  <si>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</si>
  <si>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</si>
  <si>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</si>
  <si>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</si>
  <si>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</si>
  <si>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</si>
  <si>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</si>
  <si>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</si>
  <si>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</si>
  <si>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</si>
  <si>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</si>
  <si>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</si>
  <si>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</si>
  <si>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</si>
  <si>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</si>
  <si>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</si>
  <si>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</si>
  <si>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</si>
  <si>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</si>
  <si>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</si>
  <si>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</si>
  <si>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</si>
  <si>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</si>
  <si>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</si>
  <si>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</si>
  <si>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</si>
  <si>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</si>
  <si>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</si>
  <si>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</si>
  <si>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</si>
  <si>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</si>
  <si>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</si>
  <si>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</si>
  <si>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</si>
  <si>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</si>
  <si>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</si>
  <si>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</si>
  <si>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</si>
  <si>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</si>
  <si>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</si>
  <si>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</si>
  <si>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</si>
  <si>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</si>
  <si>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</si>
  <si>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</si>
  <si>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</si>
  <si>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</si>
  <si>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</si>
  <si>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</si>
  <si>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</si>
  <si>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</si>
  <si>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</si>
  <si>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</si>
  <si>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</si>
  <si>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</si>
  <si>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</si>
  <si>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</si>
  <si>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</si>
  <si>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</si>
  <si>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</si>
  <si>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</si>
  <si>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</si>
  <si>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</si>
  <si>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</si>
  <si>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</si>
  <si>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</si>
  <si>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</si>
  <si>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</si>
  <si>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</si>
  <si>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</si>
  <si>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</si>
  <si>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</si>
  <si>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</si>
  <si>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</si>
  <si>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</si>
  <si>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</si>
  <si>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</si>
  <si>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</si>
  <si>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</si>
  <si>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</si>
  <si>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</si>
  <si>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</si>
  <si>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</si>
  <si>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</si>
  <si>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</si>
  <si>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</si>
  <si>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</si>
  <si>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</si>
  <si>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</si>
  <si>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</si>
  <si>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</si>
  <si>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</si>
  <si>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</si>
  <si>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</si>
  <si>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</si>
  <si>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</si>
  <si>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</si>
  <si>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</si>
  <si>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</si>
  <si>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</si>
  <si>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</si>
  <si>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</si>
  <si>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</si>
  <si>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</si>
  <si>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</si>
  <si>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</si>
  <si>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</si>
  <si>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</si>
  <si>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</si>
  <si>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</si>
  <si>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</si>
  <si>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</si>
  <si>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</si>
  <si>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</si>
  <si>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</si>
  <si>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</si>
  <si>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</si>
  <si>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</si>
  <si>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</si>
  <si>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</si>
  <si>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</si>
  <si>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</si>
  <si>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</si>
  <si>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</si>
  <si>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</si>
  <si>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</si>
  <si>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</si>
  <si>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</si>
  <si>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</si>
  <si>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</si>
  <si>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</si>
  <si>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</si>
  <si>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</si>
  <si>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</si>
  <si>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</si>
  <si>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</si>
  <si>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</si>
  <si>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</si>
  <si>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</si>
  <si>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</si>
  <si>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</si>
  <si>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</si>
  <si>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</si>
  <si>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</si>
  <si>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</si>
  <si>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</si>
  <si>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</si>
  <si>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</si>
  <si>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</si>
  <si>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</si>
  <si>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</si>
  <si>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</si>
  <si>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</si>
  <si>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</si>
  <si>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</si>
  <si>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</si>
  <si>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</si>
  <si>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</si>
  <si>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</si>
  <si>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</si>
  <si>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</si>
  <si>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</si>
  <si>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</si>
  <si>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</si>
  <si>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</si>
  <si>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</si>
  <si>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</si>
  <si>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</si>
  <si>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</si>
  <si>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</si>
  <si>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</si>
  <si>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</si>
  <si>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</si>
  <si>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</si>
  <si>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</si>
  <si>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</si>
  <si>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</si>
  <si>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</si>
  <si>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</si>
  <si>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</si>
  <si>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</si>
  <si>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</si>
  <si>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</si>
  <si>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</si>
  <si>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</si>
  <si>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</si>
  <si>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</si>
  <si>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</si>
  <si>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</si>
  <si>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</si>
  <si>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</si>
  <si>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</si>
  <si>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</si>
  <si>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</si>
  <si>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</si>
  <si>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</si>
  <si>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</si>
  <si>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</si>
  <si>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</si>
  <si>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</si>
  <si>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</si>
  <si>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</si>
  <si>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</si>
  <si>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</si>
  <si>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</si>
  <si>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</si>
  <si>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</si>
  <si>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</si>
  <si>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</si>
  <si>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</si>
  <si>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</si>
  <si>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</si>
  <si>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</si>
  <si>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</si>
  <si>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</si>
  <si>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</si>
  <si>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</si>
  <si>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</si>
  <si>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</si>
  <si>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</si>
  <si>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</si>
  <si>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</si>
  <si>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</si>
  <si>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</si>
  <si>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</si>
  <si>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</si>
  <si>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</si>
  <si>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</si>
  <si>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</si>
  <si>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</si>
  <si>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</si>
  <si>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</si>
  <si>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</si>
  <si>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</si>
  <si>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</si>
  <si>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</si>
  <si>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</si>
  <si>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</si>
  <si>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</si>
  <si>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</si>
  <si>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</si>
  <si>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</si>
  <si>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</si>
  <si>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</si>
  <si>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</si>
  <si>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</si>
  <si>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</si>
  <si>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</si>
  <si>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</si>
  <si>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</si>
  <si>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</si>
  <si>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</si>
  <si>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</si>
  <si>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</si>
  <si>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</si>
  <si>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</si>
  <si>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</si>
  <si>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</si>
  <si>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</si>
  <si>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</si>
  <si>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</si>
  <si>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</si>
  <si>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</si>
  <si>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</si>
  <si>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</si>
  <si>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</si>
  <si>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</si>
  <si>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</si>
  <si>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</si>
  <si>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</si>
  <si>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</si>
  <si>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</si>
  <si>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</si>
  <si>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</si>
  <si>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</si>
  <si>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</si>
  <si>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</si>
  <si>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</si>
  <si>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</si>
  <si>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</si>
  <si>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</si>
  <si>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</si>
  <si>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</si>
  <si>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</si>
  <si>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</si>
  <si>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</si>
  <si>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</si>
  <si>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</si>
  <si>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</si>
  <si>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</si>
  <si>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</si>
  <si>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</si>
  <si>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</si>
  <si>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</si>
  <si>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</si>
  <si>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</si>
  <si>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</si>
  <si>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</si>
  <si>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</si>
  <si>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</si>
  <si>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</si>
  <si>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</si>
  <si>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</si>
  <si>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</si>
  <si>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</si>
  <si>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</si>
  <si>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</si>
  <si>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</si>
  <si>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</si>
  <si>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</si>
  <si>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</si>
  <si>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</si>
  <si>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</si>
  <si>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</si>
  <si>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</si>
  <si>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</si>
  <si>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</si>
  <si>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</si>
  <si>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</si>
  <si>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</si>
  <si>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</si>
  <si>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</si>
  <si>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</si>
  <si>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</si>
  <si>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</si>
  <si>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</si>
  <si>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</si>
  <si>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</si>
  <si>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</si>
  <si>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</si>
  <si>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</si>
  <si>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</si>
  <si>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</si>
  <si>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</si>
  <si>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</si>
  <si>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</si>
  <si>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</si>
  <si>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</si>
  <si>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</si>
  <si>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</si>
  <si>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</si>
  <si>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</si>
  <si>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</si>
  <si>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</si>
  <si>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</si>
  <si>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</si>
  <si>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</si>
  <si>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</si>
  <si>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</si>
  <si>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</si>
  <si>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</si>
  <si>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</si>
  <si>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</si>
  <si>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</si>
  <si>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</si>
  <si>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</si>
  <si>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</si>
  <si>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</si>
  <si>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</si>
  <si>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</si>
  <si>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</si>
  <si>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</si>
  <si>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</si>
  <si>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</si>
  <si>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</si>
  <si>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</si>
  <si>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</si>
  <si>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</si>
  <si>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</si>
  <si>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</si>
  <si>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</si>
  <si>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</si>
  <si>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</si>
  <si>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</si>
  <si>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</si>
  <si>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</si>
  <si>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</si>
  <si>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</si>
  <si>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</si>
  <si>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</si>
  <si>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</si>
  <si>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</si>
  <si>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</si>
  <si>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</si>
  <si>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</si>
  <si>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</si>
  <si>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</si>
  <si>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</si>
  <si>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</si>
  <si>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</si>
  <si>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</si>
  <si>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</si>
  <si>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</si>
  <si>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</si>
  <si>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</si>
  <si>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</si>
  <si>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</si>
  <si>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</si>
  <si>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</si>
  <si>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</si>
  <si>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</si>
  <si>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</si>
  <si>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</si>
  <si>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</si>
  <si>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</si>
  <si>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</si>
  <si>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</si>
  <si>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</si>
  <si>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</si>
  <si>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</si>
  <si>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</si>
  <si>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</si>
  <si>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</si>
  <si>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</si>
  <si>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</si>
  <si>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</si>
  <si>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</si>
  <si>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</si>
  <si>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</si>
  <si>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</si>
  <si>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</si>
  <si>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</si>
  <si>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</si>
  <si>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</si>
  <si>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</si>
  <si>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</si>
  <si>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</si>
  <si>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</si>
  <si>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</si>
  <si>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</si>
  <si>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</si>
  <si>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</si>
  <si>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</si>
  <si>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</si>
  <si>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</si>
  <si>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</si>
  <si>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</si>
  <si>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</si>
  <si>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</si>
  <si>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</si>
  <si>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</si>
  <si>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</si>
  <si>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</si>
  <si>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</si>
  <si>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</si>
  <si>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</si>
  <si>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</si>
  <si>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</si>
  <si>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</si>
  <si>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</si>
  <si>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</si>
  <si>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</si>
  <si>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</si>
  <si>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</si>
  <si>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</si>
  <si>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</si>
  <si>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</si>
  <si>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</si>
  <si>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</si>
  <si>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</si>
  <si>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</si>
  <si>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</si>
  <si>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</si>
  <si>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</si>
  <si>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</si>
  <si>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</si>
  <si>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</si>
  <si>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</si>
  <si>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</si>
  <si>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</si>
  <si>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</si>
  <si>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</si>
  <si>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</si>
  <si>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</si>
  <si>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</si>
  <si>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</si>
  <si>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</si>
  <si>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</si>
  <si>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</si>
  <si>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</si>
  <si>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</si>
  <si>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</si>
  <si>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</si>
  <si>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</si>
  <si>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</si>
  <si>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</si>
  <si>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</si>
  <si>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</si>
  <si>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</si>
  <si>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</si>
  <si>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</si>
  <si>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</si>
  <si>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</si>
  <si>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</si>
  <si>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</si>
  <si>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</si>
  <si>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</si>
  <si>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</si>
  <si>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</si>
  <si>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</si>
  <si>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</si>
  <si>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</si>
  <si>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</si>
  <si>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</si>
  <si>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</si>
  <si>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</si>
  <si>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</si>
  <si>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</si>
  <si>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</si>
  <si>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</si>
  <si>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</si>
  <si>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</si>
  <si>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</si>
  <si>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</si>
  <si>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</si>
  <si>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</si>
  <si>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</si>
  <si>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</si>
  <si>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</si>
  <si>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</si>
  <si>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</si>
  <si>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</si>
  <si>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</si>
  <si>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</si>
  <si>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</si>
  <si>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</si>
  <si>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</si>
  <si>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</si>
  <si>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</si>
  <si>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</si>
  <si>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</si>
  <si>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</si>
  <si>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</si>
  <si>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</si>
  <si>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</si>
  <si>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</si>
  <si>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</si>
  <si>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</si>
  <si>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</si>
  <si>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</si>
  <si>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</si>
  <si>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</si>
  <si>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</si>
  <si>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</si>
  <si>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</si>
  <si>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</si>
  <si>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</si>
  <si>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</si>
  <si>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</si>
  <si>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</si>
  <si>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</si>
  <si>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</si>
  <si>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</si>
  <si>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</si>
  <si>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</si>
  <si>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</si>
  <si>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</si>
  <si>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</si>
  <si>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</si>
  <si>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</si>
  <si>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</si>
  <si>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</si>
  <si>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</si>
  <si>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</si>
  <si>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</si>
  <si>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</si>
  <si>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</si>
  <si>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</si>
  <si>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</si>
  <si>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</si>
  <si>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</si>
  <si>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</si>
  <si>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</si>
  <si>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</si>
  <si>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</si>
  <si>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</si>
  <si>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</si>
  <si>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</si>
  <si>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</si>
  <si>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</si>
  <si>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</si>
  <si>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</si>
  <si>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</si>
  <si>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</si>
  <si>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</si>
  <si>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</si>
  <si>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</si>
  <si>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</si>
  <si>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</si>
  <si>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</si>
  <si>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</si>
  <si>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</si>
  <si>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</si>
  <si>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</si>
  <si>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</si>
  <si>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</si>
  <si>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</si>
  <si>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</si>
  <si>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</si>
  <si>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</si>
  <si>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</si>
  <si>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</si>
  <si>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</si>
  <si>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</si>
  <si>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</si>
  <si>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</si>
  <si>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</si>
  <si>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</si>
  <si>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</si>
  <si>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</si>
  <si>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</si>
  <si>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</si>
  <si>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</si>
  <si>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</si>
  <si>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</si>
  <si>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</si>
  <si>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</si>
  <si>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</si>
  <si>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</si>
  <si>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</si>
  <si>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</si>
  <si>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</si>
  <si>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</si>
  <si>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</si>
  <si>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</si>
  <si>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</si>
  <si>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</si>
  <si>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</si>
  <si>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</si>
  <si>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</si>
  <si>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</si>
  <si>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</si>
  <si>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</si>
  <si>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</si>
  <si>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</si>
  <si>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</si>
  <si>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</si>
  <si>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</si>
  <si>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</si>
  <si>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</si>
  <si>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</si>
  <si>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</si>
  <si>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</si>
  <si>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</si>
  <si>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</si>
  <si>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</si>
  <si>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</si>
  <si>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</si>
  <si>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</si>
  <si>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</si>
  <si>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</si>
  <si>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</si>
  <si>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</si>
  <si>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</si>
  <si>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</si>
  <si>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</si>
  <si>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</si>
  <si>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</si>
  <si>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</si>
  <si>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</si>
  <si>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</si>
  <si>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</si>
  <si>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</si>
  <si>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</si>
  <si>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</si>
  <si>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</si>
  <si>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</si>
  <si>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</si>
  <si>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</si>
  <si>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</si>
  <si>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</si>
  <si>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</si>
  <si>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</si>
  <si>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</si>
  <si>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</si>
  <si>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</si>
  <si>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</si>
  <si>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</si>
  <si>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</si>
  <si>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</si>
  <si>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</si>
  <si>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</si>
  <si>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</si>
  <si>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</si>
  <si>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</si>
  <si>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</si>
  <si>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</si>
  <si>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</si>
  <si>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</si>
  <si>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</si>
  <si>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</si>
  <si>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</si>
  <si>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</si>
  <si>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</si>
  <si>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</si>
  <si>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</si>
  <si>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</si>
  <si>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</si>
  <si>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</si>
  <si>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</si>
  <si>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</si>
  <si>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</si>
  <si>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</si>
  <si>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</si>
  <si>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</si>
  <si>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</si>
  <si>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</si>
  <si>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</si>
  <si>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</si>
  <si>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</si>
  <si>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</si>
  <si>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</si>
  <si>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</si>
  <si>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</si>
  <si>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</si>
  <si>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</si>
  <si>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</si>
  <si>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</si>
  <si>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</si>
  <si>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</si>
  <si>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</si>
  <si>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</si>
  <si>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</si>
  <si>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</si>
  <si>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</si>
  <si>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</si>
  <si>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</si>
  <si>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</si>
  <si>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</si>
  <si>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</si>
  <si>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</si>
  <si>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</si>
  <si>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</si>
  <si>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</si>
  <si>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</si>
  <si>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</si>
  <si>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</si>
  <si>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</si>
  <si>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</si>
  <si>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</si>
  <si>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</si>
  <si>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</si>
  <si>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</si>
  <si>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</si>
  <si>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</si>
  <si>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</si>
  <si>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</si>
  <si>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</si>
  <si>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</si>
  <si>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</si>
  <si>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</si>
  <si>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</si>
  <si>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</si>
  <si>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</si>
  <si>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</si>
  <si>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</si>
  <si>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</si>
  <si>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</si>
  <si>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</si>
  <si>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</si>
  <si>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</si>
  <si>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</si>
  <si>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</si>
  <si>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</si>
  <si>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</si>
  <si>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</si>
  <si>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</si>
  <si>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</si>
  <si>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</si>
  <si>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</si>
  <si>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</si>
  <si>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</si>
  <si>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</si>
  <si>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</si>
  <si>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</si>
  <si>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</si>
  <si>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</si>
  <si>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</si>
  <si>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</si>
  <si>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</si>
  <si>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</si>
  <si>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</si>
  <si>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</si>
  <si>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</si>
  <si>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</si>
  <si>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</si>
  <si>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</si>
  <si>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</si>
  <si>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</si>
  <si>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</si>
  <si>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</si>
  <si>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</si>
  <si>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</si>
  <si>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</si>
  <si>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</si>
  <si>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</si>
  <si>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</si>
  <si>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</si>
  <si>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</si>
  <si>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</si>
  <si>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</si>
  <si>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</si>
  <si>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</si>
  <si>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</si>
  <si>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</si>
  <si>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</si>
  <si>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</si>
  <si>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</si>
  <si>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</si>
  <si>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</si>
  <si>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</si>
  <si>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</si>
  <si>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</si>
  <si>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</si>
  <si>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</si>
  <si>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</si>
  <si>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</si>
  <si>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</si>
  <si>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</si>
  <si>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</si>
  <si>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</si>
  <si>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</si>
  <si>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</si>
  <si>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</si>
  <si>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</si>
  <si>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</si>
  <si>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</si>
  <si>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</si>
  <si>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</si>
  <si>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</si>
  <si>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</si>
  <si>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</si>
  <si>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</si>
  <si>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</si>
  <si>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</si>
  <si>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</si>
  <si>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</si>
  <si>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</si>
  <si>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</si>
  <si>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</si>
  <si>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</si>
  <si>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</si>
  <si>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</si>
  <si>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</si>
  <si>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</si>
  <si>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</si>
  <si>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</si>
  <si>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</si>
  <si>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</si>
  <si>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</si>
  <si>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</si>
  <si>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</si>
  <si>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</si>
  <si>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</si>
  <si>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</si>
  <si>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</si>
  <si>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</si>
  <si>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</si>
  <si>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</si>
  <si>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</si>
  <si>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</si>
  <si>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</si>
  <si>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</si>
  <si>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</si>
  <si>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</si>
  <si>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</si>
  <si>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</si>
  <si>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</si>
  <si>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</si>
  <si>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</si>
  <si>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</si>
  <si>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</si>
  <si>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</si>
  <si>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</si>
  <si>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</si>
  <si>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</si>
  <si>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</si>
  <si>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</si>
  <si>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</si>
  <si>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</si>
  <si>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</si>
  <si>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</si>
  <si>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</si>
  <si>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</si>
  <si>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</si>
  <si>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</si>
  <si>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</si>
  <si>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</si>
  <si>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</si>
  <si>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</si>
  <si>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</si>
  <si>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</si>
  <si>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</si>
  <si>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</si>
  <si>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</si>
  <si>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</si>
  <si>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</si>
  <si>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</si>
  <si>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</si>
  <si>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</si>
  <si>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</si>
  <si>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</si>
  <si>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</si>
  <si>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</si>
  <si>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</si>
  <si>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</si>
  <si>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</si>
  <si>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</si>
  <si>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</si>
  <si>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</si>
  <si>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</si>
  <si>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</si>
  <si>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</si>
  <si>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</si>
  <si>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</si>
  <si>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</si>
  <si>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</si>
  <si>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</si>
  <si>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</si>
  <si>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</si>
  <si>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</si>
  <si>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</si>
  <si>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</si>
  <si>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</si>
  <si>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</si>
  <si>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</si>
  <si>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</si>
  <si>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</si>
  <si>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</si>
  <si>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</si>
  <si>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</si>
  <si>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</si>
  <si>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</si>
  <si>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</si>
  <si>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</si>
  <si>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</si>
  <si>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</si>
  <si>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</si>
  <si>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</si>
  <si>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</si>
  <si>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</si>
  <si>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</si>
  <si>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</si>
  <si>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</si>
  <si>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</si>
  <si>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</si>
  <si>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</si>
  <si>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</si>
  <si>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</si>
  <si>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</si>
  <si>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</si>
  <si>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</si>
  <si>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</si>
  <si>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</si>
  <si>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</si>
  <si>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</si>
  <si>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</si>
  <si>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</si>
  <si>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</si>
  <si>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</si>
  <si>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</si>
  <si>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</si>
  <si>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</si>
  <si>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</si>
  <si>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</si>
  <si>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</si>
  <si>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</si>
  <si>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</si>
  <si>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</si>
  <si>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</si>
  <si>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</si>
  <si>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</si>
  <si>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</si>
  <si>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</si>
  <si>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</si>
  <si>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</si>
  <si>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</si>
  <si>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</si>
  <si>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</si>
  <si>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</si>
  <si>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</si>
  <si>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</si>
  <si>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</si>
  <si>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</si>
  <si>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</si>
  <si>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</si>
  <si>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</si>
  <si>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</si>
  <si>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</si>
  <si>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</si>
  <si>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</si>
  <si>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</si>
  <si>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</si>
  <si>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</si>
  <si>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</si>
  <si>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</si>
  <si>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</si>
  <si>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</si>
  <si>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</si>
  <si>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</si>
  <si>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</si>
  <si>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</si>
  <si>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</si>
  <si>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</si>
  <si>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</si>
  <si>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</si>
  <si>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</si>
  <si>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</si>
  <si>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</si>
  <si>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</si>
  <si>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</si>
  <si>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</si>
  <si>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</si>
  <si>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</si>
  <si>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</si>
  <si>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</si>
  <si>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</si>
  <si>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</si>
  <si>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</si>
  <si>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</si>
  <si>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</si>
  <si>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</si>
  <si>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</si>
  <si>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</si>
  <si>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</si>
  <si>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</si>
  <si>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</si>
  <si>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</si>
  <si>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</si>
  <si>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</si>
  <si>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</si>
  <si>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</si>
  <si>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</si>
  <si>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</si>
  <si>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</si>
  <si>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</si>
  <si>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</si>
  <si>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</si>
  <si>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</si>
  <si>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</si>
  <si>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</si>
  <si>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</si>
  <si>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</si>
  <si>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</si>
  <si>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</si>
  <si>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</si>
  <si>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</si>
  <si>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</si>
  <si>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</si>
  <si>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</si>
  <si>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</si>
  <si>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</si>
  <si>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</si>
  <si>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</si>
  <si>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</si>
  <si>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</si>
  <si>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</si>
  <si>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</si>
  <si>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</si>
  <si>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</si>
  <si>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</si>
  <si>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</si>
  <si>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</si>
  <si>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</si>
  <si>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</si>
  <si>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</si>
  <si>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</si>
  <si>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</si>
  <si>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</si>
  <si>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</si>
  <si>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</si>
  <si>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</si>
  <si>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</si>
  <si>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</si>
  <si>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</si>
  <si>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</si>
  <si>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</si>
  <si>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</si>
  <si>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</si>
  <si>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</si>
  <si>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</si>
  <si>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</si>
  <si>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</si>
  <si>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</si>
  <si>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</si>
  <si>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</si>
  <si>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</si>
  <si>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</si>
  <si>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</si>
  <si>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</si>
  <si>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</si>
  <si>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</si>
  <si>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</si>
  <si>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</si>
  <si>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</si>
  <si>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</si>
  <si>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</si>
  <si>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</si>
  <si>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</si>
  <si>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</si>
  <si>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</si>
  <si>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</si>
  <si>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</si>
  <si>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</si>
  <si>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</si>
  <si>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</si>
  <si>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</si>
  <si>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</si>
  <si>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</si>
  <si>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</si>
  <si>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</si>
  <si>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</si>
  <si>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</si>
  <si>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</si>
  <si>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</si>
  <si>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</si>
  <si>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</si>
  <si>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</si>
  <si>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</si>
  <si>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</si>
  <si>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</si>
  <si>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</si>
  <si>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</si>
  <si>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</si>
  <si>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</si>
  <si>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</si>
  <si>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</si>
  <si>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</si>
  <si>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</si>
  <si>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</si>
  <si>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</si>
  <si>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</si>
  <si>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</si>
  <si>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</si>
  <si>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</si>
  <si>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</si>
  <si>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</si>
  <si>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</si>
  <si>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</si>
  <si>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</si>
  <si>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</si>
  <si>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</si>
  <si>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</si>
  <si>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</si>
  <si>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</si>
  <si>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</si>
  <si>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</si>
  <si>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</si>
  <si>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</si>
  <si>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</si>
  <si>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</si>
  <si>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</si>
  <si>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</si>
  <si>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</si>
  <si>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</si>
  <si>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</si>
  <si>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</si>
  <si>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</si>
  <si>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</si>
  <si>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</si>
  <si>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</si>
  <si>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</si>
  <si>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</si>
  <si>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</si>
  <si>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</si>
  <si>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</si>
  <si>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</si>
  <si>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</si>
  <si>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</si>
  <si>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</si>
  <si>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</si>
  <si>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</si>
  <si>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</si>
  <si>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</si>
  <si>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</si>
  <si>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</si>
  <si>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</si>
  <si>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</si>
  <si>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</si>
  <si>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</si>
  <si>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</si>
  <si>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</si>
  <si>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</si>
  <si>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</si>
  <si>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</si>
  <si>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</si>
  <si>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</si>
  <si>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</si>
  <si>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</si>
  <si>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</si>
  <si>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</si>
  <si>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</si>
  <si>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</si>
  <si>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</si>
  <si>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</si>
  <si>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</si>
  <si>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</si>
  <si>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</si>
  <si>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</si>
  <si>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</si>
  <si>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</si>
  <si>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</si>
  <si>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</si>
  <si>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</si>
  <si>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</si>
  <si>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</si>
  <si>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</si>
  <si>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</si>
  <si>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</si>
  <si>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</si>
  <si>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</si>
  <si>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</si>
  <si>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</si>
  <si>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</si>
  <si>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</si>
  <si>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</si>
  <si>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</si>
  <si>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</si>
  <si>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</si>
  <si>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</si>
  <si>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</si>
  <si>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</si>
  <si>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</si>
  <si>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</si>
  <si>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</si>
  <si>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</si>
  <si>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</si>
  <si>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</si>
  <si>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</si>
  <si>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</si>
  <si>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</si>
  <si>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</si>
  <si>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</si>
  <si>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</si>
  <si>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</si>
  <si>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</si>
  <si>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</si>
  <si>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</si>
  <si>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</si>
  <si>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</si>
  <si>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</si>
  <si>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</si>
  <si>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</si>
  <si>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</si>
  <si>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</si>
  <si>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</si>
  <si>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</si>
  <si>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</si>
  <si>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</si>
  <si>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</si>
  <si>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</si>
  <si>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</si>
  <si>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</si>
  <si>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</si>
  <si>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</si>
  <si>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</si>
  <si>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</si>
  <si>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</si>
  <si>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</si>
  <si>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</si>
  <si>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</si>
  <si>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</si>
  <si>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</si>
  <si>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</si>
  <si>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</si>
  <si>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</si>
  <si>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</si>
  <si>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</si>
  <si>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</si>
  <si>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</si>
  <si>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</si>
  <si>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</si>
  <si>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</si>
  <si>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</si>
  <si>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</si>
  <si>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</si>
  <si>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</si>
  <si>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</si>
  <si>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</si>
  <si>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</si>
  <si>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</si>
  <si>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</si>
  <si>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</si>
  <si>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</si>
  <si>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</si>
  <si>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</si>
  <si>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</si>
  <si>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</si>
  <si>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</si>
  <si>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</si>
  <si>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</si>
  <si>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</si>
  <si>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</si>
  <si>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</si>
  <si>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</si>
  <si>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</si>
  <si>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</si>
  <si>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</si>
  <si>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</si>
  <si>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</si>
  <si>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</si>
  <si>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</si>
  <si>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</si>
  <si>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</si>
  <si>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</si>
  <si>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</si>
  <si>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</si>
  <si>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</si>
  <si>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</si>
  <si>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</si>
  <si>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</si>
  <si>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</si>
  <si>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</si>
  <si>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</si>
  <si>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</si>
  <si>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</si>
  <si>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</si>
  <si>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</si>
  <si>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</si>
  <si>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</si>
  <si>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</si>
  <si>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</si>
  <si>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</si>
  <si>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</si>
  <si>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</si>
  <si>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</si>
  <si>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</si>
  <si>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</si>
  <si>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</si>
  <si>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</si>
  <si>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</si>
  <si>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</si>
  <si>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</si>
  <si>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</si>
  <si>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</si>
  <si>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</si>
  <si>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</si>
  <si>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</si>
  <si>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</si>
  <si>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</si>
  <si>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</si>
  <si>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</si>
  <si>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</si>
  <si>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</si>
  <si>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</si>
  <si>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</si>
  <si>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</si>
  <si>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</si>
  <si>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</si>
  <si>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</si>
  <si>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</si>
  <si>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</si>
  <si>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</si>
  <si>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</si>
  <si>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</si>
  <si>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</si>
  <si>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</si>
  <si>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</si>
  <si>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</si>
  <si>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</si>
  <si>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</si>
  <si>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</si>
  <si>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</si>
  <si>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</si>
  <si>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</si>
  <si>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</si>
  <si>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</si>
  <si>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</si>
  <si>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</si>
  <si>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</si>
  <si>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</si>
  <si>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</si>
  <si>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</si>
  <si>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</si>
  <si>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</si>
  <si>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</si>
  <si>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</si>
  <si>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</si>
  <si>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</si>
  <si>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</si>
  <si>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</si>
  <si>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</si>
  <si>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</si>
  <si>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</si>
  <si>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</si>
  <si>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</si>
  <si>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</si>
  <si>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</si>
  <si>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</si>
  <si>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</si>
  <si>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</si>
  <si>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</si>
  <si>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</si>
  <si>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</si>
  <si>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</si>
  <si>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</si>
  <si>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</si>
  <si>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</si>
  <si>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</si>
  <si>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</si>
  <si>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</si>
  <si>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</si>
  <si>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</si>
  <si>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</si>
  <si>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</si>
  <si>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</si>
  <si>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</si>
  <si>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</si>
  <si>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</si>
  <si>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</si>
  <si>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</si>
  <si>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</si>
  <si>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</si>
  <si>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</si>
  <si>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</si>
  <si>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</si>
  <si>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</si>
  <si>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</si>
  <si>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</si>
  <si>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</si>
  <si>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</si>
  <si>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</si>
  <si>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</si>
  <si>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</si>
  <si>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</si>
  <si>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</si>
  <si>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</si>
  <si>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</si>
  <si>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</si>
  <si>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</si>
  <si>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</si>
  <si>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</si>
  <si>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</si>
  <si>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</si>
  <si>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</si>
  <si>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</si>
  <si>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</si>
  <si>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</si>
  <si>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</si>
  <si>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</si>
  <si>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</si>
  <si>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</si>
  <si>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</si>
  <si>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</si>
  <si>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</si>
  <si>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</si>
  <si>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</si>
  <si>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</si>
  <si>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</si>
  <si>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</si>
  <si>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</si>
  <si>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</si>
  <si>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</si>
  <si>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</si>
  <si>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</si>
  <si>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</si>
  <si>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</si>
  <si>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</si>
  <si>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</si>
  <si>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</si>
  <si>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</si>
  <si>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</si>
  <si>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</si>
  <si>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</si>
  <si>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</si>
  <si>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</si>
  <si>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</si>
  <si>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</si>
  <si>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</si>
  <si>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</si>
  <si>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</si>
  <si>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</si>
  <si>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</si>
  <si>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</si>
  <si>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</si>
  <si>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</si>
  <si>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</si>
  <si>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</si>
  <si>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</si>
  <si>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</si>
  <si>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</si>
  <si>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</si>
  <si>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</si>
  <si>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</si>
  <si>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</si>
  <si>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</si>
  <si>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</si>
  <si>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</si>
  <si>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</si>
  <si>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</si>
  <si>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</si>
  <si>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</si>
  <si>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</si>
  <si>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</si>
  <si>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</si>
  <si>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</si>
  <si>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</si>
  <si>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</si>
  <si>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</si>
  <si>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</si>
  <si>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</si>
  <si>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</si>
  <si>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</si>
  <si>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</si>
  <si>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</si>
  <si>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</si>
  <si>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</si>
  <si>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</si>
  <si>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</si>
  <si>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</si>
  <si>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</si>
  <si>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</si>
  <si>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</si>
  <si>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</si>
  <si>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</si>
  <si>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</si>
  <si>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</si>
  <si>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</si>
  <si>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</si>
  <si>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</si>
  <si>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</si>
  <si>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</si>
  <si>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</si>
  <si>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</si>
  <si>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</si>
  <si>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</si>
  <si>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</si>
  <si>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</si>
  <si>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</si>
  <si>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</si>
  <si>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</si>
  <si>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</si>
  <si>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</si>
  <si>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</si>
  <si>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</si>
  <si>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</si>
  <si>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</si>
  <si>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</si>
  <si>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</si>
  <si>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</si>
  <si>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</si>
  <si>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</si>
  <si>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</si>
  <si>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</si>
  <si>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</si>
  <si>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</si>
  <si>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</si>
  <si>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</si>
  <si>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</si>
  <si>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</si>
  <si>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</si>
  <si>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</si>
  <si>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</si>
  <si>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</si>
  <si>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</si>
  <si>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</si>
  <si>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</si>
  <si>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</si>
  <si>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</si>
  <si>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</si>
  <si>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</si>
  <si>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</si>
  <si>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</si>
  <si>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</si>
  <si>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</si>
  <si>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</si>
  <si>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</si>
  <si>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</si>
  <si>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</si>
  <si>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</si>
  <si>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</si>
  <si>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</si>
  <si>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</si>
  <si>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</si>
  <si>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</si>
  <si>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</si>
  <si>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</si>
  <si>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</si>
  <si>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</si>
  <si>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</si>
  <si>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</si>
  <si>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</si>
  <si>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</si>
  <si>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</si>
  <si>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</si>
  <si>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</si>
  <si>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</si>
  <si>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</si>
  <si>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</si>
  <si>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</si>
  <si>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</si>
  <si>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</si>
  <si>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</si>
  <si>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</si>
  <si>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</si>
  <si>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</si>
  <si>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</si>
  <si>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</si>
  <si>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</si>
  <si>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</si>
  <si>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</si>
  <si>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</si>
  <si>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</si>
  <si>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</si>
  <si>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</si>
  <si>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</si>
  <si>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</si>
  <si>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</si>
  <si>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</si>
  <si>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</si>
  <si>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</si>
  <si>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</si>
  <si>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</si>
  <si>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</si>
  <si>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</si>
  <si>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</si>
  <si>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</si>
  <si>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</si>
  <si>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</si>
  <si>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</si>
  <si>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</si>
  <si>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</si>
  <si>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</si>
  <si>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</si>
  <si>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</si>
  <si>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</si>
  <si>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</si>
  <si>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</si>
  <si>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</si>
  <si>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</si>
  <si>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 County</t>
  </si>
  <si>
    <t>Evanston CCSD 65</t>
  </si>
  <si>
    <t>1500 McDaniel Avenue</t>
  </si>
  <si>
    <t>Evanston</t>
  </si>
  <si>
    <t>obafemir@district65.net</t>
  </si>
  <si>
    <t>Dr. Paul Goren</t>
  </si>
  <si>
    <t>gorenp@district65.net</t>
  </si>
  <si>
    <t>847-859-8000</t>
  </si>
  <si>
    <t>847-866-7241</t>
  </si>
  <si>
    <t>RSM US LLP</t>
  </si>
  <si>
    <t>John George</t>
  </si>
  <si>
    <t>One South Wacker, Suite 800</t>
  </si>
  <si>
    <t>Chicago</t>
  </si>
  <si>
    <t>IL</t>
  </si>
  <si>
    <t>312-634-3400</t>
  </si>
  <si>
    <t>312-634-5518</t>
  </si>
  <si>
    <t>066-003346</t>
  </si>
  <si>
    <t>john.george@rsmus.com</t>
  </si>
  <si>
    <t>General Obligation Bonds, Series 2009</t>
  </si>
  <si>
    <t>General Obligation Bonds, Series 2009B</t>
  </si>
  <si>
    <t>General Obligation Bonds, Series 2010A</t>
  </si>
  <si>
    <t>General Obligation Bonds, Series 2010B</t>
  </si>
  <si>
    <t>General Obligation Bonds, Series 2010C</t>
  </si>
  <si>
    <t>General Obligation Bonds, Series 2011A</t>
  </si>
  <si>
    <t>General Obligation Bonds, Series 2012</t>
  </si>
  <si>
    <t>General Obligation Bonds, Series 2013</t>
  </si>
  <si>
    <t>General Obligation Bonds, Series 2014</t>
  </si>
  <si>
    <t>General Obligation Bonds, Series 2015</t>
  </si>
  <si>
    <t>General Obligation Bonds, Series 2016</t>
  </si>
  <si>
    <t>Illinois Funds and Illinois School District Liquid Asset Fund (ISDLAF)</t>
  </si>
  <si>
    <t>Park School</t>
  </si>
  <si>
    <t>Headstart/Infant Welfare Society of Evanston</t>
  </si>
  <si>
    <t>93.600</t>
  </si>
  <si>
    <t>CFDA Catalog of Federal Domestic Assistance</t>
  </si>
  <si>
    <t>N/A Not Available</t>
  </si>
  <si>
    <t>(M) - Denotes major program</t>
  </si>
  <si>
    <t>See Note to Schedule of Expenditures of Federal Awards</t>
  </si>
  <si>
    <t>N/A</t>
  </si>
  <si>
    <t>Total Federal Awards</t>
  </si>
  <si>
    <t>Total U.S. Department of Health and Human Services</t>
  </si>
  <si>
    <t>2016-4900-00</t>
  </si>
  <si>
    <t>2017-4900-00</t>
  </si>
  <si>
    <t>2018-4900-00</t>
  </si>
  <si>
    <t>93.778</t>
  </si>
  <si>
    <t>Medical Assistance Program</t>
  </si>
  <si>
    <t>Passed through Illinois Department of Healthcare and Family Services:</t>
  </si>
  <si>
    <t>Total Head Start Cluster (M)</t>
  </si>
  <si>
    <t>2016-4045-00</t>
  </si>
  <si>
    <t>2017-4045-00</t>
  </si>
  <si>
    <t>2018-4045-00</t>
  </si>
  <si>
    <t>Passed through Childcare Network of Evanston:</t>
  </si>
  <si>
    <t>Head Start Cluster:</t>
  </si>
  <si>
    <t>U.S. Department of Health and Human Services:</t>
  </si>
  <si>
    <t>Total U.S. Department of Defense</t>
  </si>
  <si>
    <t>Fresh Fruits and Vegetables Program</t>
  </si>
  <si>
    <t>U.S. Department of Defense - passed through ISBE</t>
  </si>
  <si>
    <t>Total U.S. Department of Agriculture</t>
  </si>
  <si>
    <t>2016-4260-00</t>
  </si>
  <si>
    <t>2017-4260-00</t>
  </si>
  <si>
    <t>2018-4260-00</t>
  </si>
  <si>
    <t>NSLP Equipment Assistance Grant</t>
  </si>
  <si>
    <t>Encumbrances</t>
  </si>
  <si>
    <t>6/30/18</t>
  </si>
  <si>
    <t>6/30/17</t>
  </si>
  <si>
    <t>Number</t>
  </si>
  <si>
    <t>Program Name</t>
  </si>
  <si>
    <t>Final</t>
  </si>
  <si>
    <t>7/1/17</t>
  </si>
  <si>
    <t>7/1/16</t>
  </si>
  <si>
    <t>Project</t>
  </si>
  <si>
    <t>Pass-though Grantor/</t>
  </si>
  <si>
    <t>Disbursements</t>
  </si>
  <si>
    <t>Receipts</t>
  </si>
  <si>
    <t>ISBE</t>
  </si>
  <si>
    <t>Federal Agency/</t>
  </si>
  <si>
    <t>(Continued)</t>
  </si>
  <si>
    <t>Total Child and Adult Care Food Program</t>
  </si>
  <si>
    <t>2016-4226-00</t>
  </si>
  <si>
    <t>2017-4226-00</t>
  </si>
  <si>
    <t>2018-4226-00</t>
  </si>
  <si>
    <t>10.558</t>
  </si>
  <si>
    <t>Child and Adult Care Food Program</t>
  </si>
  <si>
    <t>Total Child Nutrition Cluster</t>
  </si>
  <si>
    <t>2016-4220-00</t>
  </si>
  <si>
    <t>2017-4220-00</t>
  </si>
  <si>
    <t>2018-4220-00</t>
  </si>
  <si>
    <t>10.553</t>
  </si>
  <si>
    <t>National School Breakfast Program</t>
  </si>
  <si>
    <t>2016-4210-00</t>
  </si>
  <si>
    <t>2017-4210-00</t>
  </si>
  <si>
    <t>2018-4210-00</t>
  </si>
  <si>
    <t>10.555</t>
  </si>
  <si>
    <t>Food Donation Program</t>
  </si>
  <si>
    <t>Child Nutrition Cluster:</t>
  </si>
  <si>
    <t>Passed through Illinois State Board of Education:</t>
  </si>
  <si>
    <t>U.S. Department of Agriculture:</t>
  </si>
  <si>
    <t>Total U.S. Department of Education</t>
  </si>
  <si>
    <t>140CM001237</t>
  </si>
  <si>
    <t>Rehabilitation Services - Vocational Rehabilitation Grants to States:</t>
  </si>
  <si>
    <t>Passed through Illinois Department of Human Services</t>
  </si>
  <si>
    <t>Total Improving Teacher Quality State Grants</t>
  </si>
  <si>
    <t>2016-4932-00</t>
  </si>
  <si>
    <t>2017-4932-00</t>
  </si>
  <si>
    <t>2018-4932-00</t>
  </si>
  <si>
    <t>84.367A</t>
  </si>
  <si>
    <t>Title II : Teacher Quality</t>
  </si>
  <si>
    <t>Improving Teacher Quality State Grants:</t>
  </si>
  <si>
    <t>Total English Language Acquisition Grants</t>
  </si>
  <si>
    <t>2016-4998-00</t>
  </si>
  <si>
    <t>2016-4909-00</t>
  </si>
  <si>
    <t>2017-4998-00</t>
  </si>
  <si>
    <t>2017-4909-00</t>
  </si>
  <si>
    <t>2018-4998-00</t>
  </si>
  <si>
    <t>2018-4909-00</t>
  </si>
  <si>
    <t>84.365A</t>
  </si>
  <si>
    <t xml:space="preserve">Title III : Lang Inst Prog - Limited Eng LIPLEP </t>
  </si>
  <si>
    <t>English Language Acquisition Grants:</t>
  </si>
  <si>
    <t>Total Special Education Cluster</t>
  </si>
  <si>
    <t>2016-4625-00</t>
  </si>
  <si>
    <t>2017-4625-00</t>
  </si>
  <si>
    <t>2018-4625-00</t>
  </si>
  <si>
    <t>84.027A</t>
  </si>
  <si>
    <t>IDEA Room &amp; Board</t>
  </si>
  <si>
    <t>2016-4620-00</t>
  </si>
  <si>
    <t>2017-4620-00</t>
  </si>
  <si>
    <t>2018-4620-00</t>
  </si>
  <si>
    <t>IDEA Flow Through</t>
  </si>
  <si>
    <t>Special Education - Grants to States:</t>
  </si>
  <si>
    <t>2016-4600-00</t>
  </si>
  <si>
    <t>2017-4600-00</t>
  </si>
  <si>
    <t>2018-4600-00</t>
  </si>
  <si>
    <t>84.173A</t>
  </si>
  <si>
    <t>Pre-School Flow Through</t>
  </si>
  <si>
    <t>Special Education - Preschool Grants:</t>
  </si>
  <si>
    <t>Special Education Cluster:</t>
  </si>
  <si>
    <t>Total Twenty-First Century Community Learning Centers</t>
  </si>
  <si>
    <t>2018-4421-10</t>
  </si>
  <si>
    <t>84.287C</t>
  </si>
  <si>
    <t>Title IV : 21st Century Comm Learning Centers</t>
  </si>
  <si>
    <t>Twenty-First Century Community Learning Centers:</t>
  </si>
  <si>
    <t>Total Title I Grants to Local Education Agencies Cluster</t>
  </si>
  <si>
    <t>2016-4300-00</t>
  </si>
  <si>
    <t>2017-4300-00</t>
  </si>
  <si>
    <t>2018-4300-00</t>
  </si>
  <si>
    <t>84.010A</t>
  </si>
  <si>
    <t>Title I : Low Income</t>
  </si>
  <si>
    <t>Title I Grants to Local Education Agencies Cluster:</t>
  </si>
  <si>
    <t>U.S. Department of Education:</t>
  </si>
  <si>
    <t>YEAR ENDED JUNE 30, 2018</t>
  </si>
  <si>
    <t>District/Joint Agreement No.</t>
  </si>
  <si>
    <t>SPRINGFIELD, ILLINOIS 62777-0001</t>
  </si>
  <si>
    <t>Community Consolidated School District No. 65</t>
  </si>
  <si>
    <t>100 NORTH FIRST STREET</t>
  </si>
  <si>
    <t>Cook 05-016-0650-04</t>
  </si>
  <si>
    <t>County</t>
  </si>
  <si>
    <t>(attachment of ISBE 62-18)</t>
  </si>
  <si>
    <t>DHS Fee for services, recorded to funtion 4499</t>
  </si>
  <si>
    <t>DHS grant 84.126 - park school</t>
  </si>
  <si>
    <t>Unmodified</t>
  </si>
  <si>
    <t>Headstart</t>
  </si>
  <si>
    <t>Bank accounts should be reconciled and all differences between book and bank balances should be investigated on a timely basis by appropriate personnel so that errors or adjustments can be quickly identified and corrected.</t>
  </si>
  <si>
    <t>n/a</t>
  </si>
  <si>
    <t>During the audit, we noted that the year-end bank reconciliation had an unreconciled difference of approximately $37,000.</t>
  </si>
  <si>
    <t>During the audit, we noted that the year-end bank reconciliation had an unreconciled difference of approximately $46,000.</t>
  </si>
  <si>
    <t>Material unsupported reconciling items may go undetected.</t>
  </si>
  <si>
    <t>Certain year-end reconciling items were not properly supported.</t>
  </si>
  <si>
    <t>We recommend that reviews of the bank reconciliaitons ensure all reconciling items are supported and cleared in a timely manner. We further sugguest that a member of management document his or her approval by initialing the form.</t>
  </si>
  <si>
    <t>Corrective action was taken.</t>
  </si>
  <si>
    <t>2017-001</t>
  </si>
  <si>
    <t>2017-002</t>
  </si>
  <si>
    <t>The June 30, 2016 data collection form was filed after 30 days of the receipt of the auditor's report.</t>
  </si>
  <si>
    <r>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</si>
  <si>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the District</t>
    </r>
    <r>
      <rPr>
        <sz val="9"/>
        <rFont val="Calibri"/>
        <family val="2"/>
        <scheme val="minor"/>
      </rPr>
      <t xml:space="preserve"> provided federal awards to subrecipients as follows:</t>
    </r>
  </si>
  <si>
    <r>
      <t>The following amounts were expended in the form of non-cash assistance by 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</si>
  <si>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303 Taxi</t>
  </si>
  <si>
    <t>Alpha Prime Communications North LLC</t>
  </si>
  <si>
    <t>Children's Home and Aid Society</t>
  </si>
  <si>
    <t>Constellation Energy Services</t>
  </si>
  <si>
    <t>Constellation Energy Services, Inc.</t>
  </si>
  <si>
    <t>Cove School</t>
  </si>
  <si>
    <t>Evanston Township High School Nutrition</t>
  </si>
  <si>
    <t>Fidelity Retirement Services</t>
  </si>
  <si>
    <t>Fox River Foods Inc</t>
  </si>
  <si>
    <t>Hyde Park Day School</t>
  </si>
  <si>
    <t>Jewish Child and Family Services</t>
  </si>
  <si>
    <t>Lincoln Investment</t>
  </si>
  <si>
    <t>New England Center for Children</t>
  </si>
  <si>
    <t>Northern Suburban Special Education Dist</t>
  </si>
  <si>
    <t>Oconomowoc Developmental Training Center</t>
  </si>
  <si>
    <t>PC &amp; Mac Exchange</t>
  </si>
  <si>
    <t>Positive Connections</t>
  </si>
  <si>
    <t>STM Bags, LLC</t>
  </si>
  <si>
    <t>The Infant Welfare Society of Evanston</t>
  </si>
  <si>
    <t>AKJ Wholesale LLC</t>
  </si>
  <si>
    <t>Arcon Associates Incorp</t>
  </si>
  <si>
    <t>Arlyn School</t>
  </si>
  <si>
    <t>Booksource</t>
  </si>
  <si>
    <t>Canon Financial Services</t>
  </si>
  <si>
    <t>Corrie LLC</t>
  </si>
  <si>
    <t>Engineering is Elementary</t>
  </si>
  <si>
    <t>Evanston Township High School Business Office</t>
  </si>
  <si>
    <t>Franczek Radelet</t>
  </si>
  <si>
    <t>Hanover Research Council</t>
  </si>
  <si>
    <t>Heinemann Publishing/Prof Dev</t>
  </si>
  <si>
    <t>Jewles Bus Company</t>
  </si>
  <si>
    <t>Mcgaw YMCA</t>
  </si>
  <si>
    <t>Midland Paper Co</t>
  </si>
  <si>
    <t>Mind Research Institute</t>
  </si>
  <si>
    <t>Northwest Evaluation Association</t>
  </si>
  <si>
    <t>Sullivan Roofing</t>
  </si>
  <si>
    <t>Timber-Lee Christian Center</t>
  </si>
  <si>
    <t>Apple Inc</t>
  </si>
  <si>
    <t>Assured Healthcare Staffing</t>
  </si>
  <si>
    <t>Blackboard</t>
  </si>
  <si>
    <t>Brainpop</t>
  </si>
  <si>
    <t>CDWG Inc</t>
  </si>
  <si>
    <t>City of Evanston - City Manager's Office</t>
  </si>
  <si>
    <t>D. Kersey Construction Company</t>
  </si>
  <si>
    <t>Genesis Technologies</t>
  </si>
  <si>
    <t>Jamf Software</t>
  </si>
  <si>
    <t>Jewel's Bus Company</t>
  </si>
  <si>
    <t>Keshet</t>
  </si>
  <si>
    <t>Pearson</t>
  </si>
  <si>
    <t>Schuring &amp; Schuring, Inc</t>
  </si>
  <si>
    <t>Twisted Pair Cabling, Inc</t>
  </si>
  <si>
    <t>Weidenhammer System Corp</t>
  </si>
  <si>
    <t>Childcare Careers, LLC</t>
  </si>
  <si>
    <t>Columbia College Chicago</t>
  </si>
  <si>
    <t>Flader Plumbing and Heating Co.</t>
  </si>
  <si>
    <t>Frontline Technologies Group, LLC</t>
  </si>
  <si>
    <t>Groot Industries Inc</t>
  </si>
  <si>
    <t>Houghton Mifflin Harcourt</t>
  </si>
  <si>
    <t xml:space="preserve">Controlled Environmental System, Inc. </t>
  </si>
  <si>
    <t>Hutchinson Design Group LTD</t>
  </si>
  <si>
    <t>KGI Landscaping Company</t>
  </si>
  <si>
    <t>Laureate Day School</t>
  </si>
  <si>
    <t>Loss Prevention Associates D/B/A Sonitro</t>
  </si>
  <si>
    <t>Public Consulting Group</t>
  </si>
  <si>
    <t>Sonia Shankman Orthogenic School</t>
  </si>
  <si>
    <t>Sparkle Painting Company</t>
  </si>
  <si>
    <t>Unite Private Networks</t>
  </si>
  <si>
    <t>USBANCORP</t>
  </si>
  <si>
    <t>Valdes LLC</t>
  </si>
  <si>
    <t>Youth &amp; Opportunityed United</t>
  </si>
  <si>
    <t>Transportation -Pupil Transportation -Purchased Service</t>
  </si>
  <si>
    <t>40-2550-300</t>
  </si>
  <si>
    <t>Building - Operations &amp; Maintenance - Supplies/Materials</t>
  </si>
  <si>
    <t>20-2540-400</t>
  </si>
  <si>
    <t>Education - Instruction - Purchased Servie</t>
  </si>
  <si>
    <t>10-1212-300</t>
  </si>
  <si>
    <t>Special Ed - Payments - Other</t>
  </si>
  <si>
    <t>28-4220-600</t>
  </si>
  <si>
    <t>Education - Food Services - Supplies/Materials</t>
  </si>
  <si>
    <t>10-2560-400</t>
  </si>
  <si>
    <t>Education - Undesignated - Liabilities</t>
  </si>
  <si>
    <t>10-0000-300</t>
  </si>
  <si>
    <t>10-2540-400</t>
  </si>
  <si>
    <t>Education - Payments - Other</t>
  </si>
  <si>
    <t>10-4220-600</t>
  </si>
  <si>
    <t>CAPITAL OUTLAY</t>
  </si>
  <si>
    <t>10-2660-500</t>
  </si>
  <si>
    <t>Education - Data Processing - Equipment</t>
  </si>
  <si>
    <t>10-2660-400</t>
  </si>
  <si>
    <t>Education - Headstart - Purchased Service</t>
  </si>
  <si>
    <t>10-3910-300</t>
  </si>
  <si>
    <t>Education - Education - Supplies/Materials</t>
  </si>
  <si>
    <t>10-1110-400</t>
  </si>
  <si>
    <t>Life Safety - Facility - Purchased Service</t>
  </si>
  <si>
    <t>64-2530-300</t>
  </si>
  <si>
    <t>Education - Data Processing - Purchased Service</t>
  </si>
  <si>
    <t>10-2660-300</t>
  </si>
  <si>
    <t>Education - Improvement of Instruction - Purchased Service</t>
  </si>
  <si>
    <t>10-2210-600</t>
  </si>
  <si>
    <t>Education - Payment for Special Education - Other</t>
  </si>
  <si>
    <t>Education - Legal Services - Purchased Service</t>
  </si>
  <si>
    <t>10-2369-300</t>
  </si>
  <si>
    <t>Education - Research/Eval/Planning - Purchased Service</t>
  </si>
  <si>
    <t>10-2620-300</t>
  </si>
  <si>
    <t>10-1250-400</t>
  </si>
  <si>
    <t>40-3910-300</t>
  </si>
  <si>
    <t>Education - Education - Purchased Service</t>
  </si>
  <si>
    <t>10-1610-300</t>
  </si>
  <si>
    <t>10-1120-400</t>
  </si>
  <si>
    <t>Education - Assessment &amp; Testing - Supplies/Materials</t>
  </si>
  <si>
    <t>10-2230-400</t>
  </si>
  <si>
    <t>90-2540-500</t>
  </si>
  <si>
    <t>10-3900-300</t>
  </si>
  <si>
    <t>Education - Educatiion - Purchased Service</t>
  </si>
  <si>
    <t>10-1110-300</t>
  </si>
  <si>
    <t>Education - Data Processing - Supplies/Materials</t>
  </si>
  <si>
    <t>Park School - Education - Purchased Service</t>
  </si>
  <si>
    <t>91-1202-300</t>
  </si>
  <si>
    <t>Education - Data Processing - Purchased  Services</t>
  </si>
  <si>
    <t>Education - Information Services - Purchased Service</t>
  </si>
  <si>
    <t>10-2630-300</t>
  </si>
  <si>
    <t>Building Fund - Operations &amp; Maintenance - Supplies/Materials</t>
  </si>
  <si>
    <t>Education - Low Income - Purchased Service</t>
  </si>
  <si>
    <t>10-1275-300</t>
  </si>
  <si>
    <t>64-2530-500</t>
  </si>
  <si>
    <t>Education - Food Service - Purchased Service</t>
  </si>
  <si>
    <t>64-2550-500</t>
  </si>
  <si>
    <t>Education - Custody/Care of Child - Purchased Services</t>
  </si>
  <si>
    <t>10-3500-300</t>
  </si>
  <si>
    <t>Education - Education -Purchased Service</t>
  </si>
  <si>
    <t>10-2210-300</t>
  </si>
  <si>
    <t>Building Fund - Operations &amp; Maintenance - Purchased Service</t>
  </si>
  <si>
    <t>20-2540-300</t>
  </si>
  <si>
    <t>90-2540-300</t>
  </si>
  <si>
    <t>Education - Data Processing - Purchased  Service</t>
  </si>
  <si>
    <t>Educatin -  Other Supporting Services - Purchased Service</t>
  </si>
  <si>
    <t>10-2900-300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</si>
</sst>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_(* #,##0_);_(* \(#,##0\);_(* &quot;-&quot;??_);_(@_)"/>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color theme="1"/>
      <name val="Arial"/>
      <family val="2"/>
    </font>
    <font>
      <sz val="12"/>
      <name val="Times New Roman"/>
      <family val="1"/>
    </font>
    <font>
      <sz val="12"/>
      <color indexed="8"/>
      <name val="Arial"/>
      <family val="2"/>
    </font>
    <font>
      <sz val="12"/>
      <name val="Arial"/>
      <family val="2"/>
    </font>
    <font>
      <b/>
      <sz val="12"/>
      <color indexed="8"/>
      <name val="Arial"/>
      <family val="2"/>
    </font>
    <font>
      <b/>
      <sz val="12"/>
      <color rgb="FFFF0000"/>
      <name val="Arial"/>
      <family val="2"/>
    </font>
    <font>
      <b/>
      <sz val="12"/>
      <color indexed="10"/>
      <name val="Arial"/>
      <family val="2"/>
    </font>
    <font>
      <b/>
      <sz val="9"/>
      <color indexed="81"/>
      <name val="Tahoma"/>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bottom style="thin">
        <color indexed="8"/>
      </bottom>
      <diagonal/>
    </border>
    <border>
      <left/>
      <right/>
      <top style="thin">
        <color indexed="8"/>
      </top>
      <bottom style="thin">
        <color indexed="64"/>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0" fontId="138" fillId="0" borderId="0"/>
    <xf numFmtId="43" fontId="136" fillId="0" borderId="0" applyFont="0" applyFill="0" applyBorder="0" applyAlignment="0" applyProtection="0"/>
  </cellStyleXfs>
  <cellXfs count="263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55" fillId="0" borderId="162" xfId="3" applyFont="1" applyBorder="1" applyProtection="1">
      <protection locked="0"/>
    </xf>
    <xf numFmtId="0" fontId="53" fillId="0" borderId="147" xfId="3" quotePrefix="1" applyFont="1" applyBorder="1" applyAlignment="1" applyProtection="1">
      <alignment horizontal="center"/>
      <protection locked="0"/>
    </xf>
    <xf numFmtId="0" fontId="137" fillId="0" borderId="0" xfId="19" applyFont="1"/>
    <xf numFmtId="0" fontId="137" fillId="0" borderId="0" xfId="19" applyFont="1" applyFill="1"/>
    <xf numFmtId="0" fontId="137" fillId="21" borderId="0" xfId="19" applyFont="1" applyFill="1"/>
    <xf numFmtId="0" fontId="139" fillId="0" borderId="0" xfId="20" applyFont="1" applyFill="1" applyBorder="1"/>
    <xf numFmtId="181" fontId="139" fillId="0" borderId="0" xfId="20" applyNumberFormat="1" applyFont="1" applyFill="1" applyBorder="1"/>
    <xf numFmtId="0" fontId="139" fillId="0" borderId="0" xfId="20" applyNumberFormat="1" applyFont="1" applyFill="1" applyBorder="1" applyAlignment="1">
      <alignment horizontal="right"/>
    </xf>
    <xf numFmtId="0" fontId="140" fillId="0" borderId="0" xfId="20" applyFont="1" applyFill="1"/>
    <xf numFmtId="0" fontId="139" fillId="0" borderId="0" xfId="20" applyFont="1" applyFill="1" applyAlignment="1">
      <alignment horizontal="right"/>
    </xf>
    <xf numFmtId="0" fontId="139" fillId="0" borderId="0" xfId="20" applyFont="1" applyFill="1" applyProtection="1"/>
    <xf numFmtId="181" fontId="140" fillId="0" borderId="0" xfId="21" applyNumberFormat="1" applyFont="1" applyFill="1" applyBorder="1"/>
    <xf numFmtId="0" fontId="139" fillId="0" borderId="0" xfId="20" quotePrefix="1" applyNumberFormat="1" applyFont="1" applyFill="1" applyBorder="1" applyAlignment="1" applyProtection="1">
      <alignment horizontal="center"/>
    </xf>
    <xf numFmtId="41" fontId="141" fillId="0" borderId="0" xfId="20" applyNumberFormat="1" applyFont="1" applyFill="1" applyBorder="1" applyAlignment="1" applyProtection="1">
      <alignment horizontal="center"/>
    </xf>
    <xf numFmtId="181" fontId="139" fillId="0" borderId="0" xfId="20" applyNumberFormat="1" applyFont="1" applyFill="1" applyBorder="1" applyAlignment="1"/>
    <xf numFmtId="41" fontId="139" fillId="0" borderId="0" xfId="20" applyNumberFormat="1" applyFont="1" applyFill="1" applyBorder="1" applyAlignment="1" applyProtection="1">
      <alignment horizontal="right"/>
    </xf>
    <xf numFmtId="41" fontId="141" fillId="0" borderId="0" xfId="20" quotePrefix="1" applyNumberFormat="1" applyFont="1" applyFill="1" applyBorder="1" applyAlignment="1" applyProtection="1">
      <alignment horizontal="centerContinuous"/>
    </xf>
    <xf numFmtId="0" fontId="139" fillId="0" borderId="0" xfId="20" applyNumberFormat="1" applyFont="1" applyFill="1" applyAlignment="1" applyProtection="1">
      <alignment horizontal="center"/>
    </xf>
    <xf numFmtId="0" fontId="139" fillId="0" borderId="0" xfId="20" applyFont="1" applyFill="1" applyAlignment="1" applyProtection="1">
      <alignment horizontal="center"/>
    </xf>
    <xf numFmtId="0" fontId="141" fillId="0" borderId="0" xfId="20" applyFont="1" applyFill="1" applyBorder="1" applyAlignment="1">
      <alignment horizontal="centerContinuous"/>
    </xf>
    <xf numFmtId="41" fontId="141" fillId="0" borderId="0" xfId="20" applyNumberFormat="1" applyFont="1" applyFill="1" applyBorder="1" applyAlignment="1" applyProtection="1">
      <alignment horizontal="centerContinuous"/>
    </xf>
    <xf numFmtId="41" fontId="139" fillId="0" borderId="0" xfId="20" applyNumberFormat="1" applyFont="1" applyFill="1" applyProtection="1"/>
    <xf numFmtId="41" fontId="142" fillId="0" borderId="0" xfId="20" applyNumberFormat="1" applyFont="1" applyFill="1" applyAlignment="1" applyProtection="1">
      <alignment horizontal="center"/>
    </xf>
    <xf numFmtId="181" fontId="139" fillId="0" borderId="166" xfId="20" applyNumberFormat="1" applyFont="1" applyFill="1" applyBorder="1" applyAlignment="1" applyProtection="1">
      <alignment horizontal="center"/>
    </xf>
    <xf numFmtId="182" fontId="139" fillId="0" borderId="166" xfId="20" applyNumberFormat="1" applyFont="1" applyFill="1" applyBorder="1" applyProtection="1"/>
    <xf numFmtId="0" fontId="139" fillId="0" borderId="0" xfId="20" applyFont="1" applyFill="1" applyAlignment="1" applyProtection="1">
      <alignment horizontal="left" indent="5"/>
    </xf>
    <xf numFmtId="181" fontId="139" fillId="0" borderId="0" xfId="20" applyNumberFormat="1" applyFont="1" applyFill="1" applyBorder="1" applyAlignment="1" applyProtection="1">
      <alignment horizontal="center"/>
    </xf>
    <xf numFmtId="181" fontId="139" fillId="0" borderId="0" xfId="20" applyNumberFormat="1" applyFont="1" applyFill="1" applyBorder="1" applyProtection="1"/>
    <xf numFmtId="49" fontId="139" fillId="0" borderId="0" xfId="20" applyNumberFormat="1" applyFont="1" applyFill="1" applyBorder="1" applyAlignment="1" applyProtection="1">
      <alignment horizontal="center"/>
    </xf>
    <xf numFmtId="0" fontId="139" fillId="0" borderId="0" xfId="20" applyFont="1" applyFill="1" applyBorder="1" applyAlignment="1" applyProtection="1">
      <alignment horizontal="center"/>
    </xf>
    <xf numFmtId="181" fontId="139" fillId="0" borderId="78" xfId="20" applyNumberFormat="1" applyFont="1" applyFill="1" applyBorder="1" applyAlignment="1" applyProtection="1">
      <alignment horizontal="center"/>
    </xf>
    <xf numFmtId="181" fontId="139" fillId="0" borderId="78" xfId="20" applyNumberFormat="1" applyFont="1" applyFill="1" applyBorder="1" applyProtection="1"/>
    <xf numFmtId="49" fontId="139" fillId="0" borderId="78" xfId="20" applyNumberFormat="1" applyFont="1" applyFill="1" applyBorder="1" applyAlignment="1" applyProtection="1">
      <alignment horizontal="center"/>
    </xf>
    <xf numFmtId="0" fontId="139" fillId="0" borderId="78" xfId="20" applyFont="1" applyFill="1" applyBorder="1" applyAlignment="1" applyProtection="1">
      <alignment horizontal="center"/>
    </xf>
    <xf numFmtId="0" fontId="140" fillId="0" borderId="78" xfId="20" applyFont="1" applyFill="1" applyBorder="1"/>
    <xf numFmtId="181" fontId="139" fillId="0" borderId="0" xfId="20" applyNumberFormat="1" applyFont="1" applyFill="1" applyAlignment="1" applyProtection="1">
      <alignment horizontal="center"/>
    </xf>
    <xf numFmtId="0" fontId="139" fillId="0" borderId="0" xfId="20" applyFont="1" applyFill="1" applyBorder="1" applyProtection="1"/>
    <xf numFmtId="182" fontId="142" fillId="0" borderId="78" xfId="20" applyNumberFormat="1" applyFont="1" applyFill="1" applyBorder="1" applyAlignment="1" applyProtection="1">
      <alignment horizontal="right"/>
    </xf>
    <xf numFmtId="0" fontId="139" fillId="0" borderId="78" xfId="20" applyFont="1" applyFill="1" applyBorder="1" applyAlignment="1" applyProtection="1">
      <alignment horizontal="left" indent="2"/>
    </xf>
    <xf numFmtId="181" fontId="139" fillId="0" borderId="0" xfId="20" applyNumberFormat="1" applyFont="1" applyFill="1" applyProtection="1"/>
    <xf numFmtId="43" fontId="139" fillId="0" borderId="0" xfId="21" applyFont="1" applyFill="1" applyProtection="1"/>
    <xf numFmtId="49" fontId="139" fillId="0" borderId="0" xfId="20" applyNumberFormat="1" applyFont="1" applyFill="1" applyAlignment="1" applyProtection="1">
      <alignment horizontal="center"/>
    </xf>
    <xf numFmtId="0" fontId="139" fillId="0" borderId="0" xfId="20" applyFont="1" applyFill="1" applyBorder="1" applyAlignment="1" applyProtection="1">
      <alignment horizontal="left" indent="2"/>
    </xf>
    <xf numFmtId="0" fontId="139" fillId="0" borderId="0" xfId="20" applyFont="1" applyFill="1" applyAlignment="1" applyProtection="1">
      <alignment horizontal="left" indent="1"/>
    </xf>
    <xf numFmtId="181" fontId="139" fillId="0" borderId="167" xfId="20" applyNumberFormat="1" applyFont="1" applyFill="1" applyBorder="1" applyProtection="1"/>
    <xf numFmtId="49" fontId="139" fillId="0" borderId="167" xfId="20" applyNumberFormat="1" applyFont="1" applyFill="1" applyBorder="1" applyAlignment="1" applyProtection="1">
      <alignment horizontal="center"/>
    </xf>
    <xf numFmtId="0" fontId="139" fillId="0" borderId="167" xfId="20" applyFont="1" applyFill="1" applyBorder="1" applyAlignment="1" applyProtection="1">
      <alignment horizontal="center"/>
    </xf>
    <xf numFmtId="0" fontId="139" fillId="0" borderId="167" xfId="20" applyFont="1" applyFill="1" applyBorder="1" applyProtection="1"/>
    <xf numFmtId="182" fontId="142" fillId="0" borderId="0" xfId="20" applyNumberFormat="1" applyFont="1" applyFill="1" applyBorder="1" applyAlignment="1" applyProtection="1">
      <alignment horizontal="right"/>
    </xf>
    <xf numFmtId="181" fontId="142" fillId="0" borderId="78" xfId="20" applyNumberFormat="1" applyFont="1" applyFill="1" applyBorder="1" applyAlignment="1" applyProtection="1">
      <alignment horizontal="right"/>
    </xf>
    <xf numFmtId="0" fontId="139" fillId="0" borderId="78" xfId="20" quotePrefix="1" applyFont="1" applyFill="1" applyBorder="1" applyAlignment="1" applyProtection="1">
      <alignment horizontal="center"/>
    </xf>
    <xf numFmtId="0" fontId="139" fillId="0" borderId="78" xfId="20" applyFont="1" applyFill="1" applyBorder="1" applyAlignment="1" applyProtection="1">
      <alignment horizontal="left" indent="3"/>
    </xf>
    <xf numFmtId="0" fontId="139" fillId="0" borderId="0" xfId="20" quotePrefix="1" applyFont="1" applyFill="1" applyAlignment="1" applyProtection="1">
      <alignment horizontal="center"/>
    </xf>
    <xf numFmtId="0" fontId="139" fillId="0" borderId="0" xfId="20" applyFont="1" applyFill="1" applyBorder="1" applyAlignment="1" applyProtection="1">
      <alignment horizontal="left" indent="3"/>
    </xf>
    <xf numFmtId="0" fontId="139" fillId="0" borderId="0" xfId="20" applyFont="1" applyFill="1" applyAlignment="1" applyProtection="1">
      <alignment horizontal="left" indent="2"/>
    </xf>
    <xf numFmtId="0" fontId="139" fillId="0" borderId="0" xfId="20" applyFont="1" applyFill="1" applyBorder="1" applyAlignment="1" applyProtection="1">
      <alignment horizontal="left" indent="1"/>
    </xf>
    <xf numFmtId="182" fontId="139" fillId="0" borderId="0" xfId="20" applyNumberFormat="1" applyFont="1" applyFill="1" applyBorder="1" applyProtection="1"/>
    <xf numFmtId="181" fontId="137" fillId="0" borderId="0" xfId="19" applyNumberFormat="1" applyFont="1"/>
    <xf numFmtId="0" fontId="139" fillId="0" borderId="0" xfId="20" quotePrefix="1" applyFont="1" applyFill="1" applyBorder="1" applyAlignment="1" applyProtection="1">
      <alignment horizontal="center"/>
    </xf>
    <xf numFmtId="181" fontId="139" fillId="0" borderId="78" xfId="20" applyNumberFormat="1" applyFont="1" applyFill="1" applyBorder="1"/>
    <xf numFmtId="0" fontId="142" fillId="0" borderId="78" xfId="20" applyNumberFormat="1" applyFont="1" applyFill="1" applyBorder="1" applyAlignment="1" applyProtection="1">
      <alignment horizontal="right"/>
    </xf>
    <xf numFmtId="0" fontId="139" fillId="0" borderId="78" xfId="20" applyFont="1" applyFill="1" applyBorder="1" applyProtection="1"/>
    <xf numFmtId="181" fontId="139" fillId="0" borderId="0" xfId="20" applyNumberFormat="1" applyFont="1" applyFill="1"/>
    <xf numFmtId="0" fontId="142" fillId="0" borderId="0" xfId="20" applyNumberFormat="1" applyFont="1" applyFill="1" applyBorder="1" applyAlignment="1" applyProtection="1">
      <alignment horizontal="right"/>
    </xf>
    <xf numFmtId="181" fontId="142" fillId="0" borderId="0" xfId="20" applyNumberFormat="1" applyFont="1" applyFill="1" applyBorder="1" applyAlignment="1" applyProtection="1">
      <alignment horizontal="right"/>
    </xf>
    <xf numFmtId="0" fontId="140" fillId="0" borderId="0" xfId="20" applyFont="1" applyFill="1" applyBorder="1"/>
    <xf numFmtId="14" fontId="139" fillId="0" borderId="0" xfId="20" quotePrefix="1" applyNumberFormat="1" applyFont="1" applyFill="1" applyAlignment="1" applyProtection="1">
      <alignment horizontal="center"/>
    </xf>
    <xf numFmtId="0" fontId="139" fillId="0" borderId="78" xfId="20" applyFont="1" applyFill="1" applyBorder="1" applyAlignment="1" applyProtection="1">
      <alignment horizontal="centerContinuous"/>
    </xf>
    <xf numFmtId="0" fontId="139" fillId="0" borderId="0" xfId="20" applyFont="1" applyFill="1" applyBorder="1" applyAlignment="1" applyProtection="1">
      <alignment horizontal="centerContinuous"/>
    </xf>
    <xf numFmtId="0" fontId="139" fillId="0" borderId="0" xfId="20" applyFont="1" applyFill="1" applyAlignment="1" applyProtection="1">
      <alignment horizontal="left" indent="4"/>
    </xf>
    <xf numFmtId="0" fontId="140" fillId="0" borderId="0" xfId="20" quotePrefix="1" applyFont="1" applyFill="1" applyBorder="1" applyAlignment="1">
      <alignment horizontal="center"/>
    </xf>
    <xf numFmtId="181" fontId="140" fillId="0" borderId="78" xfId="21" applyNumberFormat="1" applyFont="1" applyFill="1" applyBorder="1"/>
    <xf numFmtId="0" fontId="137" fillId="0" borderId="78" xfId="19" applyFont="1" applyFill="1" applyBorder="1"/>
    <xf numFmtId="183" fontId="137" fillId="0" borderId="0" xfId="21" applyNumberFormat="1" applyFont="1" applyFill="1"/>
    <xf numFmtId="183" fontId="137" fillId="0" borderId="0" xfId="21" applyNumberFormat="1" applyFont="1"/>
    <xf numFmtId="0" fontId="140" fillId="0" borderId="0" xfId="20" quotePrefix="1" applyFont="1" applyFill="1" applyAlignment="1">
      <alignment horizontal="center"/>
    </xf>
    <xf numFmtId="183" fontId="139" fillId="0" borderId="0" xfId="21" applyNumberFormat="1" applyFont="1" applyFill="1" applyBorder="1" applyProtection="1"/>
    <xf numFmtId="0" fontId="139" fillId="0" borderId="0" xfId="19" applyFont="1" applyFill="1" applyAlignment="1" applyProtection="1">
      <alignment horizontal="left" indent="3"/>
    </xf>
    <xf numFmtId="0" fontId="139" fillId="0" borderId="0" xfId="20" applyFont="1" applyFill="1" applyBorder="1" applyAlignment="1" applyProtection="1">
      <alignment horizontal="left"/>
    </xf>
    <xf numFmtId="181" fontId="142" fillId="0" borderId="0" xfId="20" applyNumberFormat="1" applyFont="1" applyFill="1" applyAlignment="1" applyProtection="1">
      <alignment horizontal="right"/>
    </xf>
    <xf numFmtId="183" fontId="140" fillId="0" borderId="0" xfId="21" applyNumberFormat="1" applyFont="1" applyFill="1" applyBorder="1"/>
    <xf numFmtId="183" fontId="139" fillId="0" borderId="0" xfId="21" applyNumberFormat="1" applyFont="1" applyFill="1" applyProtection="1"/>
    <xf numFmtId="0" fontId="139" fillId="0" borderId="0" xfId="19" applyFont="1" applyFill="1" applyBorder="1" applyAlignment="1" applyProtection="1">
      <alignment horizontal="left" indent="3"/>
    </xf>
    <xf numFmtId="0" fontId="139" fillId="0" borderId="78" xfId="20" applyFont="1" applyFill="1" applyBorder="1" applyAlignment="1" applyProtection="1">
      <alignment horizontal="left" indent="1"/>
    </xf>
    <xf numFmtId="0" fontId="139" fillId="0" borderId="0" xfId="20" applyFont="1" applyFill="1" applyBorder="1" applyAlignment="1">
      <alignment horizontal="center"/>
    </xf>
    <xf numFmtId="181" fontId="142" fillId="0" borderId="78" xfId="20" applyNumberFormat="1" applyFont="1" applyFill="1" applyBorder="1" applyAlignment="1">
      <alignment horizontal="right"/>
    </xf>
    <xf numFmtId="0" fontId="139" fillId="0" borderId="78" xfId="20" applyFont="1" applyFill="1" applyBorder="1" applyAlignment="1">
      <alignment horizontal="center"/>
    </xf>
    <xf numFmtId="0" fontId="139" fillId="0" borderId="78" xfId="19" applyFont="1" applyFill="1" applyBorder="1" applyAlignment="1" applyProtection="1">
      <alignment horizontal="left" indent="2"/>
    </xf>
    <xf numFmtId="181" fontId="142" fillId="0" borderId="0" xfId="20" applyNumberFormat="1" applyFont="1" applyFill="1" applyBorder="1" applyAlignment="1">
      <alignment horizontal="right"/>
    </xf>
    <xf numFmtId="0" fontId="139" fillId="0" borderId="0" xfId="19" applyFont="1" applyFill="1" applyBorder="1" applyAlignment="1" applyProtection="1">
      <alignment horizontal="left" indent="2"/>
    </xf>
    <xf numFmtId="0" fontId="140" fillId="0" borderId="0" xfId="20" applyFont="1" applyFill="1" applyAlignment="1">
      <alignment horizontal="left" indent="1"/>
    </xf>
    <xf numFmtId="181" fontId="139" fillId="0" borderId="0" xfId="20" applyNumberFormat="1" applyFont="1" applyFill="1" applyBorder="1" applyAlignment="1">
      <alignment horizontal="center"/>
    </xf>
    <xf numFmtId="0" fontId="139" fillId="0" borderId="78" xfId="20" applyFont="1" applyFill="1" applyBorder="1"/>
    <xf numFmtId="0" fontId="141" fillId="0" borderId="0" xfId="20" applyFont="1" applyFill="1" applyBorder="1"/>
    <xf numFmtId="0" fontId="143" fillId="0" borderId="78" xfId="20" applyNumberFormat="1" applyFont="1" applyFill="1" applyBorder="1" applyAlignment="1" applyProtection="1">
      <alignment horizontal="right"/>
    </xf>
    <xf numFmtId="182" fontId="139" fillId="0" borderId="0" xfId="20" applyNumberFormat="1" applyFont="1" applyFill="1"/>
    <xf numFmtId="0" fontId="139" fillId="0" borderId="78" xfId="3" applyFont="1" applyFill="1" applyBorder="1" applyAlignment="1" applyProtection="1">
      <alignment horizontal="center"/>
    </xf>
    <xf numFmtId="0" fontId="137" fillId="0" borderId="78" xfId="3" applyFont="1" applyFill="1" applyBorder="1" applyAlignment="1" applyProtection="1">
      <alignment horizontal="center"/>
    </xf>
    <xf numFmtId="43" fontId="139" fillId="0" borderId="0" xfId="21" applyFont="1" applyFill="1" applyBorder="1"/>
    <xf numFmtId="0" fontId="139" fillId="0" borderId="0" xfId="20" applyFont="1" applyFill="1" applyBorder="1" applyAlignment="1" applyProtection="1">
      <alignment horizontal="left" indent="4"/>
    </xf>
    <xf numFmtId="0" fontId="143" fillId="0" borderId="0" xfId="20" applyNumberFormat="1" applyFont="1" applyFill="1" applyBorder="1" applyAlignment="1" applyProtection="1">
      <alignment horizontal="right"/>
    </xf>
    <xf numFmtId="0" fontId="137" fillId="0" borderId="0" xfId="19" applyFont="1" applyFill="1" applyAlignment="1">
      <alignment horizontal="center"/>
    </xf>
    <xf numFmtId="0" fontId="139" fillId="0" borderId="0" xfId="20" applyFont="1" applyFill="1" applyAlignment="1" applyProtection="1">
      <alignment horizontal="left" indent="3"/>
    </xf>
    <xf numFmtId="49" fontId="139" fillId="0" borderId="0" xfId="20" quotePrefix="1" applyNumberFormat="1" applyFont="1" applyFill="1" applyBorder="1" applyAlignment="1" applyProtection="1">
      <alignment horizontal="center"/>
    </xf>
    <xf numFmtId="0" fontId="139" fillId="0" borderId="0" xfId="20" applyFont="1" applyFill="1" applyBorder="1" applyAlignment="1">
      <alignment horizontal="left" indent="2"/>
    </xf>
    <xf numFmtId="49" fontId="139" fillId="0" borderId="78" xfId="20" quotePrefix="1" applyNumberFormat="1" applyFont="1" applyFill="1" applyBorder="1" applyAlignment="1" applyProtection="1">
      <alignment horizontal="center"/>
    </xf>
    <xf numFmtId="0" fontId="137" fillId="0" borderId="78" xfId="19" applyFont="1" applyBorder="1"/>
    <xf numFmtId="49" fontId="139" fillId="0" borderId="0" xfId="20" quotePrefix="1" applyNumberFormat="1" applyFont="1" applyFill="1" applyAlignment="1" applyProtection="1">
      <alignment horizontal="center"/>
    </xf>
    <xf numFmtId="181" fontId="137" fillId="0" borderId="0" xfId="19" applyNumberFormat="1" applyFont="1" applyFill="1"/>
    <xf numFmtId="0" fontId="137" fillId="0" borderId="0" xfId="19" applyFont="1" applyBorder="1"/>
    <xf numFmtId="0" fontId="142" fillId="0" borderId="78" xfId="19" applyFont="1" applyFill="1" applyBorder="1" applyAlignment="1">
      <alignment horizontal="right"/>
    </xf>
    <xf numFmtId="43" fontId="140" fillId="0" borderId="78" xfId="21" applyFont="1" applyFill="1" applyBorder="1"/>
    <xf numFmtId="43" fontId="139" fillId="0" borderId="0" xfId="21" applyFont="1" applyFill="1" applyBorder="1" applyProtection="1"/>
    <xf numFmtId="0" fontId="139" fillId="0" borderId="168" xfId="20" applyFont="1" applyFill="1" applyBorder="1" applyProtection="1"/>
    <xf numFmtId="0" fontId="139" fillId="0" borderId="168" xfId="20" applyFont="1" applyFill="1" applyBorder="1" applyAlignment="1" applyProtection="1">
      <alignment horizontal="center"/>
    </xf>
    <xf numFmtId="0" fontId="139" fillId="0" borderId="76" xfId="20" applyFont="1" applyFill="1" applyBorder="1" applyAlignment="1" applyProtection="1">
      <alignment horizontal="centerContinuous"/>
    </xf>
    <xf numFmtId="41" fontId="142" fillId="0" borderId="0" xfId="20" applyNumberFormat="1" applyFont="1" applyFill="1" applyBorder="1" applyAlignment="1" applyProtection="1">
      <alignment horizontal="center"/>
    </xf>
    <xf numFmtId="0" fontId="139" fillId="0" borderId="167" xfId="20" applyFont="1" applyFill="1" applyBorder="1" applyAlignment="1" applyProtection="1">
      <alignment horizontal="left"/>
    </xf>
    <xf numFmtId="0" fontId="141" fillId="0" borderId="0" xfId="20" applyFont="1" applyFill="1" applyBorder="1" applyProtection="1"/>
    <xf numFmtId="0" fontId="141" fillId="0" borderId="0" xfId="20" applyFont="1" applyFill="1" applyBorder="1" applyAlignment="1" applyProtection="1">
      <alignment horizontal="right"/>
    </xf>
    <xf numFmtId="0" fontId="139" fillId="0" borderId="0" xfId="20" applyFont="1" applyFill="1" applyAlignment="1" applyProtection="1">
      <alignment horizontal="left"/>
    </xf>
    <xf numFmtId="0" fontId="142" fillId="0" borderId="0" xfId="20" applyFont="1" applyFill="1" applyAlignment="1" applyProtection="1">
      <alignment horizontal="left"/>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3" fontId="53" fillId="0" borderId="77" xfId="3" quotePrefix="1" applyNumberFormat="1" applyFont="1" applyBorder="1" applyAlignment="1" applyProtection="1">
      <alignment horizontal="right" indent="1"/>
      <protection locked="0"/>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139" fillId="0" borderId="98" xfId="20" applyFont="1" applyFill="1" applyBorder="1" applyAlignment="1" applyProtection="1">
      <alignment horizontal="center"/>
    </xf>
    <xf numFmtId="0" fontId="139" fillId="0" borderId="99" xfId="20" applyFont="1" applyFill="1" applyBorder="1" applyAlignment="1" applyProtection="1">
      <alignment horizontal="center"/>
    </xf>
    <xf numFmtId="0" fontId="139" fillId="0" borderId="0" xfId="20" applyFont="1" applyFill="1" applyBorder="1" applyAlignment="1" applyProtection="1">
      <alignment horizontal="center"/>
    </xf>
    <xf numFmtId="0" fontId="139" fillId="0" borderId="150" xfId="20" applyFont="1" applyFill="1" applyBorder="1" applyAlignment="1" applyProtection="1">
      <alignment horizontal="center"/>
    </xf>
    <xf numFmtId="0" fontId="139" fillId="0" borderId="151" xfId="20" applyFont="1" applyFill="1" applyBorder="1" applyAlignment="1" applyProtection="1">
      <alignment horizont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7 Aurora East School District  9000"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28575</xdr:rowOff>
        </xdr:from>
        <xdr:to>
          <xdr:col>1</xdr:col>
          <xdr:colOff>1190625</xdr:colOff>
          <xdr:row>10</xdr:row>
          <xdr:rowOff>0</xdr:rowOff>
        </xdr:to>
        <xdr:sp macro="" textlink="">
          <xdr:nvSpPr>
            <xdr:cNvPr id="64514" name="Object 2" hidden="1">
              <a:extLst>
                <a:ext uri="{63B3BB69-23CF-44E3-9099-C40C66FF867C}">
                  <a14:compatExt spid="_x0000_s645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Normal="100" workbookViewId="0">
      <selection activeCell="A14" sqref="A14"/>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1685</v>
      </c>
      <c r="B1" s="45"/>
      <c r="C1" s="45"/>
      <c r="D1" s="46"/>
      <c r="I1" s="2120" t="s">
        <v>424</v>
      </c>
      <c r="J1" s="2121"/>
      <c r="K1" s="2121"/>
      <c r="L1" s="2121"/>
      <c r="M1" s="2121"/>
      <c r="N1" s="2121"/>
      <c r="O1" s="2121"/>
      <c r="P1" s="2121"/>
      <c r="Q1" s="2121"/>
      <c r="R1" s="2121"/>
      <c r="S1" s="2121"/>
    </row>
    <row r="2" spans="1:28" ht="12" customHeight="1">
      <c r="A2" s="47" t="s">
        <v>1683</v>
      </c>
      <c r="D2" s="48"/>
      <c r="I2" s="2122" t="s">
        <v>1035</v>
      </c>
      <c r="J2" s="2121"/>
      <c r="K2" s="2121"/>
      <c r="L2" s="2121"/>
      <c r="M2" s="2121"/>
      <c r="N2" s="2121"/>
      <c r="O2" s="2121"/>
      <c r="P2" s="2121"/>
      <c r="Q2" s="2121"/>
      <c r="R2" s="2121"/>
      <c r="S2" s="2121"/>
    </row>
    <row r="3" spans="1:28" ht="12" customHeight="1">
      <c r="A3" s="155" t="s">
        <v>1684</v>
      </c>
      <c r="B3" s="156"/>
      <c r="C3" s="156"/>
      <c r="D3" s="157"/>
      <c r="I3" s="2122" t="s">
        <v>54</v>
      </c>
      <c r="J3" s="2121"/>
      <c r="K3" s="2121"/>
      <c r="L3" s="2121"/>
      <c r="M3" s="2121"/>
      <c r="N3" s="2121"/>
      <c r="O3" s="2121"/>
      <c r="P3" s="2121"/>
      <c r="Q3" s="2121"/>
      <c r="R3" s="2121"/>
      <c r="S3" s="2121"/>
    </row>
    <row r="4" spans="1:28" ht="12" customHeight="1">
      <c r="A4" s="37"/>
      <c r="I4" s="2122" t="s">
        <v>544</v>
      </c>
      <c r="J4" s="2121"/>
      <c r="K4" s="2121"/>
      <c r="L4" s="2121"/>
      <c r="M4" s="2121"/>
      <c r="N4" s="2121"/>
      <c r="O4" s="2121"/>
      <c r="P4" s="2121"/>
      <c r="Q4" s="2121"/>
      <c r="R4" s="2121"/>
      <c r="S4" s="2121"/>
    </row>
    <row r="5" spans="1:28" ht="14.1" customHeight="1">
      <c r="B5" s="104" t="s">
        <v>2073</v>
      </c>
      <c r="C5" s="26" t="s">
        <v>965</v>
      </c>
      <c r="D5" s="84"/>
      <c r="E5" s="84"/>
      <c r="H5" s="38"/>
      <c r="I5" s="2130" t="s">
        <v>700</v>
      </c>
      <c r="J5" s="2129"/>
      <c r="K5" s="2129"/>
      <c r="L5" s="2129"/>
      <c r="M5" s="2129"/>
      <c r="N5" s="2129"/>
      <c r="O5" s="2129"/>
      <c r="P5" s="2129"/>
      <c r="Q5" s="2129"/>
      <c r="R5" s="2129"/>
      <c r="S5" s="2129"/>
    </row>
    <row r="6" spans="1:28" ht="14.1" customHeight="1">
      <c r="B6" s="104"/>
      <c r="C6" s="26" t="s">
        <v>966</v>
      </c>
      <c r="D6" s="84"/>
      <c r="E6" s="84"/>
      <c r="I6" s="2128" t="s">
        <v>937</v>
      </c>
      <c r="J6" s="2129"/>
      <c r="K6" s="2129"/>
      <c r="L6" s="2129"/>
      <c r="M6" s="2129"/>
      <c r="N6" s="2129"/>
      <c r="O6" s="2129"/>
      <c r="P6" s="2129"/>
      <c r="Q6" s="2129"/>
      <c r="R6" s="2129"/>
      <c r="S6" s="2129"/>
    </row>
    <row r="7" spans="1:28" ht="12.2" customHeight="1">
      <c r="I7" s="2123">
        <v>43281</v>
      </c>
      <c r="J7" s="2124"/>
      <c r="K7" s="2124"/>
      <c r="L7" s="2124"/>
      <c r="M7" s="2124"/>
      <c r="N7" s="2124"/>
      <c r="O7" s="2124"/>
      <c r="P7" s="2124"/>
      <c r="Q7" s="2124"/>
      <c r="R7" s="2124"/>
      <c r="S7" s="2124"/>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25" t="s">
        <v>694</v>
      </c>
      <c r="J9" s="2126"/>
      <c r="K9" s="2126"/>
      <c r="L9" s="2126"/>
      <c r="M9" s="2126"/>
      <c r="N9" s="2126"/>
      <c r="O9" s="2126"/>
      <c r="P9" s="2126"/>
      <c r="Q9" s="2126"/>
      <c r="R9" s="2126"/>
      <c r="S9" s="2127"/>
      <c r="T9" s="2141" t="s">
        <v>553</v>
      </c>
      <c r="U9" s="2142"/>
      <c r="V9" s="2142"/>
      <c r="W9" s="2142"/>
      <c r="X9" s="2142"/>
      <c r="Y9" s="2142"/>
      <c r="Z9" s="2142"/>
      <c r="AA9" s="2143"/>
    </row>
    <row r="10" spans="1:28" ht="13.5" customHeight="1">
      <c r="A10" s="2148" t="s">
        <v>695</v>
      </c>
      <c r="B10" s="2149"/>
      <c r="C10" s="2149"/>
      <c r="D10" s="2149"/>
      <c r="E10" s="2149"/>
      <c r="F10" s="2149"/>
      <c r="G10" s="2149"/>
      <c r="H10" s="2150"/>
      <c r="I10" s="29"/>
      <c r="J10" s="30"/>
      <c r="K10" s="28"/>
      <c r="R10" s="30"/>
      <c r="S10" s="30"/>
      <c r="T10" s="2144"/>
      <c r="U10" s="2129"/>
      <c r="V10" s="2129"/>
      <c r="W10" s="2129"/>
      <c r="X10" s="2129"/>
      <c r="Y10" s="2129"/>
      <c r="Z10" s="2129"/>
      <c r="AA10" s="2135"/>
    </row>
    <row r="11" spans="1:28" ht="14.25" customHeight="1">
      <c r="A11" s="2151" t="s">
        <v>1011</v>
      </c>
      <c r="B11" s="2152"/>
      <c r="C11" s="2152"/>
      <c r="D11" s="2152"/>
      <c r="E11" s="2152"/>
      <c r="F11" s="2152"/>
      <c r="G11" s="2152"/>
      <c r="H11" s="2153"/>
      <c r="I11" s="27"/>
      <c r="J11" s="74"/>
      <c r="K11" s="27"/>
      <c r="O11" s="148" t="s">
        <v>2073</v>
      </c>
      <c r="P11" s="100" t="s">
        <v>210</v>
      </c>
      <c r="Q11" s="30"/>
      <c r="R11" s="28"/>
      <c r="S11" s="27"/>
      <c r="T11" s="2145"/>
      <c r="U11" s="2146"/>
      <c r="V11" s="2146"/>
      <c r="W11" s="2146"/>
      <c r="X11" s="2146"/>
      <c r="Y11" s="2146"/>
      <c r="Z11" s="2146"/>
      <c r="AA11" s="2147"/>
    </row>
    <row r="12" spans="1:28" ht="13.5" customHeight="1">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c r="A13" s="2155">
        <v>5016065004</v>
      </c>
      <c r="B13" s="2156"/>
      <c r="C13" s="2156"/>
      <c r="D13" s="2156"/>
      <c r="E13" s="2156"/>
      <c r="F13" s="2156"/>
      <c r="G13" s="2156"/>
      <c r="H13" s="2157"/>
      <c r="I13" s="31"/>
      <c r="J13" s="30"/>
      <c r="K13" s="28"/>
      <c r="L13" s="30"/>
      <c r="M13" s="30"/>
      <c r="N13" s="30"/>
      <c r="O13" s="30"/>
      <c r="P13" s="30"/>
      <c r="Q13" s="30"/>
      <c r="R13" s="30"/>
      <c r="S13" s="30"/>
      <c r="T13" s="2160" t="s">
        <v>2083</v>
      </c>
      <c r="U13" s="2161"/>
      <c r="V13" s="2161"/>
      <c r="W13" s="2161"/>
      <c r="X13" s="2161"/>
      <c r="Y13" s="2162"/>
      <c r="Z13" s="2162"/>
      <c r="AA13" s="2163"/>
    </row>
    <row r="14" spans="1:28" ht="14.1" customHeight="1">
      <c r="A14" s="85" t="s">
        <v>736</v>
      </c>
      <c r="B14" s="76"/>
      <c r="C14" s="76"/>
      <c r="D14" s="76"/>
      <c r="E14" s="76"/>
      <c r="F14" s="76"/>
      <c r="G14" s="76"/>
      <c r="H14" s="53"/>
      <c r="I14" s="116"/>
      <c r="S14" s="48"/>
      <c r="T14" s="85" t="s">
        <v>1395</v>
      </c>
      <c r="U14" s="51"/>
      <c r="V14" s="51"/>
      <c r="W14" s="51"/>
      <c r="X14" s="51"/>
      <c r="Y14" s="45"/>
      <c r="Z14" s="45"/>
      <c r="AA14" s="46"/>
    </row>
    <row r="15" spans="1:28" ht="13.5" customHeight="1">
      <c r="A15" s="2154" t="s">
        <v>2074</v>
      </c>
      <c r="B15" s="2158"/>
      <c r="C15" s="2158"/>
      <c r="D15" s="2158"/>
      <c r="E15" s="2158"/>
      <c r="F15" s="2158"/>
      <c r="G15" s="2158"/>
      <c r="H15" s="2159"/>
      <c r="T15" s="2164" t="s">
        <v>2084</v>
      </c>
      <c r="U15" s="2108"/>
      <c r="V15" s="2108"/>
      <c r="W15" s="2108"/>
      <c r="X15" s="2108"/>
      <c r="Y15" s="2165"/>
      <c r="Z15" s="2165"/>
      <c r="AA15" s="2166"/>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114" t="s">
        <v>2075</v>
      </c>
      <c r="B17" s="2115"/>
      <c r="C17" s="2115"/>
      <c r="D17" s="2115"/>
      <c r="E17" s="2115"/>
      <c r="F17" s="2115"/>
      <c r="G17" s="2115"/>
      <c r="H17" s="2140"/>
      <c r="T17" s="2171" t="s">
        <v>2085</v>
      </c>
      <c r="U17" s="2172"/>
      <c r="V17" s="2172"/>
      <c r="W17" s="2172"/>
      <c r="X17" s="2172"/>
      <c r="Y17" s="2172"/>
      <c r="Z17" s="2172"/>
      <c r="AA17" s="2173"/>
    </row>
    <row r="18" spans="1:27" ht="13.5" customHeight="1">
      <c r="A18" s="85" t="s">
        <v>550</v>
      </c>
      <c r="B18" s="76"/>
      <c r="C18" s="72"/>
      <c r="D18" s="76"/>
      <c r="E18" s="76"/>
      <c r="F18" s="76"/>
      <c r="G18" s="76"/>
      <c r="H18" s="56"/>
      <c r="I18" s="2139" t="s">
        <v>696</v>
      </c>
      <c r="J18" s="2090"/>
      <c r="K18" s="2090"/>
      <c r="L18" s="2090"/>
      <c r="M18" s="2090"/>
      <c r="N18" s="2090"/>
      <c r="O18" s="2090"/>
      <c r="P18" s="2090"/>
      <c r="Q18" s="2090"/>
      <c r="R18" s="2090"/>
      <c r="S18" s="2091"/>
      <c r="T18" s="85" t="s">
        <v>734</v>
      </c>
      <c r="U18" s="51"/>
      <c r="V18" s="72"/>
      <c r="W18" s="50"/>
      <c r="X18" s="85" t="s">
        <v>283</v>
      </c>
      <c r="Y18" s="81"/>
      <c r="Z18" s="159" t="s">
        <v>697</v>
      </c>
      <c r="AA18" s="46"/>
    </row>
    <row r="19" spans="1:27" ht="13.5" customHeight="1">
      <c r="A19" s="2154" t="s">
        <v>2076</v>
      </c>
      <c r="B19" s="2100"/>
      <c r="C19" s="2100"/>
      <c r="D19" s="2100"/>
      <c r="E19" s="2100"/>
      <c r="F19" s="2100"/>
      <c r="G19" s="2100"/>
      <c r="H19" s="2080"/>
      <c r="I19" s="30"/>
      <c r="J19" s="99"/>
      <c r="K19" s="40"/>
      <c r="L19" s="38"/>
      <c r="M19" s="112" t="s">
        <v>332</v>
      </c>
      <c r="P19" s="27"/>
      <c r="Q19" s="27"/>
      <c r="R19" s="27"/>
      <c r="S19" s="31"/>
      <c r="T19" s="2154" t="s">
        <v>2086</v>
      </c>
      <c r="U19" s="2079"/>
      <c r="V19" s="2079"/>
      <c r="W19" s="2080"/>
      <c r="X19" s="2169" t="s">
        <v>2087</v>
      </c>
      <c r="Y19" s="2170"/>
      <c r="Z19" s="2167">
        <v>60606</v>
      </c>
      <c r="AA19" s="2168"/>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2078" t="s">
        <v>2077</v>
      </c>
      <c r="B21" s="2079"/>
      <c r="C21" s="2079"/>
      <c r="D21" s="2079"/>
      <c r="E21" s="2079"/>
      <c r="F21" s="2079"/>
      <c r="G21" s="2079"/>
      <c r="H21" s="2080"/>
      <c r="I21" s="2134" t="s">
        <v>698</v>
      </c>
      <c r="J21" s="2129"/>
      <c r="K21" s="2129"/>
      <c r="L21" s="2129"/>
      <c r="M21" s="2129"/>
      <c r="N21" s="2129"/>
      <c r="O21" s="2129"/>
      <c r="P21" s="2129"/>
      <c r="Q21" s="2129"/>
      <c r="R21" s="2129"/>
      <c r="S21" s="2135"/>
      <c r="T21" s="2178" t="s">
        <v>2088</v>
      </c>
      <c r="U21" s="2179"/>
      <c r="V21" s="2179"/>
      <c r="W21" s="2179"/>
      <c r="X21" s="2184" t="s">
        <v>2089</v>
      </c>
      <c r="Y21" s="2185"/>
      <c r="Z21" s="2185"/>
      <c r="AA21" s="2186"/>
    </row>
    <row r="22" spans="1:27" ht="13.5" customHeight="1">
      <c r="A22" s="87" t="s">
        <v>551</v>
      </c>
      <c r="B22" s="59"/>
      <c r="C22" s="59"/>
      <c r="D22" s="59"/>
      <c r="E22" s="59"/>
      <c r="F22" s="59"/>
      <c r="G22" s="59"/>
      <c r="H22" s="60"/>
      <c r="I22" s="2136" t="s">
        <v>1503</v>
      </c>
      <c r="J22" s="2137"/>
      <c r="K22" s="2137"/>
      <c r="L22" s="2137"/>
      <c r="M22" s="2137"/>
      <c r="N22" s="2137"/>
      <c r="O22" s="2137"/>
      <c r="P22" s="2137"/>
      <c r="Q22" s="2137"/>
      <c r="R22" s="2137"/>
      <c r="S22" s="2138"/>
      <c r="T22" s="85" t="s">
        <v>1595</v>
      </c>
      <c r="U22" s="51"/>
      <c r="V22" s="72"/>
      <c r="W22" s="51"/>
      <c r="X22" s="160" t="s">
        <v>1384</v>
      </c>
      <c r="Z22" s="45"/>
      <c r="AA22" s="46"/>
    </row>
    <row r="23" spans="1:27" ht="13.5" customHeight="1">
      <c r="A23" s="2131" t="s">
        <v>2078</v>
      </c>
      <c r="B23" s="2132"/>
      <c r="C23" s="2132"/>
      <c r="D23" s="2132"/>
      <c r="E23" s="2132"/>
      <c r="F23" s="2132"/>
      <c r="G23" s="2132"/>
      <c r="H23" s="2133"/>
      <c r="T23" s="2114" t="s">
        <v>2090</v>
      </c>
      <c r="U23" s="2177"/>
      <c r="V23" s="2177"/>
      <c r="W23" s="2177"/>
      <c r="X23" s="2181"/>
      <c r="Y23" s="2182"/>
      <c r="Z23" s="2182"/>
      <c r="AA23" s="2183"/>
    </row>
    <row r="24" spans="1:27" ht="14.1" customHeight="1">
      <c r="A24" s="88" t="s">
        <v>697</v>
      </c>
      <c r="B24" s="49"/>
      <c r="C24" s="49"/>
      <c r="D24" s="49"/>
      <c r="E24" s="49"/>
      <c r="F24" s="49"/>
      <c r="G24" s="49"/>
      <c r="H24" s="61"/>
      <c r="J24" s="2101">
        <f>IF(B5="x",IF(AUDITCHECK!D29="AFR form Incomplete.","",IF(AUDITCHECK!D29="Deficit reduction plan is required.","School District must complete a deficit reduction plan in the 2018-2019 Budget",)),"")</f>
        <v>0</v>
      </c>
      <c r="K24" s="2101"/>
      <c r="L24" s="2101"/>
      <c r="M24" s="2101"/>
      <c r="N24" s="2101"/>
      <c r="O24" s="2101"/>
      <c r="P24" s="2101"/>
      <c r="Q24" s="2101"/>
      <c r="R24" s="2101"/>
      <c r="S24" s="2102"/>
      <c r="T24" s="105" t="s">
        <v>551</v>
      </c>
      <c r="U24" s="106"/>
      <c r="V24" s="106"/>
      <c r="W24" s="106"/>
      <c r="X24" s="107"/>
      <c r="Y24" s="107"/>
      <c r="Z24" s="107"/>
      <c r="AA24" s="108"/>
    </row>
    <row r="25" spans="1:27" ht="14.1" customHeight="1">
      <c r="A25" s="2078">
        <v>60201</v>
      </c>
      <c r="B25" s="2079"/>
      <c r="C25" s="2079"/>
      <c r="D25" s="2079"/>
      <c r="E25" s="2079"/>
      <c r="F25" s="2079"/>
      <c r="G25" s="2079"/>
      <c r="H25" s="2080"/>
      <c r="I25" s="113"/>
      <c r="J25" s="2103"/>
      <c r="K25" s="2103"/>
      <c r="L25" s="2103"/>
      <c r="M25" s="2103"/>
      <c r="N25" s="2103"/>
      <c r="O25" s="2103"/>
      <c r="P25" s="2103"/>
      <c r="Q25" s="2103"/>
      <c r="R25" s="2103"/>
      <c r="S25" s="2104"/>
      <c r="T25" s="2174" t="s">
        <v>2091</v>
      </c>
      <c r="U25" s="2175"/>
      <c r="V25" s="2175"/>
      <c r="W25" s="2175"/>
      <c r="X25" s="2175"/>
      <c r="Y25" s="2175"/>
      <c r="Z25" s="2175"/>
      <c r="AA25" s="2176"/>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2089" t="s">
        <v>1590</v>
      </c>
      <c r="J27" s="2090"/>
      <c r="K27" s="2090"/>
      <c r="L27" s="2090"/>
      <c r="M27" s="2090"/>
      <c r="N27" s="2090"/>
      <c r="O27" s="2090"/>
      <c r="P27" s="2090"/>
      <c r="Q27" s="2090"/>
      <c r="R27" s="2090"/>
      <c r="S27" s="2091"/>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48" t="s">
        <v>2073</v>
      </c>
      <c r="K31" s="40" t="s">
        <v>939</v>
      </c>
      <c r="L31" s="102"/>
      <c r="M31" s="40" t="s">
        <v>101</v>
      </c>
      <c r="N31" s="32" t="s">
        <v>1681</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2073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2100"/>
      <c r="Q35" s="2079"/>
      <c r="R35" s="2079"/>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2114" t="s">
        <v>2079</v>
      </c>
      <c r="B38" s="2115"/>
      <c r="C38" s="2115"/>
      <c r="D38" s="2115"/>
      <c r="E38" s="2115"/>
      <c r="F38" s="2079"/>
      <c r="G38" s="2079"/>
      <c r="H38" s="2080"/>
      <c r="I38" s="2107"/>
      <c r="J38" s="2108"/>
      <c r="K38" s="2108"/>
      <c r="L38" s="2108"/>
      <c r="M38" s="2108"/>
      <c r="N38" s="2108"/>
      <c r="O38" s="2108"/>
      <c r="P38" s="2109"/>
      <c r="Q38" s="2109"/>
      <c r="R38" s="2109"/>
      <c r="S38" s="2110"/>
      <c r="T38" s="2164"/>
      <c r="U38" s="2108"/>
      <c r="V38" s="2108"/>
      <c r="W38" s="2108"/>
      <c r="X38" s="2109"/>
      <c r="Y38" s="2109"/>
      <c r="Z38" s="2109"/>
      <c r="AA38" s="2110"/>
    </row>
    <row r="39" spans="1:27" ht="12" customHeight="1">
      <c r="A39" s="2084" t="s">
        <v>551</v>
      </c>
      <c r="B39" s="2085"/>
      <c r="C39" s="72"/>
      <c r="D39" s="69"/>
      <c r="E39" s="69"/>
      <c r="F39" s="79"/>
      <c r="G39" s="69"/>
      <c r="H39" s="56"/>
      <c r="I39" s="2084" t="s">
        <v>551</v>
      </c>
      <c r="J39" s="2085"/>
      <c r="K39" s="2085"/>
      <c r="L39" s="2085"/>
      <c r="M39" s="2085"/>
      <c r="N39" s="67"/>
      <c r="O39" s="72"/>
      <c r="P39" s="72"/>
      <c r="Q39" s="78"/>
      <c r="R39" s="72"/>
      <c r="S39" s="56"/>
      <c r="T39" s="72" t="s">
        <v>551</v>
      </c>
      <c r="U39" s="51"/>
      <c r="V39" s="72"/>
      <c r="W39" s="50"/>
      <c r="X39" s="78"/>
      <c r="Y39" s="45"/>
      <c r="Z39" s="45"/>
      <c r="AA39" s="46"/>
    </row>
    <row r="40" spans="1:27" ht="13.5" customHeight="1">
      <c r="A40" s="2092" t="s">
        <v>2080</v>
      </c>
      <c r="B40" s="2093"/>
      <c r="C40" s="2094"/>
      <c r="D40" s="2094"/>
      <c r="E40" s="2094"/>
      <c r="F40" s="2095"/>
      <c r="G40" s="2095"/>
      <c r="H40" s="2096"/>
      <c r="I40" s="2117"/>
      <c r="J40" s="2118"/>
      <c r="K40" s="2118"/>
      <c r="L40" s="2118"/>
      <c r="M40" s="2118"/>
      <c r="N40" s="2118"/>
      <c r="O40" s="2118"/>
      <c r="P40" s="2118"/>
      <c r="Q40" s="2118"/>
      <c r="R40" s="2118"/>
      <c r="S40" s="2119"/>
      <c r="T40" s="2117"/>
      <c r="U40" s="2180"/>
      <c r="V40" s="2118"/>
      <c r="W40" s="2118"/>
      <c r="X40" s="2118"/>
      <c r="Y40" s="2118"/>
      <c r="Z40" s="2118"/>
      <c r="AA40" s="2119"/>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106" t="s">
        <v>2081</v>
      </c>
      <c r="B42" s="2098"/>
      <c r="C42" s="2099"/>
      <c r="D42" s="2097" t="s">
        <v>2082</v>
      </c>
      <c r="E42" s="2098"/>
      <c r="F42" s="2098"/>
      <c r="G42" s="2098"/>
      <c r="H42" s="2099"/>
      <c r="I42" s="2081"/>
      <c r="J42" s="2082"/>
      <c r="K42" s="2082"/>
      <c r="L42" s="2082"/>
      <c r="M42" s="2082"/>
      <c r="N42" s="2082"/>
      <c r="O42" s="2083"/>
      <c r="P42" s="2116"/>
      <c r="Q42" s="2082"/>
      <c r="R42" s="2082"/>
      <c r="S42" s="2083"/>
      <c r="T42" s="2081"/>
      <c r="U42" s="2082"/>
      <c r="V42" s="2082"/>
      <c r="W42" s="2083"/>
      <c r="X42" s="2116"/>
      <c r="Y42" s="2082"/>
      <c r="Z42" s="2082"/>
      <c r="AA42" s="2083"/>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111"/>
      <c r="B44" s="2112"/>
      <c r="C44" s="2112"/>
      <c r="D44" s="2112"/>
      <c r="E44" s="2112"/>
      <c r="F44" s="2112"/>
      <c r="G44" s="2112"/>
      <c r="H44" s="2113"/>
      <c r="I44" s="2086"/>
      <c r="J44" s="2087"/>
      <c r="K44" s="2087"/>
      <c r="L44" s="2087"/>
      <c r="M44" s="2087"/>
      <c r="N44" s="2087"/>
      <c r="O44" s="2087"/>
      <c r="P44" s="2087"/>
      <c r="Q44" s="2087"/>
      <c r="R44" s="2087"/>
      <c r="S44" s="2088"/>
      <c r="T44" s="2086"/>
      <c r="U44" s="2105"/>
      <c r="V44" s="2105"/>
      <c r="W44" s="2105"/>
      <c r="X44" s="2105"/>
      <c r="Y44" s="2105"/>
      <c r="Z44" s="2087"/>
      <c r="AA44" s="2088"/>
    </row>
    <row r="45" spans="1:27" ht="13.5" customHeight="1">
      <c r="A45" s="41" t="s">
        <v>195</v>
      </c>
      <c r="Q45" s="41" t="s">
        <v>1490</v>
      </c>
      <c r="R45" s="41"/>
      <c r="S45" s="41"/>
      <c r="T45" s="147"/>
      <c r="U45" s="41"/>
      <c r="V45" s="41"/>
      <c r="W45" s="41"/>
      <c r="X45" s="41"/>
      <c r="Y45" s="41"/>
      <c r="Z45" s="41"/>
      <c r="AA45" s="41"/>
    </row>
    <row r="46" spans="1:27" ht="10.5" customHeight="1">
      <c r="A46" s="42" t="s">
        <v>1686</v>
      </c>
      <c r="D46" s="41"/>
      <c r="E46" s="41"/>
      <c r="F46" s="41"/>
      <c r="G46" s="41"/>
      <c r="Q46" s="29" t="s">
        <v>1491</v>
      </c>
      <c r="R46" s="41"/>
      <c r="S46" s="41"/>
      <c r="T46" s="41"/>
      <c r="U46" s="41"/>
      <c r="V46" s="41"/>
      <c r="W46" s="41"/>
      <c r="X46" s="41"/>
      <c r="Y46" s="41"/>
      <c r="Z46" s="41"/>
      <c r="AA46" s="41"/>
    </row>
    <row r="47" spans="1:27">
      <c r="A47" s="137"/>
      <c r="Q47" s="41" t="s">
        <v>2061</v>
      </c>
      <c r="R47" s="41"/>
      <c r="S47" s="41"/>
      <c r="T47" s="41"/>
      <c r="U47" s="41"/>
      <c r="V47" s="41"/>
      <c r="W47" s="41"/>
      <c r="X47" s="41"/>
      <c r="Y47" s="41"/>
      <c r="Z47" s="41"/>
      <c r="AA47" s="41"/>
    </row>
    <row r="48" spans="1:27">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 sqref="B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1966</v>
      </c>
      <c r="C4" s="162" t="s">
        <v>1230</v>
      </c>
      <c r="D4" s="169" t="s">
        <v>10</v>
      </c>
      <c r="E4" s="170" t="s">
        <v>22</v>
      </c>
    </row>
    <row r="5" spans="1:5">
      <c r="A5" s="168" t="s">
        <v>1968</v>
      </c>
      <c r="C5" s="162" t="s">
        <v>1230</v>
      </c>
      <c r="D5" s="169" t="s">
        <v>10</v>
      </c>
      <c r="E5" s="170" t="s">
        <v>22</v>
      </c>
    </row>
    <row r="6" spans="1:5">
      <c r="A6" s="168" t="s">
        <v>1967</v>
      </c>
      <c r="C6" s="162" t="s">
        <v>1230</v>
      </c>
      <c r="D6" s="167" t="s">
        <v>11</v>
      </c>
      <c r="E6" s="170" t="s">
        <v>997</v>
      </c>
    </row>
    <row r="7" spans="1:5">
      <c r="A7" s="168" t="s">
        <v>1969</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1970</v>
      </c>
      <c r="C11" s="162" t="s">
        <v>1230</v>
      </c>
      <c r="D11" s="169" t="s">
        <v>14</v>
      </c>
      <c r="E11" s="170" t="s">
        <v>1217</v>
      </c>
    </row>
    <row r="12" spans="1:5">
      <c r="B12" s="169" t="s">
        <v>1971</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1972</v>
      </c>
      <c r="C15" s="162" t="s">
        <v>1230</v>
      </c>
      <c r="D15" s="169" t="s">
        <v>17</v>
      </c>
      <c r="E15" s="170" t="s">
        <v>656</v>
      </c>
    </row>
    <row r="16" spans="1:5">
      <c r="A16" s="172"/>
      <c r="B16" s="162" t="s">
        <v>1973</v>
      </c>
      <c r="C16" s="162" t="s">
        <v>1230</v>
      </c>
      <c r="D16" s="169" t="s">
        <v>701</v>
      </c>
      <c r="E16" s="170" t="s">
        <v>1099</v>
      </c>
    </row>
    <row r="17" spans="1:5">
      <c r="B17" s="167" t="s">
        <v>1044</v>
      </c>
      <c r="C17" s="162" t="s">
        <v>1230</v>
      </c>
    </row>
    <row r="18" spans="1:5">
      <c r="B18" s="167" t="s">
        <v>1979</v>
      </c>
      <c r="D18" s="169" t="s">
        <v>18</v>
      </c>
      <c r="E18" s="170" t="s">
        <v>1100</v>
      </c>
    </row>
    <row r="19" spans="1:5">
      <c r="A19" s="168" t="s">
        <v>1160</v>
      </c>
      <c r="C19" s="162" t="s">
        <v>1230</v>
      </c>
      <c r="D19" s="169"/>
      <c r="E19" s="171"/>
    </row>
    <row r="20" spans="1:5">
      <c r="B20" s="167" t="s">
        <v>1974</v>
      </c>
      <c r="C20" s="162" t="s">
        <v>1230</v>
      </c>
      <c r="D20" s="169" t="s">
        <v>19</v>
      </c>
      <c r="E20" s="170" t="s">
        <v>53</v>
      </c>
    </row>
    <row r="21" spans="1:5">
      <c r="B21" s="167" t="s">
        <v>1975</v>
      </c>
      <c r="C21" s="162" t="s">
        <v>1230</v>
      </c>
      <c r="D21" s="169" t="s">
        <v>20</v>
      </c>
      <c r="E21" s="170" t="s">
        <v>1707</v>
      </c>
    </row>
    <row r="22" spans="1:5">
      <c r="A22" s="168"/>
      <c r="B22" s="162" t="s">
        <v>1963</v>
      </c>
      <c r="C22" s="162" t="s">
        <v>1230</v>
      </c>
      <c r="D22" s="167" t="s">
        <v>1965</v>
      </c>
      <c r="E22" s="1858" t="s">
        <v>1708</v>
      </c>
    </row>
    <row r="23" spans="1:5">
      <c r="A23" s="168"/>
      <c r="B23" s="162" t="s">
        <v>1964</v>
      </c>
      <c r="D23" s="167" t="s">
        <v>657</v>
      </c>
      <c r="E23" s="1858" t="s">
        <v>1015</v>
      </c>
    </row>
    <row r="24" spans="1:5">
      <c r="A24" s="168" t="s">
        <v>1706</v>
      </c>
      <c r="C24" s="162" t="s">
        <v>1230</v>
      </c>
      <c r="D24" s="167" t="s">
        <v>1459</v>
      </c>
      <c r="E24" s="170" t="s">
        <v>1016</v>
      </c>
    </row>
    <row r="25" spans="1:5">
      <c r="A25" s="168" t="s">
        <v>1976</v>
      </c>
      <c r="C25" s="162" t="s">
        <v>1230</v>
      </c>
      <c r="D25" s="169" t="s">
        <v>21</v>
      </c>
      <c r="E25" s="170" t="s">
        <v>1101</v>
      </c>
    </row>
    <row r="26" spans="1:5">
      <c r="A26" s="168" t="s">
        <v>1977</v>
      </c>
      <c r="C26" s="162" t="s">
        <v>1230</v>
      </c>
      <c r="D26" s="169" t="s">
        <v>583</v>
      </c>
      <c r="E26" s="170" t="s">
        <v>1102</v>
      </c>
    </row>
    <row r="27" spans="1:5">
      <c r="A27" s="168" t="s">
        <v>1978</v>
      </c>
      <c r="C27" s="162" t="s">
        <v>1230</v>
      </c>
      <c r="D27" s="169" t="s">
        <v>577</v>
      </c>
      <c r="E27" s="170" t="s">
        <v>703</v>
      </c>
    </row>
    <row r="28" spans="1:5">
      <c r="A28" s="168" t="s">
        <v>1980</v>
      </c>
      <c r="D28" s="169" t="s">
        <v>704</v>
      </c>
      <c r="E28" s="170" t="s">
        <v>1432</v>
      </c>
    </row>
    <row r="29" spans="1:5">
      <c r="A29" s="168" t="s">
        <v>1981</v>
      </c>
      <c r="D29" s="169" t="s">
        <v>1460</v>
      </c>
      <c r="E29" s="170" t="s">
        <v>1441</v>
      </c>
    </row>
    <row r="30" spans="1:5">
      <c r="A30" s="173" t="s">
        <v>1982</v>
      </c>
      <c r="C30" s="162" t="s">
        <v>1230</v>
      </c>
      <c r="D30" s="169" t="s">
        <v>42</v>
      </c>
      <c r="E30" s="170" t="s">
        <v>1038</v>
      </c>
    </row>
    <row r="31" spans="1:5">
      <c r="A31" s="168" t="s">
        <v>1601</v>
      </c>
      <c r="C31" s="162" t="s">
        <v>1230</v>
      </c>
      <c r="D31" s="167"/>
      <c r="E31" s="171"/>
    </row>
    <row r="32" spans="1:5">
      <c r="B32" s="167" t="s">
        <v>1983</v>
      </c>
      <c r="C32" s="162" t="s">
        <v>1230</v>
      </c>
      <c r="D32" s="169" t="s">
        <v>1602</v>
      </c>
      <c r="E32" s="170" t="s">
        <v>1461</v>
      </c>
    </row>
    <row r="33" spans="1:5">
      <c r="A33" s="172"/>
      <c r="D33" s="169"/>
      <c r="E33" s="171"/>
    </row>
    <row r="34" spans="1:5">
      <c r="A34" s="172"/>
      <c r="D34" s="169"/>
      <c r="E34" s="171"/>
    </row>
    <row r="35" spans="1:5" ht="15.75" customHeight="1" thickBot="1">
      <c r="A35" s="2190" t="s">
        <v>1124</v>
      </c>
      <c r="B35" s="2190"/>
      <c r="C35" s="2190"/>
      <c r="D35" s="2190"/>
      <c r="E35" s="2190"/>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87" t="s">
        <v>714</v>
      </c>
      <c r="B40" s="2187"/>
      <c r="C40" s="2187"/>
      <c r="D40" s="2187"/>
      <c r="E40" s="2187"/>
    </row>
    <row r="41" spans="1:5">
      <c r="A41" s="2188" t="s">
        <v>1705</v>
      </c>
      <c r="B41" s="2188"/>
      <c r="C41" s="2188"/>
      <c r="D41" s="2188"/>
      <c r="E41" s="2188"/>
    </row>
    <row r="42" spans="1:5" ht="12.75" customHeight="1">
      <c r="A42" s="2189" t="s">
        <v>1079</v>
      </c>
      <c r="B42" s="2189"/>
      <c r="C42" s="2189"/>
      <c r="D42" s="2189"/>
      <c r="E42" s="2189"/>
    </row>
    <row r="43" spans="1:5" ht="6.75" customHeight="1">
      <c r="A43" s="167"/>
      <c r="B43" s="176"/>
    </row>
    <row r="44" spans="1:5">
      <c r="A44" s="185" t="s">
        <v>1039</v>
      </c>
      <c r="B44" s="186" t="s">
        <v>2013</v>
      </c>
    </row>
    <row r="45" spans="1:5" ht="6.75" customHeight="1">
      <c r="A45" s="187"/>
      <c r="B45" s="186"/>
    </row>
    <row r="46" spans="1:5">
      <c r="A46" s="185" t="s">
        <v>1040</v>
      </c>
      <c r="B46" s="169" t="s">
        <v>1710</v>
      </c>
    </row>
    <row r="47" spans="1:5" ht="9.75" customHeight="1">
      <c r="A47" s="189"/>
      <c r="B47" s="188"/>
    </row>
    <row r="48" spans="1:5">
      <c r="A48" s="169" t="s">
        <v>1709</v>
      </c>
      <c r="B48" s="169" t="s">
        <v>1714</v>
      </c>
      <c r="C48" s="177"/>
    </row>
    <row r="49" spans="1:3" ht="9.75" customHeight="1">
      <c r="A49" s="188"/>
      <c r="B49" s="188"/>
      <c r="C49" s="177"/>
    </row>
    <row r="50" spans="1:3">
      <c r="A50" s="200" t="s">
        <v>1711</v>
      </c>
      <c r="B50" s="198" t="s">
        <v>1715</v>
      </c>
    </row>
    <row r="51" spans="1:3">
      <c r="B51" s="169" t="s">
        <v>1870</v>
      </c>
    </row>
    <row r="52" spans="1:3">
      <c r="A52" s="190"/>
      <c r="B52" s="188" t="s">
        <v>1890</v>
      </c>
    </row>
    <row r="53" spans="1:3" ht="4.5" customHeight="1">
      <c r="A53" s="190"/>
      <c r="B53" s="190"/>
    </row>
    <row r="54" spans="1:3">
      <c r="A54" s="190"/>
      <c r="B54" s="201" t="s">
        <v>1712</v>
      </c>
    </row>
    <row r="55" spans="1:3" ht="8.25" customHeight="1">
      <c r="A55" s="190"/>
      <c r="B55" s="191"/>
    </row>
    <row r="56" spans="1:3">
      <c r="A56" s="192"/>
      <c r="B56" s="169" t="s">
        <v>1871</v>
      </c>
    </row>
    <row r="57" spans="1:3">
      <c r="A57" s="193"/>
      <c r="B57" s="190" t="s">
        <v>1873</v>
      </c>
    </row>
    <row r="58" spans="1:3">
      <c r="A58" s="194"/>
      <c r="B58" s="190" t="s">
        <v>1874</v>
      </c>
    </row>
    <row r="59" spans="1:3">
      <c r="A59" s="195"/>
      <c r="B59" s="1507" t="s">
        <v>1875</v>
      </c>
    </row>
    <row r="60" spans="1:3">
      <c r="A60" s="196"/>
      <c r="B60" s="1507" t="s">
        <v>1876</v>
      </c>
    </row>
    <row r="61" spans="1:3" ht="6" customHeight="1">
      <c r="A61" s="197"/>
      <c r="B61" s="189"/>
    </row>
    <row r="62" spans="1:3">
      <c r="A62" s="169" t="s">
        <v>1713</v>
      </c>
      <c r="B62" s="198" t="s">
        <v>1872</v>
      </c>
    </row>
    <row r="63" spans="1:3">
      <c r="A63" s="188"/>
      <c r="B63" s="169" t="s">
        <v>1887</v>
      </c>
    </row>
    <row r="64" spans="1:3">
      <c r="A64" s="195"/>
      <c r="B64" s="1509" t="s">
        <v>1877</v>
      </c>
    </row>
    <row r="65" spans="1:9">
      <c r="A65" s="188"/>
      <c r="B65" s="169" t="s">
        <v>1888</v>
      </c>
    </row>
    <row r="66" spans="1:9">
      <c r="A66" s="190"/>
      <c r="B66" s="190" t="s">
        <v>1878</v>
      </c>
    </row>
    <row r="67" spans="1:9" ht="12" customHeight="1">
      <c r="A67" s="188"/>
      <c r="B67" s="169" t="s">
        <v>1889</v>
      </c>
    </row>
    <row r="68" spans="1:9">
      <c r="A68" s="189"/>
      <c r="B68" s="190" t="s">
        <v>1879</v>
      </c>
    </row>
    <row r="69" spans="1:9">
      <c r="A69" s="190"/>
      <c r="B69" s="188" t="s">
        <v>1880</v>
      </c>
    </row>
    <row r="70" spans="1:9" ht="13.5" customHeight="1">
      <c r="A70" s="190"/>
      <c r="B70" s="188" t="s">
        <v>1881</v>
      </c>
    </row>
    <row r="71" spans="1:9" ht="12" customHeight="1">
      <c r="A71" s="192"/>
      <c r="B71" s="1508" t="s">
        <v>1716</v>
      </c>
    </row>
    <row r="72" spans="1:9" ht="9" customHeight="1">
      <c r="A72" s="192"/>
      <c r="B72" s="199"/>
    </row>
    <row r="73" spans="1:9">
      <c r="A73" s="189" t="s">
        <v>1717</v>
      </c>
      <c r="B73" s="169" t="s">
        <v>1883</v>
      </c>
    </row>
    <row r="74" spans="1:9">
      <c r="A74" s="189"/>
      <c r="B74" s="169" t="s">
        <v>1882</v>
      </c>
    </row>
    <row r="75" spans="1:9" ht="8.25" customHeight="1">
      <c r="A75" s="189"/>
      <c r="B75" s="189"/>
    </row>
    <row r="76" spans="1:9" ht="12.2" customHeight="1">
      <c r="A76" s="189" t="s">
        <v>1718</v>
      </c>
      <c r="B76" s="198" t="s">
        <v>1884</v>
      </c>
    </row>
    <row r="77" spans="1:9" ht="12.2" customHeight="1">
      <c r="A77" s="190"/>
      <c r="B77" s="169" t="s">
        <v>1719</v>
      </c>
      <c r="C77" s="179"/>
      <c r="D77" s="180"/>
      <c r="E77" s="181"/>
      <c r="F77" s="181"/>
      <c r="G77" s="181"/>
      <c r="H77" s="181"/>
      <c r="I77" s="181"/>
    </row>
    <row r="78" spans="1:9" ht="11.25" customHeight="1">
      <c r="A78" s="190"/>
      <c r="B78" s="190" t="s">
        <v>1886</v>
      </c>
      <c r="C78" s="179"/>
      <c r="D78" s="182"/>
      <c r="E78" s="182"/>
      <c r="F78" s="182"/>
      <c r="G78" s="182"/>
      <c r="H78" s="182"/>
      <c r="I78" s="181"/>
    </row>
    <row r="79" spans="1:9" ht="12.2" customHeight="1">
      <c r="A79" s="190"/>
      <c r="B79" s="169" t="s">
        <v>1720</v>
      </c>
      <c r="C79" s="179"/>
      <c r="D79" s="182"/>
      <c r="E79" s="182"/>
      <c r="F79" s="182"/>
      <c r="G79" s="182"/>
      <c r="H79" s="182"/>
      <c r="I79" s="181"/>
    </row>
    <row r="80" spans="1:9" ht="11.25" customHeight="1">
      <c r="A80" s="189"/>
      <c r="B80" s="190" t="s">
        <v>1885</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election activeCell="D30" sqref="D30"/>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91" t="s">
        <v>1229</v>
      </c>
      <c r="B2" s="2191"/>
      <c r="C2" s="2191"/>
      <c r="D2" s="2191"/>
      <c r="E2" s="2191"/>
      <c r="F2" s="2191"/>
      <c r="G2" s="2191"/>
      <c r="H2" s="2191"/>
      <c r="I2" s="2191"/>
      <c r="J2" s="2191"/>
    </row>
    <row r="3" spans="1:11" s="181" customFormat="1" ht="17.25" customHeight="1">
      <c r="A3" s="207"/>
      <c r="B3" s="207"/>
      <c r="C3" s="208"/>
      <c r="D3" s="209"/>
      <c r="E3" s="210"/>
    </row>
    <row r="4" spans="1:11">
      <c r="A4" s="344" t="s">
        <v>1734</v>
      </c>
      <c r="B4" s="344"/>
      <c r="C4" s="344"/>
      <c r="D4" s="344"/>
      <c r="E4" s="344"/>
      <c r="F4" s="344"/>
      <c r="G4" s="344"/>
      <c r="H4" s="344"/>
      <c r="I4" s="344"/>
      <c r="J4" s="344"/>
      <c r="K4" s="344"/>
    </row>
    <row r="5" spans="1:11">
      <c r="A5" s="237" t="s">
        <v>1735</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1638</v>
      </c>
    </row>
    <row r="10" spans="1:11" s="181" customFormat="1">
      <c r="A10" s="222"/>
      <c r="B10" s="223"/>
      <c r="C10" s="224"/>
      <c r="D10" s="225" t="s">
        <v>1721</v>
      </c>
    </row>
    <row r="11" spans="1:11" s="181" customFormat="1">
      <c r="A11" s="219"/>
      <c r="B11" s="226"/>
      <c r="C11" s="227">
        <v>2</v>
      </c>
      <c r="D11" s="228" t="s">
        <v>1722</v>
      </c>
    </row>
    <row r="12" spans="1:11" s="181" customFormat="1" hidden="1">
      <c r="A12" s="219"/>
      <c r="B12" s="229"/>
      <c r="C12" s="227"/>
      <c r="D12" s="230"/>
    </row>
    <row r="13" spans="1:11" s="181" customFormat="1">
      <c r="A13" s="219"/>
      <c r="B13" s="226"/>
      <c r="C13" s="227">
        <v>3</v>
      </c>
      <c r="D13" s="228" t="s">
        <v>1723</v>
      </c>
    </row>
    <row r="14" spans="1:11" s="181" customFormat="1">
      <c r="A14" s="219"/>
      <c r="B14" s="226"/>
      <c r="C14" s="227">
        <v>4</v>
      </c>
      <c r="D14" s="228" t="s">
        <v>1724</v>
      </c>
    </row>
    <row r="15" spans="1:11" s="181" customFormat="1">
      <c r="A15" s="219"/>
      <c r="B15" s="226"/>
      <c r="C15" s="227">
        <v>5</v>
      </c>
      <c r="D15" s="231" t="s">
        <v>1025</v>
      </c>
    </row>
    <row r="16" spans="1:11" s="181" customFormat="1">
      <c r="A16" s="219"/>
      <c r="B16" s="226"/>
      <c r="C16" s="227">
        <v>6</v>
      </c>
      <c r="D16" s="231" t="s">
        <v>1533</v>
      </c>
    </row>
    <row r="17" spans="1:4" s="181" customFormat="1" ht="6" hidden="1" customHeight="1">
      <c r="A17" s="219"/>
      <c r="B17" s="229"/>
      <c r="C17" s="227"/>
      <c r="D17" s="232"/>
    </row>
    <row r="18" spans="1:4" s="181" customFormat="1" ht="12" customHeight="1">
      <c r="A18" s="219"/>
      <c r="B18" s="226"/>
      <c r="C18" s="227">
        <v>7</v>
      </c>
      <c r="D18" s="231" t="s">
        <v>1532</v>
      </c>
    </row>
    <row r="19" spans="1:4" s="181" customFormat="1" hidden="1">
      <c r="A19" s="219"/>
      <c r="B19" s="229"/>
      <c r="C19" s="227"/>
      <c r="D19" s="232"/>
    </row>
    <row r="20" spans="1:4" s="181" customFormat="1">
      <c r="A20" s="219"/>
      <c r="B20" s="226"/>
      <c r="C20" s="227">
        <v>8</v>
      </c>
      <c r="D20" s="231" t="s">
        <v>1725</v>
      </c>
    </row>
    <row r="21" spans="1:4" s="181" customFormat="1">
      <c r="A21" s="219"/>
      <c r="B21" s="229"/>
      <c r="C21" s="227"/>
      <c r="D21" s="233" t="s">
        <v>1635</v>
      </c>
    </row>
    <row r="22" spans="1:4" s="181" customFormat="1">
      <c r="A22" s="219"/>
      <c r="B22" s="226"/>
      <c r="C22" s="227">
        <v>9</v>
      </c>
      <c r="D22" s="231" t="s">
        <v>1726</v>
      </c>
    </row>
    <row r="23" spans="1:4" s="181" customFormat="1">
      <c r="A23" s="219"/>
      <c r="B23" s="234"/>
      <c r="C23" s="227"/>
      <c r="D23" s="235" t="s">
        <v>1636</v>
      </c>
    </row>
    <row r="24" spans="1:4" s="181" customFormat="1">
      <c r="A24" s="219"/>
      <c r="B24" s="226"/>
      <c r="C24" s="227">
        <v>10</v>
      </c>
      <c r="D24" s="231" t="s">
        <v>1727</v>
      </c>
    </row>
    <row r="25" spans="1:4" s="181" customFormat="1">
      <c r="A25" s="219"/>
      <c r="B25" s="226"/>
      <c r="C25" s="227">
        <v>11</v>
      </c>
      <c r="D25" s="231" t="s">
        <v>1728</v>
      </c>
    </row>
    <row r="26" spans="1:4" s="181" customFormat="1">
      <c r="A26" s="219"/>
      <c r="B26" s="234"/>
      <c r="C26" s="227"/>
      <c r="D26" s="235" t="s">
        <v>1637</v>
      </c>
    </row>
    <row r="27" spans="1:4" s="181" customFormat="1">
      <c r="A27" s="219"/>
      <c r="B27" s="226"/>
      <c r="C27" s="227">
        <v>12</v>
      </c>
      <c r="D27" s="231" t="s">
        <v>1639</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1729</v>
      </c>
    </row>
    <row r="31" spans="1:4" s="181" customFormat="1">
      <c r="A31" s="219"/>
      <c r="B31" s="226"/>
      <c r="C31" s="227">
        <v>14</v>
      </c>
      <c r="D31" s="231" t="s">
        <v>1687</v>
      </c>
    </row>
    <row r="32" spans="1:4" s="181" customFormat="1">
      <c r="A32" s="219"/>
      <c r="B32" s="236"/>
      <c r="C32" s="227"/>
      <c r="D32" s="237" t="s">
        <v>1892</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205" t="s">
        <v>1730</v>
      </c>
      <c r="B35" s="2206"/>
      <c r="C35" s="2206"/>
      <c r="D35" s="2206"/>
      <c r="E35" s="2207"/>
      <c r="F35" s="2207"/>
      <c r="G35" s="2207"/>
      <c r="H35" s="2207"/>
      <c r="I35" s="2207"/>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1731</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1732</v>
      </c>
    </row>
    <row r="43" spans="1:9" s="181" customFormat="1">
      <c r="A43" s="219"/>
      <c r="B43" s="229"/>
      <c r="C43" s="227"/>
      <c r="D43" s="240" t="s">
        <v>1733</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205" t="s">
        <v>330</v>
      </c>
      <c r="B47" s="2208"/>
      <c r="C47" s="2208"/>
      <c r="D47" s="2208"/>
      <c r="E47" s="2209"/>
      <c r="F47" s="2209"/>
      <c r="G47" s="2209"/>
      <c r="H47" s="2209"/>
      <c r="I47" s="2209"/>
    </row>
    <row r="48" spans="1:9" s="181" customFormat="1">
      <c r="A48" s="219"/>
      <c r="B48" s="229"/>
      <c r="C48" s="227"/>
      <c r="D48" s="239"/>
    </row>
    <row r="49" spans="1:10" s="181" customFormat="1">
      <c r="A49" s="219"/>
      <c r="B49" s="226"/>
      <c r="C49" s="227">
        <v>19</v>
      </c>
      <c r="D49" s="243" t="s">
        <v>380</v>
      </c>
    </row>
    <row r="50" spans="1:10" s="181" customFormat="1">
      <c r="A50" s="219"/>
      <c r="B50" s="226"/>
      <c r="C50" s="227">
        <v>20</v>
      </c>
      <c r="D50" s="243" t="s">
        <v>1736</v>
      </c>
    </row>
    <row r="51" spans="1:10">
      <c r="B51" s="244"/>
      <c r="C51" s="245">
        <v>21</v>
      </c>
      <c r="D51" s="218" t="s">
        <v>1108</v>
      </c>
    </row>
    <row r="52" spans="1:10">
      <c r="B52" s="246"/>
      <c r="C52" s="245"/>
      <c r="D52" s="240" t="s">
        <v>894</v>
      </c>
    </row>
    <row r="53" spans="1:10" s="181" customFormat="1" ht="15.75" customHeight="1">
      <c r="A53" s="219"/>
      <c r="B53" s="220" t="s">
        <v>2073</v>
      </c>
      <c r="C53" s="179">
        <v>22</v>
      </c>
      <c r="D53" s="247" t="s">
        <v>1536</v>
      </c>
      <c r="E53" s="248"/>
      <c r="F53" s="249"/>
      <c r="G53" s="249" t="s">
        <v>1535</v>
      </c>
      <c r="H53" s="250">
        <v>34742</v>
      </c>
      <c r="I53" s="237" t="s">
        <v>1561</v>
      </c>
    </row>
    <row r="54" spans="1:10" s="181" customFormat="1">
      <c r="A54" s="219"/>
      <c r="B54" s="220"/>
      <c r="C54" s="179">
        <v>23</v>
      </c>
      <c r="D54" s="243" t="s">
        <v>1428</v>
      </c>
      <c r="E54" s="248"/>
      <c r="F54" s="249"/>
    </row>
    <row r="55" spans="1:10" s="181" customFormat="1">
      <c r="A55" s="214"/>
      <c r="B55" s="251"/>
      <c r="C55" s="251"/>
      <c r="D55" s="231" t="s">
        <v>1891</v>
      </c>
      <c r="E55" s="252"/>
      <c r="F55" s="252"/>
      <c r="G55" s="252"/>
      <c r="H55" s="252"/>
      <c r="I55" s="252"/>
    </row>
    <row r="56" spans="1:10" s="181" customFormat="1">
      <c r="A56" s="214"/>
      <c r="B56" s="251"/>
      <c r="E56" s="252"/>
      <c r="F56" s="252"/>
      <c r="G56" s="252"/>
      <c r="H56" s="252"/>
      <c r="I56" s="252"/>
    </row>
    <row r="57" spans="1:10" s="181" customFormat="1" ht="12.75" customHeight="1">
      <c r="A57" s="253"/>
      <c r="B57" s="2212"/>
      <c r="C57" s="2213"/>
      <c r="D57" s="2213"/>
      <c r="E57" s="2213"/>
      <c r="F57" s="2213"/>
      <c r="G57" s="2213"/>
      <c r="H57" s="2213"/>
      <c r="I57" s="2213"/>
      <c r="J57" s="2214"/>
    </row>
    <row r="58" spans="1:10" s="181" customFormat="1">
      <c r="A58" s="253"/>
      <c r="B58" s="2215"/>
      <c r="C58" s="2216"/>
      <c r="D58" s="2216"/>
      <c r="E58" s="2216"/>
      <c r="F58" s="2216"/>
      <c r="G58" s="2216"/>
      <c r="H58" s="2216"/>
      <c r="I58" s="2216"/>
      <c r="J58" s="2217"/>
    </row>
    <row r="59" spans="1:10" s="181" customFormat="1">
      <c r="A59" s="253"/>
      <c r="B59" s="2215"/>
      <c r="C59" s="2216"/>
      <c r="D59" s="2216"/>
      <c r="E59" s="2216"/>
      <c r="F59" s="2216"/>
      <c r="G59" s="2216"/>
      <c r="H59" s="2216"/>
      <c r="I59" s="2216"/>
      <c r="J59" s="2217"/>
    </row>
    <row r="60" spans="1:10" s="181" customFormat="1">
      <c r="A60" s="253"/>
      <c r="B60" s="2215"/>
      <c r="C60" s="2216"/>
      <c r="D60" s="2216"/>
      <c r="E60" s="2216"/>
      <c r="F60" s="2216"/>
      <c r="G60" s="2216"/>
      <c r="H60" s="2216"/>
      <c r="I60" s="2216"/>
      <c r="J60" s="2217"/>
    </row>
    <row r="61" spans="1:10" s="181" customFormat="1">
      <c r="A61" s="253"/>
      <c r="B61" s="2215"/>
      <c r="C61" s="2216"/>
      <c r="D61" s="2216"/>
      <c r="E61" s="2216"/>
      <c r="F61" s="2216"/>
      <c r="G61" s="2216"/>
      <c r="H61" s="2216"/>
      <c r="I61" s="2216"/>
      <c r="J61" s="2217"/>
    </row>
    <row r="62" spans="1:10" s="181" customFormat="1">
      <c r="A62" s="253"/>
      <c r="B62" s="2215"/>
      <c r="C62" s="2216"/>
      <c r="D62" s="2216"/>
      <c r="E62" s="2216"/>
      <c r="F62" s="2216"/>
      <c r="G62" s="2216"/>
      <c r="H62" s="2216"/>
      <c r="I62" s="2216"/>
      <c r="J62" s="2217"/>
    </row>
    <row r="63" spans="1:10" s="181" customFormat="1">
      <c r="A63" s="253"/>
      <c r="B63" s="2215"/>
      <c r="C63" s="2216"/>
      <c r="D63" s="2216"/>
      <c r="E63" s="2216"/>
      <c r="F63" s="2216"/>
      <c r="G63" s="2216"/>
      <c r="H63" s="2216"/>
      <c r="I63" s="2216"/>
      <c r="J63" s="2217"/>
    </row>
    <row r="64" spans="1:10" s="181" customFormat="1">
      <c r="A64" s="253"/>
      <c r="B64" s="2215"/>
      <c r="C64" s="2216"/>
      <c r="D64" s="2216"/>
      <c r="E64" s="2216"/>
      <c r="F64" s="2216"/>
      <c r="G64" s="2216"/>
      <c r="H64" s="2216"/>
      <c r="I64" s="2216"/>
      <c r="J64" s="2217"/>
    </row>
    <row r="65" spans="1:10" s="181" customFormat="1">
      <c r="A65" s="253"/>
      <c r="B65" s="2215"/>
      <c r="C65" s="2216"/>
      <c r="D65" s="2216"/>
      <c r="E65" s="2216"/>
      <c r="F65" s="2216"/>
      <c r="G65" s="2216"/>
      <c r="H65" s="2216"/>
      <c r="I65" s="2216"/>
      <c r="J65" s="2217"/>
    </row>
    <row r="66" spans="1:10" s="181" customFormat="1">
      <c r="A66" s="253"/>
      <c r="B66" s="2215"/>
      <c r="C66" s="2216"/>
      <c r="D66" s="2216"/>
      <c r="E66" s="2216"/>
      <c r="F66" s="2216"/>
      <c r="G66" s="2216"/>
      <c r="H66" s="2216"/>
      <c r="I66" s="2216"/>
      <c r="J66" s="2217"/>
    </row>
    <row r="67" spans="1:10" s="181" customFormat="1" ht="9" customHeight="1">
      <c r="A67" s="254"/>
      <c r="B67" s="2218"/>
      <c r="C67" s="2219"/>
      <c r="D67" s="2219"/>
      <c r="E67" s="2219"/>
      <c r="F67" s="2219"/>
      <c r="G67" s="2219"/>
      <c r="H67" s="2219"/>
      <c r="I67" s="2219"/>
      <c r="J67" s="2220"/>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205" t="s">
        <v>1389</v>
      </c>
      <c r="B70" s="2208"/>
      <c r="C70" s="2208"/>
      <c r="D70" s="2208"/>
      <c r="E70" s="2209"/>
      <c r="F70" s="2209"/>
      <c r="G70" s="2209"/>
      <c r="H70" s="2209"/>
      <c r="I70" s="2209"/>
    </row>
    <row r="71" spans="1:10" s="181" customFormat="1">
      <c r="A71" s="219"/>
      <c r="C71" s="257"/>
      <c r="D71" s="258" t="s">
        <v>1388</v>
      </c>
      <c r="E71" s="256"/>
      <c r="F71" s="256"/>
      <c r="G71" s="256"/>
      <c r="H71" s="256"/>
    </row>
    <row r="72" spans="1:10" s="181" customFormat="1" ht="5.25" customHeight="1">
      <c r="B72" s="255"/>
      <c r="C72" s="256"/>
      <c r="D72" s="256"/>
      <c r="E72" s="256"/>
      <c r="F72" s="256"/>
      <c r="G72" s="256"/>
      <c r="H72" s="256"/>
    </row>
    <row r="73" spans="1:10" s="181" customFormat="1">
      <c r="A73" s="259" t="s">
        <v>2065</v>
      </c>
      <c r="B73" s="255"/>
      <c r="C73" s="256"/>
      <c r="D73" s="256"/>
      <c r="E73" s="256"/>
      <c r="F73" s="256"/>
      <c r="G73" s="256"/>
      <c r="H73" s="256"/>
    </row>
    <row r="74" spans="1:10" s="181" customFormat="1">
      <c r="A74" s="259" t="s">
        <v>1496</v>
      </c>
      <c r="B74" s="255"/>
      <c r="C74" s="256"/>
      <c r="D74" s="256"/>
      <c r="E74" s="256"/>
      <c r="F74" s="256"/>
      <c r="G74" s="256"/>
      <c r="H74" s="256"/>
    </row>
    <row r="75" spans="1:10" s="181" customFormat="1">
      <c r="A75" s="259" t="s">
        <v>1688</v>
      </c>
      <c r="B75" s="255"/>
      <c r="C75" s="256"/>
      <c r="D75" s="256"/>
      <c r="E75" s="256"/>
      <c r="F75" s="256"/>
      <c r="G75" s="256"/>
      <c r="H75" s="256"/>
    </row>
    <row r="76" spans="1:10" s="181" customFormat="1" ht="18.75" customHeight="1">
      <c r="A76" s="239" t="s">
        <v>1497</v>
      </c>
      <c r="B76" s="255"/>
      <c r="C76" s="256"/>
      <c r="D76" s="256"/>
      <c r="E76" s="256"/>
      <c r="F76" s="256"/>
      <c r="G76" s="256"/>
      <c r="H76" s="256"/>
    </row>
    <row r="77" spans="1:10" s="181" customFormat="1">
      <c r="C77" s="179">
        <v>24</v>
      </c>
      <c r="D77" s="247" t="s">
        <v>1744</v>
      </c>
      <c r="G77" s="297" t="s">
        <v>2016</v>
      </c>
      <c r="I77" s="1860"/>
      <c r="J77" s="261"/>
    </row>
    <row r="78" spans="1:10" s="181" customFormat="1" ht="6" customHeight="1">
      <c r="A78" s="219"/>
      <c r="B78" s="262"/>
      <c r="C78" s="179"/>
      <c r="D78" s="247"/>
      <c r="E78" s="248"/>
      <c r="F78" s="249"/>
    </row>
    <row r="79" spans="1:10" s="181" customFormat="1">
      <c r="A79" s="219"/>
      <c r="B79" s="262"/>
      <c r="C79" s="179">
        <v>25</v>
      </c>
      <c r="D79" s="247" t="s">
        <v>1742</v>
      </c>
      <c r="E79" s="248"/>
      <c r="F79" s="249"/>
    </row>
    <row r="80" spans="1:10" s="181" customFormat="1">
      <c r="A80" s="219"/>
      <c r="B80" s="262"/>
      <c r="C80" s="179"/>
      <c r="D80" s="247" t="s">
        <v>1743</v>
      </c>
      <c r="E80" s="248"/>
      <c r="F80" s="249"/>
    </row>
    <row r="81" spans="1:10" s="181" customFormat="1">
      <c r="A81" s="219"/>
      <c r="B81" s="262"/>
    </row>
    <row r="82" spans="1:10" s="181" customFormat="1" ht="12.75" customHeight="1">
      <c r="A82" s="219"/>
      <c r="B82" s="262"/>
      <c r="C82" s="247"/>
    </row>
    <row r="83" spans="1:10" s="181" customFormat="1" ht="12.75" customHeight="1" thickBot="1">
      <c r="A83" s="2210" t="s">
        <v>1386</v>
      </c>
      <c r="B83" s="2210"/>
      <c r="C83" s="2210"/>
      <c r="D83" s="2211"/>
      <c r="E83" s="263" t="s">
        <v>1423</v>
      </c>
      <c r="F83" s="263" t="s">
        <v>1424</v>
      </c>
      <c r="G83" s="263" t="s">
        <v>1425</v>
      </c>
      <c r="H83" s="263" t="s">
        <v>1426</v>
      </c>
      <c r="I83" s="263" t="s">
        <v>1427</v>
      </c>
      <c r="J83" s="264" t="s">
        <v>158</v>
      </c>
    </row>
    <row r="84" spans="1:10" s="181" customFormat="1" ht="13.5" customHeight="1" thickTop="1">
      <c r="A84" s="265" t="s">
        <v>1518</v>
      </c>
      <c r="B84" s="266"/>
      <c r="C84" s="267"/>
      <c r="D84" s="268"/>
      <c r="E84" s="269"/>
      <c r="F84" s="269"/>
      <c r="G84" s="269"/>
      <c r="H84" s="269"/>
      <c r="I84" s="269"/>
      <c r="J84" s="270"/>
    </row>
    <row r="85" spans="1:10" s="181" customFormat="1" ht="13.5" customHeight="1">
      <c r="A85" s="271" t="s">
        <v>2063</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1387</v>
      </c>
      <c r="B87" s="283"/>
      <c r="C87" s="284"/>
      <c r="D87" s="281"/>
      <c r="E87" s="269"/>
      <c r="F87" s="269"/>
      <c r="G87" s="269"/>
      <c r="H87" s="269"/>
      <c r="I87" s="269"/>
      <c r="J87" s="270"/>
    </row>
    <row r="88" spans="1:10" s="181" customFormat="1" ht="13.5" customHeight="1">
      <c r="A88" s="285" t="s">
        <v>2063</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1737</v>
      </c>
      <c r="C92" s="179"/>
      <c r="E92" s="260"/>
      <c r="F92" s="296"/>
      <c r="H92" s="297"/>
    </row>
    <row r="93" spans="1:10" s="181" customFormat="1" ht="16.5" customHeight="1">
      <c r="A93" s="219"/>
      <c r="B93" s="298" t="s">
        <v>2064</v>
      </c>
      <c r="C93" s="179"/>
      <c r="E93" s="260"/>
      <c r="F93" s="296"/>
      <c r="H93" s="297"/>
    </row>
    <row r="94" spans="1:10" s="181" customFormat="1">
      <c r="A94" s="299" t="s">
        <v>1397</v>
      </c>
      <c r="B94" s="300"/>
      <c r="C94" s="300"/>
      <c r="D94" s="301"/>
      <c r="E94" s="302"/>
      <c r="F94" s="303"/>
      <c r="G94" s="304"/>
      <c r="H94" s="305"/>
      <c r="I94" s="306"/>
    </row>
    <row r="95" spans="1:10" s="181" customFormat="1">
      <c r="A95" s="307"/>
      <c r="B95" s="308" t="s">
        <v>1738</v>
      </c>
      <c r="C95" s="309"/>
      <c r="D95" s="310"/>
      <c r="E95" s="304"/>
      <c r="F95" s="304"/>
      <c r="G95" s="304"/>
      <c r="H95" s="304"/>
      <c r="I95" s="304"/>
    </row>
    <row r="96" spans="1:10" s="181" customFormat="1">
      <c r="A96" s="307" t="s">
        <v>1230</v>
      </c>
      <c r="B96" s="345" t="s">
        <v>1740</v>
      </c>
      <c r="C96" s="309"/>
      <c r="D96" s="311"/>
      <c r="E96" s="311"/>
      <c r="F96" s="311"/>
      <c r="G96" s="311"/>
      <c r="H96" s="311"/>
      <c r="I96" s="304"/>
    </row>
    <row r="97" spans="1:9" s="181" customFormat="1">
      <c r="A97" s="307"/>
      <c r="B97" s="308" t="s">
        <v>1739</v>
      </c>
      <c r="C97" s="309"/>
      <c r="D97" s="311"/>
      <c r="E97" s="311"/>
      <c r="F97" s="311"/>
      <c r="G97" s="311"/>
      <c r="H97" s="311"/>
      <c r="I97" s="304"/>
    </row>
    <row r="98" spans="1:9" s="181" customFormat="1">
      <c r="A98" s="308"/>
      <c r="B98" s="312" t="s">
        <v>1741</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192"/>
      <c r="C102" s="2193"/>
      <c r="D102" s="2193"/>
      <c r="E102" s="2193"/>
      <c r="F102" s="2193"/>
      <c r="G102" s="2193"/>
      <c r="H102" s="2193"/>
      <c r="I102" s="2194"/>
    </row>
    <row r="103" spans="1:9" s="181" customFormat="1" ht="11.25" customHeight="1">
      <c r="A103" s="316"/>
      <c r="B103" s="2195"/>
      <c r="C103" s="2196"/>
      <c r="D103" s="2196"/>
      <c r="E103" s="2196"/>
      <c r="F103" s="2196"/>
      <c r="G103" s="2196"/>
      <c r="H103" s="2196"/>
      <c r="I103" s="2197"/>
    </row>
    <row r="104" spans="1:9" s="181" customFormat="1" ht="11.25" customHeight="1">
      <c r="A104" s="316"/>
      <c r="B104" s="2195"/>
      <c r="C104" s="2196"/>
      <c r="D104" s="2196"/>
      <c r="E104" s="2196"/>
      <c r="F104" s="2196"/>
      <c r="G104" s="2196"/>
      <c r="H104" s="2196"/>
      <c r="I104" s="2197"/>
    </row>
    <row r="105" spans="1:9" s="181" customFormat="1">
      <c r="A105" s="316"/>
      <c r="B105" s="2195"/>
      <c r="C105" s="2196"/>
      <c r="D105" s="2196"/>
      <c r="E105" s="2196"/>
      <c r="F105" s="2196"/>
      <c r="G105" s="2196"/>
      <c r="H105" s="2196"/>
      <c r="I105" s="2197"/>
    </row>
    <row r="106" spans="1:9" s="181" customFormat="1" ht="11.25" customHeight="1">
      <c r="A106" s="316"/>
      <c r="B106" s="2195"/>
      <c r="C106" s="2196"/>
      <c r="D106" s="2196"/>
      <c r="E106" s="2196"/>
      <c r="F106" s="2196"/>
      <c r="G106" s="2196"/>
      <c r="H106" s="2196"/>
      <c r="I106" s="2197"/>
    </row>
    <row r="107" spans="1:9" s="181" customFormat="1" ht="11.25" customHeight="1">
      <c r="A107" s="316"/>
      <c r="B107" s="2195"/>
      <c r="C107" s="2196"/>
      <c r="D107" s="2196"/>
      <c r="E107" s="2196"/>
      <c r="F107" s="2196"/>
      <c r="G107" s="2196"/>
      <c r="H107" s="2196"/>
      <c r="I107" s="2197"/>
    </row>
    <row r="108" spans="1:9" s="181" customFormat="1" ht="11.25" customHeight="1">
      <c r="A108" s="316"/>
      <c r="B108" s="2195"/>
      <c r="C108" s="2196"/>
      <c r="D108" s="2196"/>
      <c r="E108" s="2196"/>
      <c r="F108" s="2196"/>
      <c r="G108" s="2196"/>
      <c r="H108" s="2196"/>
      <c r="I108" s="2197"/>
    </row>
    <row r="109" spans="1:9" s="181" customFormat="1" ht="11.25" customHeight="1">
      <c r="A109" s="316"/>
      <c r="B109" s="2195"/>
      <c r="C109" s="2196"/>
      <c r="D109" s="2196"/>
      <c r="E109" s="2196"/>
      <c r="F109" s="2196"/>
      <c r="G109" s="2196"/>
      <c r="H109" s="2196"/>
      <c r="I109" s="2197"/>
    </row>
    <row r="110" spans="1:9" s="181" customFormat="1" ht="11.25" customHeight="1">
      <c r="A110" s="316"/>
      <c r="B110" s="2195"/>
      <c r="C110" s="2196"/>
      <c r="D110" s="2196"/>
      <c r="E110" s="2196"/>
      <c r="F110" s="2196"/>
      <c r="G110" s="2196"/>
      <c r="H110" s="2196"/>
      <c r="I110" s="2197"/>
    </row>
    <row r="111" spans="1:9" s="181" customFormat="1" ht="11.25" customHeight="1">
      <c r="A111" s="316"/>
      <c r="B111" s="2195"/>
      <c r="C111" s="2196"/>
      <c r="D111" s="2196"/>
      <c r="E111" s="2196"/>
      <c r="F111" s="2196"/>
      <c r="G111" s="2196"/>
      <c r="H111" s="2196"/>
      <c r="I111" s="2197"/>
    </row>
    <row r="112" spans="1:9" s="181" customFormat="1" ht="11.25" customHeight="1">
      <c r="A112" s="316"/>
      <c r="B112" s="2198"/>
      <c r="C112" s="2199"/>
      <c r="D112" s="2199"/>
      <c r="E112" s="2199"/>
      <c r="F112" s="2199"/>
      <c r="G112" s="2199"/>
      <c r="H112" s="2199"/>
      <c r="I112" s="2200"/>
    </row>
    <row r="113" spans="1:9" s="181" customFormat="1" ht="11.25" customHeight="1">
      <c r="A113" s="317"/>
      <c r="B113" s="311"/>
      <c r="C113" s="311"/>
      <c r="D113" s="311"/>
      <c r="E113" s="304"/>
      <c r="F113" s="304"/>
      <c r="G113" s="304"/>
      <c r="H113" s="304"/>
      <c r="I113" s="304"/>
    </row>
    <row r="114" spans="1:9" s="181" customFormat="1" ht="18" customHeight="1">
      <c r="A114" s="316"/>
      <c r="B114" s="317"/>
      <c r="C114" s="2201" t="s">
        <v>2083</v>
      </c>
      <c r="D114" s="2201"/>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202" t="s">
        <v>1396</v>
      </c>
      <c r="D117" s="2203"/>
      <c r="E117" s="2204"/>
      <c r="F117" s="2204"/>
      <c r="G117" s="2204"/>
      <c r="H117" s="2204"/>
      <c r="I117" s="304"/>
    </row>
    <row r="118" spans="1:9" s="181" customFormat="1" ht="24" customHeight="1">
      <c r="A118" s="316"/>
      <c r="B118" s="316"/>
      <c r="C118" s="316"/>
      <c r="D118" s="323"/>
      <c r="E118" s="322"/>
      <c r="F118" s="322"/>
      <c r="G118" s="1955"/>
      <c r="H118" s="322"/>
      <c r="I118" s="304"/>
    </row>
    <row r="119" spans="1:9" s="181" customFormat="1" ht="11.25" customHeight="1">
      <c r="A119" s="325"/>
      <c r="B119" s="325"/>
      <c r="C119" s="326"/>
      <c r="D119" s="327" t="s">
        <v>378</v>
      </c>
      <c r="E119" s="310"/>
      <c r="F119" s="1861" t="s">
        <v>2017</v>
      </c>
      <c r="G119" s="328"/>
      <c r="H119" s="328"/>
      <c r="I119" s="304"/>
    </row>
    <row r="120" spans="1:9">
      <c r="A120" s="329"/>
      <c r="B120" s="180"/>
      <c r="C120" s="330"/>
      <c r="D120" s="256"/>
      <c r="E120" s="256"/>
      <c r="F120" s="256"/>
      <c r="G120" s="256"/>
      <c r="H120" s="256"/>
      <c r="I120" s="304"/>
    </row>
    <row r="121" spans="1:9">
      <c r="A121" s="329"/>
      <c r="B121" s="1510" t="s">
        <v>1689</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10" sqref="D10"/>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221" t="s">
        <v>403</v>
      </c>
      <c r="B1" s="2221"/>
      <c r="C1" s="2221"/>
      <c r="D1" s="2221"/>
      <c r="E1" s="2221"/>
      <c r="F1" s="2221"/>
      <c r="G1" s="2221"/>
      <c r="H1" s="2221"/>
      <c r="I1" s="2221"/>
      <c r="J1" s="2221"/>
      <c r="K1" s="2221"/>
      <c r="L1" s="2221"/>
      <c r="M1" s="2221"/>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1745</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1746</v>
      </c>
      <c r="E7" s="222"/>
      <c r="F7" s="351" t="s">
        <v>289</v>
      </c>
      <c r="G7" s="222"/>
      <c r="H7" s="222"/>
      <c r="I7" s="222"/>
      <c r="J7" s="352">
        <v>3032954923</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2.9343999999999999E-2</v>
      </c>
      <c r="E10" s="356" t="s">
        <v>1061</v>
      </c>
      <c r="F10" s="355">
        <v>1.7539999999999999E-3</v>
      </c>
      <c r="G10" s="356" t="s">
        <v>1061</v>
      </c>
      <c r="H10" s="355">
        <v>1.456E-3</v>
      </c>
      <c r="I10" s="356" t="s">
        <v>1062</v>
      </c>
      <c r="J10" s="1753">
        <f>ROUND(D10+F10+H10,5)</f>
        <v>3.2550000000000003E-2</v>
      </c>
      <c r="K10" s="222"/>
      <c r="L10" s="355"/>
      <c r="M10" s="222"/>
    </row>
    <row r="11" spans="1:14" ht="7.5" customHeight="1">
      <c r="B11" s="222"/>
      <c r="C11" s="222"/>
      <c r="D11" s="2231" t="str">
        <f>IF(SUM(J10)&lt;=0.0999999,"","Enter the Tax Rates by moving the decimal two places to the left.")</f>
        <v/>
      </c>
      <c r="E11" s="2232"/>
      <c r="F11" s="2232"/>
      <c r="G11" s="2232"/>
      <c r="H11" s="2232"/>
      <c r="I11" s="2232"/>
      <c r="J11" s="2232"/>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1747</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754">
        <f>SUM('Acct Summary 7-8'!C8,'Acct Summary 7-8'!D8,'Acct Summary 7-8'!F8,'Acct Summary 7-8'!I8)</f>
        <v>136311721</v>
      </c>
      <c r="E16" s="356"/>
      <c r="F16" s="1754">
        <f>SUM('Acct Summary 7-8'!C17,'Acct Summary 7-8'!D17,'Acct Summary 7-8'!F17)</f>
        <v>116433640</v>
      </c>
      <c r="G16" s="356"/>
      <c r="H16" s="1754">
        <f>SUM(D16-F16)</f>
        <v>19878081</v>
      </c>
      <c r="I16" s="222"/>
      <c r="J16" s="1754">
        <f>SUM('Acct Summary 7-8'!C81,'Acct Summary 7-8'!D81,'Acct Summary 7-8'!F81,'Acct Summary 7-8'!I81)</f>
        <v>39558643</v>
      </c>
      <c r="K16" s="222"/>
      <c r="L16" s="222"/>
      <c r="M16" s="222"/>
    </row>
    <row r="17" spans="1:13" ht="12.2" customHeight="1">
      <c r="A17" s="349"/>
      <c r="B17" s="260" t="s">
        <v>8</v>
      </c>
      <c r="C17" s="237" t="s">
        <v>1462</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1748</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2073</v>
      </c>
      <c r="C31" s="367" t="s">
        <v>606</v>
      </c>
      <c r="D31" s="237" t="s">
        <v>1131</v>
      </c>
      <c r="E31" s="222"/>
      <c r="F31" s="222"/>
      <c r="G31" s="363"/>
      <c r="H31" s="1756">
        <f>IF(B31="X",(J7*0.069),IF(B32="X",(J7*0.138),"Enter x in a.or b."))</f>
        <v>209273889.68700001</v>
      </c>
      <c r="I31" s="368"/>
      <c r="J31" s="222"/>
      <c r="K31" s="222"/>
      <c r="L31" s="222"/>
      <c r="M31" s="222"/>
    </row>
    <row r="32" spans="1:13" ht="13.35" customHeight="1">
      <c r="B32" s="369"/>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755">
        <f>'Assets-Liab 5-6'!N36</f>
        <v>74862479</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222"/>
      <c r="C54" s="2223"/>
      <c r="D54" s="2223"/>
      <c r="E54" s="2223"/>
      <c r="F54" s="2223"/>
      <c r="G54" s="2223"/>
      <c r="H54" s="2223"/>
      <c r="I54" s="2223"/>
      <c r="J54" s="2223"/>
      <c r="K54" s="2223"/>
      <c r="L54" s="2224"/>
      <c r="M54" s="380"/>
    </row>
    <row r="55" spans="1:13" ht="12.75" customHeight="1">
      <c r="B55" s="2225"/>
      <c r="C55" s="2226"/>
      <c r="D55" s="2226"/>
      <c r="E55" s="2226"/>
      <c r="F55" s="2226"/>
      <c r="G55" s="2226"/>
      <c r="H55" s="2226"/>
      <c r="I55" s="2226"/>
      <c r="J55" s="2226"/>
      <c r="K55" s="2226"/>
      <c r="L55" s="2227"/>
      <c r="M55" s="380"/>
    </row>
    <row r="56" spans="1:13" ht="12.75" customHeight="1">
      <c r="B56" s="2225"/>
      <c r="C56" s="2226"/>
      <c r="D56" s="2226"/>
      <c r="E56" s="2226"/>
      <c r="F56" s="2226"/>
      <c r="G56" s="2226"/>
      <c r="H56" s="2226"/>
      <c r="I56" s="2226"/>
      <c r="J56" s="2226"/>
      <c r="K56" s="2226"/>
      <c r="L56" s="2227"/>
      <c r="M56" s="222"/>
    </row>
    <row r="57" spans="1:13" ht="12.75" customHeight="1">
      <c r="B57" s="2225"/>
      <c r="C57" s="2226"/>
      <c r="D57" s="2226"/>
      <c r="E57" s="2226"/>
      <c r="F57" s="2226"/>
      <c r="G57" s="2226"/>
      <c r="H57" s="2226"/>
      <c r="I57" s="2226"/>
      <c r="J57" s="2226"/>
      <c r="K57" s="2226"/>
      <c r="L57" s="2227"/>
      <c r="M57" s="222"/>
    </row>
    <row r="58" spans="1:13">
      <c r="B58" s="2228"/>
      <c r="C58" s="2229"/>
      <c r="D58" s="2229"/>
      <c r="E58" s="2229"/>
      <c r="F58" s="2229"/>
      <c r="G58" s="2229"/>
      <c r="H58" s="2229"/>
      <c r="I58" s="2229"/>
      <c r="J58" s="2229"/>
      <c r="K58" s="2229"/>
      <c r="L58" s="2230"/>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233"/>
      <c r="D61" s="2234"/>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30" sqref="D30"/>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236"/>
      <c r="B1" s="2237"/>
      <c r="C1" s="2237"/>
      <c r="D1" s="384"/>
      <c r="E1" s="384"/>
      <c r="F1" s="384"/>
      <c r="G1" s="384"/>
      <c r="H1" s="384"/>
      <c r="I1" s="384"/>
      <c r="J1" s="384"/>
      <c r="K1" s="384"/>
      <c r="L1" s="384"/>
      <c r="M1" s="384"/>
      <c r="N1" s="384"/>
      <c r="O1" s="2236"/>
      <c r="P1" s="2237"/>
      <c r="Q1" s="2237"/>
    </row>
    <row r="2" spans="1:18" ht="15">
      <c r="A2" s="2240" t="s">
        <v>576</v>
      </c>
      <c r="B2" s="2240"/>
      <c r="C2" s="2240"/>
      <c r="D2" s="2240"/>
      <c r="E2" s="2240"/>
      <c r="F2" s="2240"/>
      <c r="G2" s="2240"/>
      <c r="H2" s="2240"/>
      <c r="I2" s="2240"/>
      <c r="J2" s="2240"/>
      <c r="K2" s="2240"/>
      <c r="L2" s="2240"/>
      <c r="M2" s="2240"/>
      <c r="N2" s="2240"/>
      <c r="O2" s="2240"/>
      <c r="P2" s="2240"/>
      <c r="Q2" s="2240"/>
      <c r="R2" s="2240"/>
    </row>
    <row r="3" spans="1:18" ht="12.75">
      <c r="A3" s="2241" t="s">
        <v>1479</v>
      </c>
      <c r="B3" s="2241"/>
      <c r="C3" s="2241"/>
      <c r="D3" s="2241"/>
      <c r="E3" s="2241"/>
      <c r="F3" s="2241"/>
      <c r="G3" s="2241"/>
      <c r="H3" s="2241"/>
      <c r="I3" s="2241"/>
      <c r="J3" s="2241"/>
      <c r="K3" s="2241"/>
      <c r="L3" s="2241"/>
      <c r="M3" s="2241"/>
      <c r="N3" s="2241"/>
      <c r="O3" s="2241"/>
      <c r="P3" s="2241"/>
      <c r="Q3" s="2241"/>
      <c r="R3" s="2241"/>
    </row>
    <row r="4" spans="1:18">
      <c r="A4" s="2242" t="s">
        <v>1634</v>
      </c>
      <c r="B4" s="2242"/>
      <c r="C4" s="2242"/>
      <c r="D4" s="2242"/>
      <c r="E4" s="2242"/>
      <c r="F4" s="2242"/>
      <c r="G4" s="2242"/>
      <c r="H4" s="2242"/>
      <c r="I4" s="2242"/>
      <c r="J4" s="2242"/>
      <c r="K4" s="2242"/>
      <c r="L4" s="2242"/>
      <c r="M4" s="2242"/>
      <c r="N4" s="2242"/>
      <c r="O4" s="2242"/>
      <c r="P4" s="2242"/>
      <c r="Q4" s="2242"/>
      <c r="R4" s="2242"/>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Evanston CCSD 65</v>
      </c>
      <c r="E7" s="391"/>
      <c r="G7" s="252"/>
      <c r="H7" s="387"/>
      <c r="I7" s="387"/>
      <c r="J7" s="387"/>
      <c r="K7" s="387"/>
      <c r="L7" s="329"/>
      <c r="M7" s="329"/>
      <c r="N7" s="329"/>
      <c r="O7" s="329"/>
      <c r="P7" s="329"/>
    </row>
    <row r="8" spans="1:18" ht="12.75">
      <c r="A8" s="329"/>
      <c r="B8" s="329"/>
      <c r="C8" s="389" t="s">
        <v>1186</v>
      </c>
      <c r="D8" s="392">
        <f>COVER!A13</f>
        <v>5016065004</v>
      </c>
      <c r="E8" s="393"/>
      <c r="G8" s="329"/>
      <c r="H8" s="329"/>
      <c r="I8" s="329"/>
      <c r="J8" s="329"/>
      <c r="K8" s="329"/>
      <c r="L8" s="329"/>
      <c r="M8" s="329"/>
      <c r="N8" s="329"/>
      <c r="O8" s="329"/>
      <c r="P8" s="329"/>
    </row>
    <row r="9" spans="1:18" ht="12.75">
      <c r="A9" s="329"/>
      <c r="B9" s="329"/>
      <c r="C9" s="389" t="s">
        <v>736</v>
      </c>
      <c r="D9" s="394" t="str">
        <f>COVER!A15</f>
        <v>Cook County</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39558643</v>
      </c>
      <c r="I12" s="404"/>
      <c r="J12" s="404"/>
      <c r="K12" s="405">
        <f>TRUNC((H12/H13*100000),5)/100000</f>
        <v>0.29020720080000001</v>
      </c>
      <c r="L12" s="406"/>
      <c r="M12" s="360" t="s">
        <v>1205</v>
      </c>
      <c r="N12" s="360"/>
      <c r="O12" s="407">
        <v>0.35</v>
      </c>
      <c r="P12" s="218"/>
      <c r="Q12" s="218"/>
    </row>
    <row r="13" spans="1:18" s="408" customFormat="1" ht="12.75">
      <c r="A13" s="218"/>
      <c r="B13" s="401"/>
      <c r="C13" s="2238" t="s">
        <v>1390</v>
      </c>
      <c r="D13" s="2239"/>
      <c r="E13" s="218"/>
      <c r="F13" s="409" t="s">
        <v>825</v>
      </c>
      <c r="G13" s="402"/>
      <c r="H13" s="403">
        <f>SUM('Acct Summary 7-8'!C8+'Acct Summary 7-8'!D8+'Acct Summary 7-8'!F8+'Acct Summary 7-8'!I8)+H14</f>
        <v>136311721</v>
      </c>
      <c r="I13" s="404"/>
      <c r="J13" s="404"/>
      <c r="K13" s="410"/>
      <c r="L13" s="218"/>
      <c r="M13" s="360" t="s">
        <v>1206</v>
      </c>
      <c r="N13" s="360"/>
      <c r="O13" s="411">
        <f>(O11*O12)</f>
        <v>1.4</v>
      </c>
      <c r="P13" s="218"/>
      <c r="Q13" s="218"/>
      <c r="R13" s="412"/>
    </row>
    <row r="14" spans="1:18" s="408" customFormat="1" ht="12.75">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1477</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116433640</v>
      </c>
      <c r="I17" s="404"/>
      <c r="J17" s="416"/>
      <c r="K17" s="405">
        <f>TRUNC((H17/H18*100000),5)/100000</f>
        <v>0.85417188729999993</v>
      </c>
      <c r="L17" s="406"/>
      <c r="M17" s="417" t="s">
        <v>1232</v>
      </c>
      <c r="O17" s="418" t="str">
        <f>IF(AND(O16="2", J20 &gt; 2),"1",IF(AND(O16 = "1", J20 &gt; 2),"2",IF(AND(O16="1", J20 &gt;1),"1","0")))</f>
        <v>0</v>
      </c>
      <c r="P17" s="218"/>
    </row>
    <row r="18" spans="1:18" s="408" customFormat="1" ht="11.25">
      <c r="A18" s="218"/>
      <c r="B18" s="401"/>
      <c r="C18" s="2238" t="s">
        <v>1383</v>
      </c>
      <c r="D18" s="2239"/>
      <c r="E18" s="218"/>
      <c r="F18" s="419" t="s">
        <v>826</v>
      </c>
      <c r="G18" s="402"/>
      <c r="H18" s="403">
        <f>SUM('Acct Summary 7-8'!C8+'Acct Summary 7-8'!D8+'Acct Summary 7-8'!F8+'Acct Summary 7-8'!I8)+H19</f>
        <v>136311721</v>
      </c>
      <c r="I18" s="404"/>
      <c r="J18" s="404"/>
      <c r="K18" s="410"/>
      <c r="L18" s="218"/>
      <c r="M18" s="360" t="s">
        <v>1205</v>
      </c>
      <c r="N18" s="360"/>
      <c r="O18" s="410">
        <v>0.35</v>
      </c>
      <c r="P18" s="218"/>
    </row>
    <row r="19" spans="1:18" s="408" customFormat="1" ht="11.25">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c r="A24" s="218"/>
      <c r="B24" s="401"/>
      <c r="C24" s="2235" t="s">
        <v>1478</v>
      </c>
      <c r="D24" s="2235"/>
      <c r="E24" s="218"/>
      <c r="F24" s="218" t="s">
        <v>464</v>
      </c>
      <c r="G24" s="402"/>
      <c r="H24" s="403">
        <f>SUM('Assets-Liab 5-6'!C4+'Assets-Liab 5-6'!D4+'Assets-Liab 5-6'!F4+'Assets-Liab 5-6'!I4+'Assets-Liab 5-6'!C5+'Assets-Liab 5-6'!D5+'Assets-Liab 5-6'!F5+'Assets-Liab 5-6'!I5)</f>
        <v>39575679</v>
      </c>
      <c r="I24" s="422"/>
      <c r="J24" s="422"/>
      <c r="K24" s="423">
        <f>TRUNC(((H24/H25*100000)/100000),2)</f>
        <v>122.36</v>
      </c>
      <c r="L24" s="424"/>
      <c r="M24" s="360" t="s">
        <v>1205</v>
      </c>
      <c r="N24" s="360"/>
      <c r="O24" s="411">
        <v>0.1</v>
      </c>
      <c r="P24" s="218"/>
    </row>
    <row r="25" spans="1:18" s="408" customFormat="1" ht="12.75">
      <c r="A25" s="218"/>
      <c r="B25" s="401"/>
      <c r="C25" s="218" t="s">
        <v>830</v>
      </c>
      <c r="D25" s="218"/>
      <c r="E25" s="218"/>
      <c r="F25" s="218" t="s">
        <v>465</v>
      </c>
      <c r="G25" s="402"/>
      <c r="H25" s="423">
        <f>ROUND((H17/360),5)</f>
        <v>323426.77778</v>
      </c>
      <c r="I25" s="425"/>
      <c r="J25" s="425"/>
      <c r="K25" s="410"/>
      <c r="L25" s="218"/>
      <c r="M25" s="360" t="s">
        <v>1206</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83914280.332100004</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c r="A32" s="218"/>
      <c r="B32" s="401"/>
      <c r="C32" s="218" t="s">
        <v>901</v>
      </c>
      <c r="D32" s="218"/>
      <c r="E32" s="218"/>
      <c r="F32" s="218"/>
      <c r="G32" s="402"/>
      <c r="H32" s="403">
        <f>'FP Info 3'!H37</f>
        <v>74862479</v>
      </c>
      <c r="I32" s="420"/>
      <c r="J32" s="420"/>
      <c r="K32" s="423">
        <f>TRUNC(100-((((H32/H33*100))*100)/100),2)</f>
        <v>64.22</v>
      </c>
      <c r="L32" s="406"/>
      <c r="M32" s="360" t="s">
        <v>1205</v>
      </c>
      <c r="N32" s="360"/>
      <c r="O32" s="434">
        <v>0.1</v>
      </c>
    </row>
    <row r="33" spans="1:17" s="408" customFormat="1" ht="11.25">
      <c r="A33" s="218"/>
      <c r="B33" s="401"/>
      <c r="C33" s="218" t="s">
        <v>831</v>
      </c>
      <c r="D33" s="218"/>
      <c r="E33" s="218"/>
      <c r="F33" s="218"/>
      <c r="G33" s="402"/>
      <c r="H33" s="403">
        <f>IF('FP Info 3'!H31="Enter X in a or b"," ",'FP Info 3'!H31)</f>
        <v>209273889.68700001</v>
      </c>
      <c r="I33" s="420"/>
      <c r="J33" s="420"/>
      <c r="K33" s="403"/>
      <c r="L33" s="218"/>
      <c r="M33" s="435" t="s">
        <v>1206</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3.8</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1585</v>
      </c>
      <c r="I40" s="408"/>
      <c r="J40" s="408"/>
      <c r="K40" s="410"/>
      <c r="L40" s="408"/>
      <c r="M40" s="408"/>
      <c r="N40" s="408"/>
      <c r="O40" s="218"/>
      <c r="P40" s="216"/>
      <c r="Q40" s="216"/>
    </row>
    <row r="41" spans="1:17">
      <c r="G41" s="448"/>
      <c r="H41" s="218" t="s">
        <v>1586</v>
      </c>
      <c r="M41" s="216"/>
      <c r="O41" s="216"/>
      <c r="P41" s="216"/>
      <c r="Q41" s="216"/>
    </row>
    <row r="42" spans="1:17">
      <c r="A42" s="385" t="s">
        <v>1587</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D30" sqref="D30"/>
      <selection pane="bottomLeft" activeCell="D30" sqref="D30"/>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24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24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245" t="s">
        <v>1029</v>
      </c>
      <c r="B3" s="2246"/>
      <c r="C3" s="1581"/>
      <c r="D3" s="1582"/>
      <c r="E3" s="1582"/>
      <c r="F3" s="1582"/>
      <c r="G3" s="1582"/>
      <c r="H3" s="1582"/>
      <c r="I3" s="1582"/>
      <c r="J3" s="1582"/>
      <c r="K3" s="1582"/>
      <c r="L3" s="1582"/>
      <c r="M3" s="1583"/>
      <c r="N3" s="1584"/>
    </row>
    <row r="4" spans="1:14" ht="13.5" customHeight="1">
      <c r="A4" s="463" t="s">
        <v>1749</v>
      </c>
      <c r="B4" s="464"/>
      <c r="C4" s="465">
        <v>22266661</v>
      </c>
      <c r="D4" s="466">
        <v>3541966</v>
      </c>
      <c r="E4" s="466">
        <v>4082473</v>
      </c>
      <c r="F4" s="466">
        <v>1260854</v>
      </c>
      <c r="G4" s="466">
        <v>665198</v>
      </c>
      <c r="H4" s="466">
        <v>1050748</v>
      </c>
      <c r="I4" s="466">
        <v>12506198</v>
      </c>
      <c r="J4" s="467">
        <v>2437868</v>
      </c>
      <c r="K4" s="466">
        <v>73121</v>
      </c>
      <c r="L4" s="466">
        <v>784211</v>
      </c>
      <c r="M4" s="468"/>
      <c r="N4" s="469"/>
    </row>
    <row r="5" spans="1:14">
      <c r="A5" s="463" t="s">
        <v>1048</v>
      </c>
      <c r="B5" s="470">
        <v>120</v>
      </c>
      <c r="C5" s="465"/>
      <c r="D5" s="466"/>
      <c r="E5" s="466"/>
      <c r="F5" s="466"/>
      <c r="G5" s="466"/>
      <c r="H5" s="466"/>
      <c r="I5" s="466"/>
      <c r="J5" s="467"/>
      <c r="K5" s="471"/>
      <c r="L5" s="472"/>
      <c r="M5" s="468"/>
      <c r="N5" s="469"/>
    </row>
    <row r="6" spans="1:14" ht="13.5" customHeight="1">
      <c r="A6" s="473" t="s">
        <v>436</v>
      </c>
      <c r="B6" s="470">
        <v>130</v>
      </c>
      <c r="C6" s="465"/>
      <c r="D6" s="466"/>
      <c r="E6" s="466"/>
      <c r="F6" s="466"/>
      <c r="G6" s="471"/>
      <c r="H6" s="471"/>
      <c r="I6" s="466"/>
      <c r="J6" s="474"/>
      <c r="K6" s="471"/>
      <c r="L6" s="475"/>
      <c r="M6" s="468"/>
      <c r="N6" s="469"/>
    </row>
    <row r="7" spans="1:14" ht="13.5" customHeight="1">
      <c r="A7" s="473" t="s">
        <v>437</v>
      </c>
      <c r="B7" s="470">
        <v>140</v>
      </c>
      <c r="C7" s="476">
        <v>47704</v>
      </c>
      <c r="D7" s="467"/>
      <c r="E7" s="467"/>
      <c r="F7" s="467"/>
      <c r="G7" s="467"/>
      <c r="H7" s="467"/>
      <c r="I7" s="467"/>
      <c r="J7" s="467"/>
      <c r="K7" s="467"/>
      <c r="L7" s="477"/>
      <c r="M7" s="468"/>
      <c r="N7" s="469"/>
    </row>
    <row r="8" spans="1:14" ht="13.5" customHeight="1">
      <c r="A8" s="473" t="s">
        <v>286</v>
      </c>
      <c r="B8" s="470">
        <v>150</v>
      </c>
      <c r="C8" s="476"/>
      <c r="D8" s="467"/>
      <c r="E8" s="467"/>
      <c r="F8" s="467"/>
      <c r="G8" s="478"/>
      <c r="H8" s="467"/>
      <c r="I8" s="474"/>
      <c r="J8" s="474"/>
      <c r="K8" s="479"/>
      <c r="L8" s="480"/>
      <c r="M8" s="468"/>
      <c r="N8" s="469"/>
    </row>
    <row r="9" spans="1:14" ht="13.5" customHeight="1">
      <c r="A9" s="473" t="s">
        <v>287</v>
      </c>
      <c r="B9" s="470">
        <v>160</v>
      </c>
      <c r="C9" s="476"/>
      <c r="D9" s="467"/>
      <c r="E9" s="467"/>
      <c r="F9" s="467"/>
      <c r="G9" s="467"/>
      <c r="H9" s="478"/>
      <c r="I9" s="467"/>
      <c r="J9" s="467"/>
      <c r="K9" s="467"/>
      <c r="L9" s="467"/>
      <c r="M9" s="468"/>
      <c r="N9" s="469"/>
    </row>
    <row r="10" spans="1:14" ht="13.5" customHeight="1">
      <c r="A10" s="473" t="s">
        <v>1047</v>
      </c>
      <c r="B10" s="470">
        <v>170</v>
      </c>
      <c r="C10" s="465"/>
      <c r="D10" s="466"/>
      <c r="E10" s="467"/>
      <c r="F10" s="466"/>
      <c r="G10" s="478"/>
      <c r="H10" s="481"/>
      <c r="I10" s="467"/>
      <c r="J10" s="467"/>
      <c r="K10" s="481"/>
      <c r="L10" s="481"/>
      <c r="M10" s="469"/>
      <c r="N10" s="469"/>
    </row>
    <row r="11" spans="1:14" ht="13.5" customHeight="1">
      <c r="A11" s="473" t="s">
        <v>288</v>
      </c>
      <c r="B11" s="470">
        <v>180</v>
      </c>
      <c r="C11" s="476"/>
      <c r="D11" s="467"/>
      <c r="E11" s="467"/>
      <c r="F11" s="467"/>
      <c r="G11" s="467"/>
      <c r="H11" s="467"/>
      <c r="I11" s="478"/>
      <c r="J11" s="478"/>
      <c r="K11" s="467"/>
      <c r="L11" s="467"/>
      <c r="M11" s="469"/>
      <c r="N11" s="469"/>
    </row>
    <row r="12" spans="1:14" ht="13.5" customHeight="1">
      <c r="A12" s="473" t="s">
        <v>438</v>
      </c>
      <c r="B12" s="470">
        <v>190</v>
      </c>
      <c r="C12" s="465"/>
      <c r="D12" s="466"/>
      <c r="E12" s="466"/>
      <c r="F12" s="466"/>
      <c r="G12" s="466"/>
      <c r="H12" s="466"/>
      <c r="I12" s="466"/>
      <c r="J12" s="467"/>
      <c r="K12" s="466"/>
      <c r="L12" s="466"/>
      <c r="M12" s="469"/>
      <c r="N12" s="469"/>
    </row>
    <row r="13" spans="1:14" ht="13.5" customHeight="1" thickBot="1">
      <c r="A13" s="1757" t="s">
        <v>664</v>
      </c>
      <c r="B13" s="1730"/>
      <c r="C13" s="1758">
        <f>SUM(C4:C12)</f>
        <v>22314365</v>
      </c>
      <c r="D13" s="1758">
        <f t="shared" ref="D13:L13" si="0">SUM(D4:D12)</f>
        <v>3541966</v>
      </c>
      <c r="E13" s="1758">
        <f t="shared" si="0"/>
        <v>4082473</v>
      </c>
      <c r="F13" s="1758">
        <f t="shared" si="0"/>
        <v>1260854</v>
      </c>
      <c r="G13" s="1758">
        <f t="shared" si="0"/>
        <v>665198</v>
      </c>
      <c r="H13" s="1758">
        <f t="shared" si="0"/>
        <v>1050748</v>
      </c>
      <c r="I13" s="1758">
        <f t="shared" si="0"/>
        <v>12506198</v>
      </c>
      <c r="J13" s="1758">
        <f t="shared" si="0"/>
        <v>2437868</v>
      </c>
      <c r="K13" s="1758">
        <f t="shared" si="0"/>
        <v>73121</v>
      </c>
      <c r="L13" s="1758">
        <f t="shared" si="0"/>
        <v>784211</v>
      </c>
      <c r="M13" s="468"/>
      <c r="N13" s="469"/>
    </row>
    <row r="14" spans="1:14" ht="18" customHeight="1" thickTop="1">
      <c r="A14" s="2247" t="s">
        <v>149</v>
      </c>
      <c r="B14" s="2248"/>
      <c r="C14" s="1585"/>
      <c r="D14" s="1586"/>
      <c r="E14" s="1586"/>
      <c r="F14" s="1586"/>
      <c r="G14" s="1586"/>
      <c r="H14" s="1586"/>
      <c r="I14" s="1586"/>
      <c r="J14" s="1586"/>
      <c r="K14" s="1586"/>
      <c r="L14" s="1586"/>
      <c r="M14" s="1587"/>
      <c r="N14" s="1588"/>
    </row>
    <row r="15" spans="1:14" s="485" customFormat="1" ht="12.75" customHeight="1">
      <c r="A15" s="482" t="s">
        <v>1467</v>
      </c>
      <c r="B15" s="483">
        <v>210</v>
      </c>
      <c r="C15" s="477"/>
      <c r="D15" s="477"/>
      <c r="E15" s="477"/>
      <c r="F15" s="477"/>
      <c r="G15" s="477"/>
      <c r="H15" s="477"/>
      <c r="I15" s="477"/>
      <c r="J15" s="477"/>
      <c r="K15" s="477"/>
      <c r="L15" s="477"/>
      <c r="M15" s="478"/>
      <c r="N15" s="484"/>
    </row>
    <row r="16" spans="1:14" s="485" customFormat="1" ht="12.75" customHeight="1">
      <c r="A16" s="482" t="s">
        <v>1468</v>
      </c>
      <c r="B16" s="483">
        <v>220</v>
      </c>
      <c r="C16" s="477"/>
      <c r="D16" s="477"/>
      <c r="E16" s="477"/>
      <c r="F16" s="477"/>
      <c r="G16" s="477"/>
      <c r="H16" s="477"/>
      <c r="I16" s="477"/>
      <c r="J16" s="477"/>
      <c r="K16" s="477"/>
      <c r="L16" s="477"/>
      <c r="M16" s="467">
        <v>2966736</v>
      </c>
      <c r="N16" s="484"/>
    </row>
    <row r="17" spans="1:14" s="485" customFormat="1" ht="12.75" customHeight="1">
      <c r="A17" s="482" t="s">
        <v>1469</v>
      </c>
      <c r="B17" s="483">
        <v>230</v>
      </c>
      <c r="C17" s="477"/>
      <c r="D17" s="477"/>
      <c r="E17" s="477"/>
      <c r="F17" s="477"/>
      <c r="G17" s="477"/>
      <c r="H17" s="477"/>
      <c r="I17" s="477"/>
      <c r="J17" s="477"/>
      <c r="K17" s="477"/>
      <c r="L17" s="477"/>
      <c r="M17" s="467">
        <v>85381260</v>
      </c>
      <c r="N17" s="484"/>
    </row>
    <row r="18" spans="1:14" s="485" customFormat="1" ht="12.75" customHeight="1">
      <c r="A18" s="482" t="s">
        <v>1470</v>
      </c>
      <c r="B18" s="483">
        <v>240</v>
      </c>
      <c r="C18" s="477"/>
      <c r="D18" s="477"/>
      <c r="E18" s="477"/>
      <c r="F18" s="477"/>
      <c r="G18" s="477"/>
      <c r="H18" s="477"/>
      <c r="I18" s="477"/>
      <c r="J18" s="477"/>
      <c r="K18" s="477"/>
      <c r="L18" s="477"/>
      <c r="M18" s="467"/>
      <c r="N18" s="484"/>
    </row>
    <row r="19" spans="1:14" s="485" customFormat="1" ht="12.75" customHeight="1">
      <c r="A19" s="482" t="s">
        <v>1471</v>
      </c>
      <c r="B19" s="483">
        <v>250</v>
      </c>
      <c r="C19" s="477"/>
      <c r="D19" s="477"/>
      <c r="E19" s="477"/>
      <c r="F19" s="477"/>
      <c r="G19" s="477"/>
      <c r="H19" s="477"/>
      <c r="I19" s="477"/>
      <c r="J19" s="477"/>
      <c r="K19" s="477"/>
      <c r="L19" s="477"/>
      <c r="M19" s="467">
        <v>3239882</v>
      </c>
      <c r="N19" s="484"/>
    </row>
    <row r="20" spans="1:14" s="485" customFormat="1" ht="12.75" customHeight="1">
      <c r="A20" s="482" t="s">
        <v>1472</v>
      </c>
      <c r="B20" s="483">
        <v>260</v>
      </c>
      <c r="C20" s="477"/>
      <c r="D20" s="477"/>
      <c r="E20" s="477"/>
      <c r="F20" s="477"/>
      <c r="G20" s="477"/>
      <c r="H20" s="477"/>
      <c r="I20" s="477"/>
      <c r="J20" s="477"/>
      <c r="K20" s="477"/>
      <c r="L20" s="477"/>
      <c r="M20" s="467"/>
      <c r="N20" s="484"/>
    </row>
    <row r="21" spans="1:14" s="485" customFormat="1" ht="12.75" customHeight="1">
      <c r="A21" s="482" t="s">
        <v>1473</v>
      </c>
      <c r="B21" s="483">
        <v>340</v>
      </c>
      <c r="C21" s="477"/>
      <c r="D21" s="477"/>
      <c r="E21" s="477"/>
      <c r="F21" s="477"/>
      <c r="G21" s="477"/>
      <c r="H21" s="477"/>
      <c r="I21" s="477"/>
      <c r="J21" s="477"/>
      <c r="K21" s="477"/>
      <c r="L21" s="477"/>
      <c r="M21" s="486"/>
      <c r="N21" s="467"/>
    </row>
    <row r="22" spans="1:14" s="485" customFormat="1" ht="12.75" customHeight="1">
      <c r="A22" s="482" t="s">
        <v>1474</v>
      </c>
      <c r="B22" s="483">
        <v>350</v>
      </c>
      <c r="C22" s="477"/>
      <c r="D22" s="477"/>
      <c r="E22" s="477"/>
      <c r="F22" s="477"/>
      <c r="G22" s="477"/>
      <c r="H22" s="477"/>
      <c r="I22" s="477"/>
      <c r="J22" s="477"/>
      <c r="K22" s="477"/>
      <c r="L22" s="477"/>
      <c r="M22" s="486"/>
      <c r="N22" s="487">
        <f>'Short-Term Long-Term Debt 24'!J49</f>
        <v>74862479</v>
      </c>
    </row>
    <row r="23" spans="1:14" ht="13.5" customHeight="1" thickBot="1">
      <c r="A23" s="1757" t="s">
        <v>663</v>
      </c>
      <c r="B23" s="1762"/>
      <c r="C23" s="468"/>
      <c r="D23" s="468"/>
      <c r="E23" s="468"/>
      <c r="F23" s="468"/>
      <c r="G23" s="468"/>
      <c r="H23" s="468"/>
      <c r="I23" s="468"/>
      <c r="J23" s="468"/>
      <c r="K23" s="468"/>
      <c r="L23" s="468"/>
      <c r="M23" s="1709">
        <f>SUM(M15:M22)</f>
        <v>91587878</v>
      </c>
      <c r="N23" s="1709">
        <f>SUM(N21:N22)</f>
        <v>74862479</v>
      </c>
    </row>
    <row r="24" spans="1:14" ht="18" customHeight="1" thickTop="1">
      <c r="A24" s="2249" t="s">
        <v>618</v>
      </c>
      <c r="B24" s="2250"/>
      <c r="C24" s="1590"/>
      <c r="D24" s="1587"/>
      <c r="E24" s="1587"/>
      <c r="F24" s="1587"/>
      <c r="G24" s="1587"/>
      <c r="H24" s="1587"/>
      <c r="I24" s="1587"/>
      <c r="J24" s="1587"/>
      <c r="K24" s="1587"/>
      <c r="L24" s="1587"/>
      <c r="M24" s="1586"/>
      <c r="N24" s="1591"/>
    </row>
    <row r="25" spans="1:14">
      <c r="A25" s="473" t="s">
        <v>665</v>
      </c>
      <c r="B25" s="470">
        <v>410</v>
      </c>
      <c r="C25" s="478"/>
      <c r="D25" s="478"/>
      <c r="E25" s="478"/>
      <c r="F25" s="478"/>
      <c r="G25" s="478"/>
      <c r="H25" s="479"/>
      <c r="I25" s="468"/>
      <c r="J25" s="478"/>
      <c r="K25" s="478"/>
      <c r="L25" s="468"/>
      <c r="M25" s="468"/>
      <c r="N25" s="468"/>
    </row>
    <row r="26" spans="1:14">
      <c r="A26" s="473" t="s">
        <v>666</v>
      </c>
      <c r="B26" s="470">
        <v>420</v>
      </c>
      <c r="C26" s="467"/>
      <c r="D26" s="467"/>
      <c r="E26" s="467"/>
      <c r="F26" s="467"/>
      <c r="G26" s="467"/>
      <c r="H26" s="467"/>
      <c r="I26" s="467"/>
      <c r="J26" s="474"/>
      <c r="K26" s="467"/>
      <c r="L26" s="468"/>
      <c r="M26" s="468"/>
      <c r="N26" s="468"/>
    </row>
    <row r="27" spans="1:14" ht="13.5" customHeight="1">
      <c r="A27" s="473" t="s">
        <v>667</v>
      </c>
      <c r="B27" s="470">
        <v>430</v>
      </c>
      <c r="C27" s="467"/>
      <c r="D27" s="467"/>
      <c r="E27" s="467"/>
      <c r="F27" s="467"/>
      <c r="G27" s="467"/>
      <c r="H27" s="467"/>
      <c r="I27" s="467"/>
      <c r="J27" s="467"/>
      <c r="K27" s="467"/>
      <c r="L27" s="468"/>
      <c r="M27" s="468"/>
      <c r="N27" s="468"/>
    </row>
    <row r="28" spans="1:14" ht="13.5" customHeight="1">
      <c r="A28" s="473" t="s">
        <v>668</v>
      </c>
      <c r="B28" s="470">
        <v>440</v>
      </c>
      <c r="C28" s="467"/>
      <c r="D28" s="467"/>
      <c r="E28" s="474"/>
      <c r="F28" s="467"/>
      <c r="G28" s="474"/>
      <c r="H28" s="474"/>
      <c r="I28" s="467"/>
      <c r="J28" s="467"/>
      <c r="K28" s="479"/>
      <c r="L28" s="468"/>
      <c r="M28" s="468"/>
      <c r="N28" s="468"/>
    </row>
    <row r="29" spans="1:14" ht="13.5" customHeight="1">
      <c r="A29" s="473" t="s">
        <v>669</v>
      </c>
      <c r="B29" s="470">
        <v>460</v>
      </c>
      <c r="C29" s="488"/>
      <c r="D29" s="489"/>
      <c r="E29" s="474"/>
      <c r="F29" s="467"/>
      <c r="G29" s="474"/>
      <c r="H29" s="474"/>
      <c r="I29" s="474"/>
      <c r="J29" s="474"/>
      <c r="K29" s="467"/>
      <c r="L29" s="468"/>
      <c r="M29" s="468"/>
      <c r="N29" s="468"/>
    </row>
    <row r="30" spans="1:14" ht="13.5" customHeight="1">
      <c r="A30" s="473" t="s">
        <v>670</v>
      </c>
      <c r="B30" s="470">
        <v>470</v>
      </c>
      <c r="C30" s="467"/>
      <c r="D30" s="474"/>
      <c r="E30" s="467"/>
      <c r="F30" s="467"/>
      <c r="G30" s="467"/>
      <c r="H30" s="467"/>
      <c r="I30" s="467"/>
      <c r="J30" s="467"/>
      <c r="K30" s="478"/>
      <c r="L30" s="468"/>
      <c r="M30" s="468"/>
      <c r="N30" s="468"/>
    </row>
    <row r="31" spans="1:14" ht="13.5" customHeight="1">
      <c r="A31" s="473" t="s">
        <v>671</v>
      </c>
      <c r="B31" s="470">
        <v>480</v>
      </c>
      <c r="C31" s="466">
        <v>64740</v>
      </c>
      <c r="D31" s="467"/>
      <c r="E31" s="467"/>
      <c r="F31" s="466"/>
      <c r="G31" s="467"/>
      <c r="H31" s="467"/>
      <c r="I31" s="467"/>
      <c r="J31" s="467"/>
      <c r="K31" s="467"/>
      <c r="L31" s="468"/>
      <c r="M31" s="468"/>
      <c r="N31" s="468"/>
    </row>
    <row r="32" spans="1:14" ht="13.5" customHeight="1">
      <c r="A32" s="490" t="s">
        <v>672</v>
      </c>
      <c r="B32" s="491">
        <v>490</v>
      </c>
      <c r="C32" s="492"/>
      <c r="D32" s="492"/>
      <c r="E32" s="474"/>
      <c r="F32" s="474"/>
      <c r="G32" s="474"/>
      <c r="H32" s="474"/>
      <c r="I32" s="474"/>
      <c r="J32" s="474"/>
      <c r="K32" s="479"/>
      <c r="L32" s="468"/>
      <c r="M32" s="468"/>
      <c r="N32" s="468"/>
    </row>
    <row r="33" spans="1:14" ht="13.5" customHeight="1">
      <c r="A33" s="493" t="s">
        <v>320</v>
      </c>
      <c r="B33" s="491">
        <v>493</v>
      </c>
      <c r="C33" s="467"/>
      <c r="D33" s="467"/>
      <c r="E33" s="467"/>
      <c r="F33" s="467"/>
      <c r="G33" s="467"/>
      <c r="H33" s="467"/>
      <c r="I33" s="467"/>
      <c r="J33" s="467"/>
      <c r="K33" s="467"/>
      <c r="L33" s="467">
        <v>784211</v>
      </c>
      <c r="M33" s="468"/>
      <c r="N33" s="469"/>
    </row>
    <row r="34" spans="1:14" ht="13.5" customHeight="1" thickBot="1">
      <c r="A34" s="1759" t="s">
        <v>674</v>
      </c>
      <c r="B34" s="1760"/>
      <c r="C34" s="1761">
        <f>SUM(C25:C33)</f>
        <v>64740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784211</v>
      </c>
      <c r="M34" s="468"/>
      <c r="N34" s="480"/>
    </row>
    <row r="35" spans="1:14" ht="18" customHeight="1" thickTop="1">
      <c r="A35" s="2251" t="s">
        <v>549</v>
      </c>
      <c r="B35" s="2252"/>
      <c r="C35" s="1592"/>
      <c r="D35" s="1593"/>
      <c r="E35" s="1593"/>
      <c r="F35" s="1593"/>
      <c r="G35" s="1593"/>
      <c r="H35" s="1593"/>
      <c r="I35" s="1593"/>
      <c r="J35" s="1593"/>
      <c r="K35" s="1593"/>
      <c r="L35" s="1593"/>
      <c r="M35" s="1587"/>
      <c r="N35" s="1591"/>
    </row>
    <row r="36" spans="1:14">
      <c r="A36" s="494" t="s">
        <v>1</v>
      </c>
      <c r="B36" s="470">
        <v>511</v>
      </c>
      <c r="C36" s="477"/>
      <c r="D36" s="477"/>
      <c r="E36" s="477"/>
      <c r="F36" s="477"/>
      <c r="G36" s="477"/>
      <c r="H36" s="477"/>
      <c r="I36" s="477"/>
      <c r="J36" s="477"/>
      <c r="K36" s="477"/>
      <c r="L36" s="468"/>
      <c r="M36" s="468"/>
      <c r="N36" s="495">
        <f>'Short-Term Long-Term Debt 24'!I49</f>
        <v>74862479</v>
      </c>
    </row>
    <row r="37" spans="1:14" ht="13.5" thickBot="1">
      <c r="A37" s="1757" t="s">
        <v>673</v>
      </c>
      <c r="B37" s="1762"/>
      <c r="C37" s="477"/>
      <c r="D37" s="477"/>
      <c r="E37" s="477"/>
      <c r="F37" s="477"/>
      <c r="G37" s="477"/>
      <c r="H37" s="477"/>
      <c r="I37" s="477"/>
      <c r="J37" s="477"/>
      <c r="K37" s="477"/>
      <c r="L37" s="480"/>
      <c r="M37" s="468"/>
      <c r="N37" s="1709">
        <f>SUM(N36:N36)</f>
        <v>74862479</v>
      </c>
    </row>
    <row r="38" spans="1:14" s="329" customFormat="1" ht="13.5" customHeight="1" thickTop="1">
      <c r="A38" s="496" t="s">
        <v>439</v>
      </c>
      <c r="B38" s="483">
        <v>714</v>
      </c>
      <c r="C38" s="466">
        <v>392944</v>
      </c>
      <c r="D38" s="466"/>
      <c r="E38" s="466"/>
      <c r="F38" s="466"/>
      <c r="G38" s="466"/>
      <c r="H38" s="466"/>
      <c r="I38" s="466"/>
      <c r="J38" s="467"/>
      <c r="K38" s="466"/>
      <c r="L38" s="481"/>
      <c r="M38" s="497"/>
      <c r="N38" s="497"/>
    </row>
    <row r="39" spans="1:14" s="329" customFormat="1" ht="13.5" customHeight="1">
      <c r="A39" s="496" t="s">
        <v>359</v>
      </c>
      <c r="B39" s="483">
        <v>730</v>
      </c>
      <c r="C39" s="466">
        <v>21856681</v>
      </c>
      <c r="D39" s="466">
        <v>3541966</v>
      </c>
      <c r="E39" s="466">
        <v>4082473</v>
      </c>
      <c r="F39" s="466">
        <v>1260854</v>
      </c>
      <c r="G39" s="466">
        <f>+'Acct Summary 7-8'!G81</f>
        <v>665198</v>
      </c>
      <c r="H39" s="466">
        <v>1050748</v>
      </c>
      <c r="I39" s="466">
        <v>12506198</v>
      </c>
      <c r="J39" s="467">
        <v>2437868</v>
      </c>
      <c r="K39" s="466">
        <v>73121</v>
      </c>
      <c r="L39" s="466"/>
      <c r="M39" s="497"/>
      <c r="N39" s="497"/>
    </row>
    <row r="40" spans="1:14" s="329" customFormat="1" ht="13.5" customHeight="1">
      <c r="A40" s="498" t="s">
        <v>150</v>
      </c>
      <c r="B40" s="499"/>
      <c r="C40" s="500"/>
      <c r="D40" s="500"/>
      <c r="E40" s="500"/>
      <c r="F40" s="500"/>
      <c r="G40" s="500"/>
      <c r="H40" s="500"/>
      <c r="I40" s="500"/>
      <c r="J40" s="500"/>
      <c r="K40" s="500"/>
      <c r="L40" s="500"/>
      <c r="M40" s="467">
        <v>91587878</v>
      </c>
      <c r="N40" s="497"/>
    </row>
    <row r="41" spans="1:14" ht="13.5" customHeight="1" thickBot="1">
      <c r="A41" s="1757" t="s">
        <v>675</v>
      </c>
      <c r="B41" s="1727"/>
      <c r="C41" s="1709">
        <f>(SUM(C34,C37,C38,C39))</f>
        <v>22314365</v>
      </c>
      <c r="D41" s="1709">
        <f t="shared" ref="D41:L41" si="2">SUM(D34,D37,D38:D39)</f>
        <v>3541966</v>
      </c>
      <c r="E41" s="1709">
        <f t="shared" si="2"/>
        <v>4082473</v>
      </c>
      <c r="F41" s="1709">
        <f t="shared" si="2"/>
        <v>1260854</v>
      </c>
      <c r="G41" s="1709">
        <f t="shared" si="2"/>
        <v>665198</v>
      </c>
      <c r="H41" s="1709">
        <f t="shared" si="2"/>
        <v>1050748</v>
      </c>
      <c r="I41" s="1709">
        <f t="shared" si="2"/>
        <v>12506198</v>
      </c>
      <c r="J41" s="1709">
        <f t="shared" si="2"/>
        <v>2437868</v>
      </c>
      <c r="K41" s="1709">
        <f t="shared" si="2"/>
        <v>73121</v>
      </c>
      <c r="L41" s="1709">
        <f t="shared" si="2"/>
        <v>784211</v>
      </c>
      <c r="M41" s="1709">
        <f>SUM(M40)</f>
        <v>91587878</v>
      </c>
      <c r="N41" s="1709">
        <f>SUM(N37)</f>
        <v>74862479</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3" activePane="bottomLeft" state="frozenSplit"/>
      <selection activeCell="D30" sqref="D30"/>
      <selection pane="bottomLeft" activeCell="D30" sqref="D30"/>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261"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c r="A2" s="226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c r="A3" s="2273" t="s">
        <v>1236</v>
      </c>
      <c r="B3" s="2274"/>
      <c r="C3" s="1595"/>
      <c r="D3" s="1596"/>
      <c r="E3" s="1596"/>
      <c r="F3" s="1596"/>
      <c r="G3" s="1596"/>
      <c r="H3" s="1596"/>
      <c r="I3" s="1596"/>
      <c r="J3" s="1596"/>
      <c r="K3" s="1597"/>
      <c r="L3" s="506"/>
    </row>
    <row r="4" spans="1:13" ht="15.75" customHeight="1">
      <c r="A4" s="1952" t="s">
        <v>1578</v>
      </c>
      <c r="B4" s="1953">
        <v>1000</v>
      </c>
      <c r="C4" s="1763">
        <f>'Revenues 9-14'!C109</f>
        <v>99571832</v>
      </c>
      <c r="D4" s="1763">
        <f>'Revenues 9-14'!D109</f>
        <v>8553277</v>
      </c>
      <c r="E4" s="1763">
        <f>'Revenues 9-14'!E109</f>
        <v>6159812</v>
      </c>
      <c r="F4" s="1763">
        <f>'Revenues 9-14'!F109</f>
        <v>3244954</v>
      </c>
      <c r="G4" s="1763">
        <f>'Revenues 9-14'!G109</f>
        <v>3348550</v>
      </c>
      <c r="H4" s="1763">
        <f>'Revenues 9-14'!H109</f>
        <v>5185</v>
      </c>
      <c r="I4" s="1763">
        <f>'Revenues 9-14'!I109</f>
        <v>189213</v>
      </c>
      <c r="J4" s="1763">
        <f>'Revenues 9-14'!J109</f>
        <v>1312670</v>
      </c>
      <c r="K4" s="1763">
        <f>'Revenues 9-14'!K109</f>
        <v>116467</v>
      </c>
      <c r="L4" s="347"/>
    </row>
    <row r="5" spans="1:13" ht="15.75" customHeight="1">
      <c r="A5" s="1598" t="s">
        <v>1579</v>
      </c>
      <c r="B5" s="1599">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c r="A6" s="1598" t="s">
        <v>1580</v>
      </c>
      <c r="B6" s="1600">
        <v>3000</v>
      </c>
      <c r="C6" s="1764">
        <f>'Revenues 9-14'!C173</f>
        <v>14804161</v>
      </c>
      <c r="D6" s="1764">
        <f>'Revenues 9-14'!D173</f>
        <v>5467</v>
      </c>
      <c r="E6" s="1764">
        <f>'Revenues 9-14'!E173</f>
        <v>0</v>
      </c>
      <c r="F6" s="1764">
        <f>'Revenues 9-14'!F173</f>
        <v>1562239</v>
      </c>
      <c r="G6" s="1764">
        <f>'Revenues 9-14'!G173</f>
        <v>0</v>
      </c>
      <c r="H6" s="1764">
        <f>'Revenues 9-14'!H173</f>
        <v>0</v>
      </c>
      <c r="I6" s="1764">
        <f>'Revenues 9-14'!I173</f>
        <v>0</v>
      </c>
      <c r="J6" s="1764">
        <f>'Revenues 9-14'!J173</f>
        <v>0</v>
      </c>
      <c r="K6" s="1764">
        <f>'Revenues 9-14'!K173</f>
        <v>0</v>
      </c>
      <c r="L6" s="347"/>
      <c r="M6" s="513"/>
    </row>
    <row r="7" spans="1:13" ht="15.75" customHeight="1">
      <c r="A7" s="1598" t="s">
        <v>1581</v>
      </c>
      <c r="B7" s="1600">
        <v>4000</v>
      </c>
      <c r="C7" s="1764">
        <f>'Revenues 9-14'!C274</f>
        <v>8380578</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c r="A8" s="1757" t="s">
        <v>1233</v>
      </c>
      <c r="B8" s="1730"/>
      <c r="C8" s="1709">
        <f>SUM(C4:C7)</f>
        <v>122756571</v>
      </c>
      <c r="D8" s="1709">
        <f t="shared" ref="D8:K8" si="0">SUM(D4:D7)</f>
        <v>8558744</v>
      </c>
      <c r="E8" s="1709">
        <f t="shared" si="0"/>
        <v>6159812</v>
      </c>
      <c r="F8" s="1709">
        <f t="shared" si="0"/>
        <v>4807193</v>
      </c>
      <c r="G8" s="1709">
        <f t="shared" si="0"/>
        <v>3348550</v>
      </c>
      <c r="H8" s="1709">
        <f t="shared" si="0"/>
        <v>5185</v>
      </c>
      <c r="I8" s="1709">
        <f t="shared" si="0"/>
        <v>189213</v>
      </c>
      <c r="J8" s="1709">
        <f t="shared" si="0"/>
        <v>1312670</v>
      </c>
      <c r="K8" s="1709">
        <f t="shared" si="0"/>
        <v>116467</v>
      </c>
      <c r="L8" s="347"/>
    </row>
    <row r="9" spans="1:13" ht="15.75" thickTop="1">
      <c r="A9" s="514" t="s">
        <v>1751</v>
      </c>
      <c r="B9" s="515">
        <v>3998</v>
      </c>
      <c r="C9" s="481">
        <v>0</v>
      </c>
      <c r="D9" s="516"/>
      <c r="E9" s="481"/>
      <c r="F9" s="481"/>
      <c r="G9" s="517"/>
      <c r="H9" s="481"/>
      <c r="I9" s="509" t="s">
        <v>1230</v>
      </c>
      <c r="J9" s="478"/>
      <c r="K9" s="481"/>
      <c r="L9" s="347"/>
    </row>
    <row r="10" spans="1:13" s="519" customFormat="1" ht="13.5" thickBot="1">
      <c r="A10" s="1757" t="s">
        <v>1234</v>
      </c>
      <c r="B10" s="1730"/>
      <c r="C10" s="1709">
        <f>SUM(C8:C9)</f>
        <v>122756571</v>
      </c>
      <c r="D10" s="1709">
        <f t="shared" ref="D10:K10" si="1">SUM(D8:D9)</f>
        <v>8558744</v>
      </c>
      <c r="E10" s="1709">
        <f t="shared" si="1"/>
        <v>6159812</v>
      </c>
      <c r="F10" s="1709">
        <f t="shared" si="1"/>
        <v>4807193</v>
      </c>
      <c r="G10" s="1709">
        <f t="shared" si="1"/>
        <v>3348550</v>
      </c>
      <c r="H10" s="1709">
        <f t="shared" si="1"/>
        <v>5185</v>
      </c>
      <c r="I10" s="1709">
        <f t="shared" si="1"/>
        <v>189213</v>
      </c>
      <c r="J10" s="1709">
        <f t="shared" si="1"/>
        <v>1312670</v>
      </c>
      <c r="K10" s="1709">
        <f t="shared" si="1"/>
        <v>116467</v>
      </c>
      <c r="L10" s="518"/>
    </row>
    <row r="11" spans="1:13" s="519" customFormat="1" ht="16.7" customHeight="1" thickTop="1">
      <c r="A11" s="2247" t="s">
        <v>1237</v>
      </c>
      <c r="B11" s="2248"/>
      <c r="C11" s="1592"/>
      <c r="D11" s="1593"/>
      <c r="E11" s="1593"/>
      <c r="F11" s="1593"/>
      <c r="G11" s="1593"/>
      <c r="H11" s="1593"/>
      <c r="I11" s="1593"/>
      <c r="J11" s="1593"/>
      <c r="K11" s="1594"/>
      <c r="L11" s="518"/>
    </row>
    <row r="12" spans="1:13" ht="15.75" customHeight="1">
      <c r="A12" s="1598" t="s">
        <v>475</v>
      </c>
      <c r="B12" s="1600">
        <v>1000</v>
      </c>
      <c r="C12" s="1763">
        <f>'Expenditures 15-22'!K33</f>
        <v>64021002</v>
      </c>
      <c r="D12" s="520" t="s">
        <v>1230</v>
      </c>
      <c r="E12" s="468" t="s">
        <v>1230</v>
      </c>
      <c r="F12" s="468" t="s">
        <v>1230</v>
      </c>
      <c r="G12" s="1763">
        <f>'Expenditures 15-22'!K229</f>
        <v>1428530</v>
      </c>
      <c r="H12" s="521"/>
      <c r="I12" s="468" t="s">
        <v>1230</v>
      </c>
      <c r="J12" s="468" t="s">
        <v>1230</v>
      </c>
      <c r="K12" s="521" t="s">
        <v>1230</v>
      </c>
      <c r="L12" s="347"/>
    </row>
    <row r="13" spans="1:13" ht="15.75" customHeight="1">
      <c r="A13" s="1598" t="s">
        <v>476</v>
      </c>
      <c r="B13" s="1600">
        <v>2000</v>
      </c>
      <c r="C13" s="1764">
        <f>'Expenditures 15-22'!K74</f>
        <v>32787034</v>
      </c>
      <c r="D13" s="1764">
        <f>'Expenditures 15-22'!K129</f>
        <v>6971960</v>
      </c>
      <c r="E13" s="469" t="s">
        <v>1230</v>
      </c>
      <c r="F13" s="1764">
        <f>'Expenditures 15-22'!K184</f>
        <v>4270988</v>
      </c>
      <c r="G13" s="1764">
        <f>'Expenditures 15-22'!K279</f>
        <v>2039569</v>
      </c>
      <c r="H13" s="1764">
        <f>'Expenditures 15-22'!K303</f>
        <v>608106</v>
      </c>
      <c r="I13" s="468" t="s">
        <v>1230</v>
      </c>
      <c r="J13" s="1764">
        <f>'Expenditures 15-22'!K330</f>
        <v>880255</v>
      </c>
      <c r="K13" s="1768">
        <f>'Expenditures 15-22'!K352</f>
        <v>64000</v>
      </c>
      <c r="L13" s="347"/>
    </row>
    <row r="14" spans="1:13" ht="15.75" customHeight="1">
      <c r="A14" s="1598" t="s">
        <v>468</v>
      </c>
      <c r="B14" s="1600">
        <v>3000</v>
      </c>
      <c r="C14" s="1764">
        <f>'Expenditures 15-22'!K75</f>
        <v>5309462</v>
      </c>
      <c r="D14" s="1764">
        <f>'Expenditures 15-22'!K130</f>
        <v>0</v>
      </c>
      <c r="E14" s="520" t="s">
        <v>1230</v>
      </c>
      <c r="F14" s="1764">
        <f>'Expenditures 15-22'!K185</f>
        <v>0</v>
      </c>
      <c r="G14" s="1764">
        <f>'Expenditures 15-22'!K280</f>
        <v>443322</v>
      </c>
      <c r="H14" s="512"/>
      <c r="I14" s="468" t="s">
        <v>1230</v>
      </c>
      <c r="J14" s="468" t="s">
        <v>1230</v>
      </c>
      <c r="K14" s="512" t="s">
        <v>1230</v>
      </c>
      <c r="L14" s="347"/>
    </row>
    <row r="15" spans="1:13" ht="15.75" customHeight="1">
      <c r="A15" s="1598" t="s">
        <v>109</v>
      </c>
      <c r="B15" s="1600">
        <v>4000</v>
      </c>
      <c r="C15" s="1764">
        <f>'Expenditures 15-22'!K102</f>
        <v>3073194</v>
      </c>
      <c r="D15" s="1764">
        <f>'Expenditures 15-22'!K139</f>
        <v>0</v>
      </c>
      <c r="E15" s="1764">
        <f>'Expenditures 15-22'!K160</f>
        <v>0</v>
      </c>
      <c r="F15" s="1764">
        <f>'Expenditures 15-22'!K196</f>
        <v>0</v>
      </c>
      <c r="G15" s="1764">
        <f>'Expenditures 15-22'!K285</f>
        <v>0</v>
      </c>
      <c r="H15" s="1764">
        <f>'Expenditures 15-22'!K310</f>
        <v>0</v>
      </c>
      <c r="I15" s="468" t="s">
        <v>1230</v>
      </c>
      <c r="J15" s="1857">
        <f>'Expenditures 15-22'!K334</f>
        <v>0</v>
      </c>
      <c r="K15" s="1764">
        <f>'Expenditures 15-22'!K357</f>
        <v>0</v>
      </c>
      <c r="L15" s="347"/>
    </row>
    <row r="16" spans="1:13" ht="15.75" customHeight="1">
      <c r="A16" s="1598" t="s">
        <v>469</v>
      </c>
      <c r="B16" s="1600">
        <v>5000</v>
      </c>
      <c r="C16" s="1764">
        <f>'Expenditures 15-22'!K112</f>
        <v>0</v>
      </c>
      <c r="D16" s="1764">
        <f>'Expenditures 15-22'!K149</f>
        <v>0</v>
      </c>
      <c r="E16" s="1764">
        <f>'Expenditures 15-22'!K172</f>
        <v>5629342</v>
      </c>
      <c r="F16" s="1764">
        <f>'Expenditures 15-22'!K208</f>
        <v>0</v>
      </c>
      <c r="G16" s="1764">
        <f>'Expenditures 15-22'!K293</f>
        <v>0</v>
      </c>
      <c r="H16" s="523"/>
      <c r="I16" s="468" t="s">
        <v>1230</v>
      </c>
      <c r="J16" s="1769">
        <f>'Expenditures 15-22'!K340</f>
        <v>0</v>
      </c>
      <c r="K16" s="1764">
        <f>'Expenditures 15-22'!K365</f>
        <v>0</v>
      </c>
      <c r="L16" s="347"/>
    </row>
    <row r="17" spans="1:12" ht="13.5" thickBot="1">
      <c r="A17" s="1729" t="s">
        <v>50</v>
      </c>
      <c r="B17" s="1730"/>
      <c r="C17" s="1709">
        <f t="shared" ref="C17:H17" si="2">SUM(C12:C16)</f>
        <v>105190692</v>
      </c>
      <c r="D17" s="1709">
        <f t="shared" si="2"/>
        <v>6971960</v>
      </c>
      <c r="E17" s="1709">
        <f t="shared" si="2"/>
        <v>5629342</v>
      </c>
      <c r="F17" s="1709">
        <f t="shared" si="2"/>
        <v>4270988</v>
      </c>
      <c r="G17" s="1709">
        <f t="shared" si="2"/>
        <v>3911421</v>
      </c>
      <c r="H17" s="1709">
        <f t="shared" si="2"/>
        <v>608106</v>
      </c>
      <c r="I17" s="468"/>
      <c r="J17" s="1709">
        <f>SUM(J12:J16)</f>
        <v>880255</v>
      </c>
      <c r="K17" s="1709">
        <f>SUM(K12:K16)</f>
        <v>64000</v>
      </c>
      <c r="L17" s="347"/>
    </row>
    <row r="18" spans="1:12" ht="15" customHeight="1" thickTop="1">
      <c r="A18" s="1765" t="s">
        <v>1752</v>
      </c>
      <c r="B18" s="1766">
        <v>4180</v>
      </c>
      <c r="C18" s="1763">
        <f t="shared" ref="C18:H18" si="3">C9</f>
        <v>0</v>
      </c>
      <c r="D18" s="1763">
        <f t="shared" si="3"/>
        <v>0</v>
      </c>
      <c r="E18" s="1763">
        <f t="shared" si="3"/>
        <v>0</v>
      </c>
      <c r="F18" s="1763">
        <f t="shared" si="3"/>
        <v>0</v>
      </c>
      <c r="G18" s="1763">
        <f t="shared" si="3"/>
        <v>0</v>
      </c>
      <c r="H18" s="1763">
        <f t="shared" si="3"/>
        <v>0</v>
      </c>
      <c r="I18" s="468"/>
      <c r="J18" s="1763">
        <f>J9</f>
        <v>0</v>
      </c>
      <c r="K18" s="1763">
        <f>K9</f>
        <v>0</v>
      </c>
      <c r="L18" s="347"/>
    </row>
    <row r="19" spans="1:12" ht="13.5" thickBot="1">
      <c r="A19" s="1729" t="s">
        <v>525</v>
      </c>
      <c r="B19" s="1730"/>
      <c r="C19" s="1709">
        <f t="shared" ref="C19:H19" si="4">SUM(C17:C18)</f>
        <v>105190692</v>
      </c>
      <c r="D19" s="1709">
        <f t="shared" si="4"/>
        <v>6971960</v>
      </c>
      <c r="E19" s="1709">
        <f t="shared" si="4"/>
        <v>5629342</v>
      </c>
      <c r="F19" s="1709">
        <f t="shared" si="4"/>
        <v>4270988</v>
      </c>
      <c r="G19" s="1709">
        <f t="shared" si="4"/>
        <v>3911421</v>
      </c>
      <c r="H19" s="1709">
        <f t="shared" si="4"/>
        <v>608106</v>
      </c>
      <c r="I19" s="468"/>
      <c r="J19" s="1709">
        <f>SUM(J17:J18)</f>
        <v>880255</v>
      </c>
      <c r="K19" s="1709">
        <f>SUM(K17:K18)</f>
        <v>64000</v>
      </c>
      <c r="L19" s="347"/>
    </row>
    <row r="20" spans="1:12" ht="16.5" thickTop="1" thickBot="1">
      <c r="A20" s="2263" t="s">
        <v>1753</v>
      </c>
      <c r="B20" s="2264"/>
      <c r="C20" s="1767">
        <f>C8-C17</f>
        <v>17565879</v>
      </c>
      <c r="D20" s="1767">
        <f t="shared" ref="D20:K20" si="5">D8-D17</f>
        <v>1586784</v>
      </c>
      <c r="E20" s="1767">
        <f t="shared" si="5"/>
        <v>530470</v>
      </c>
      <c r="F20" s="1767">
        <f t="shared" si="5"/>
        <v>536205</v>
      </c>
      <c r="G20" s="1767">
        <f t="shared" si="5"/>
        <v>-562871</v>
      </c>
      <c r="H20" s="1767">
        <f t="shared" si="5"/>
        <v>-602921</v>
      </c>
      <c r="I20" s="1767">
        <f t="shared" si="5"/>
        <v>189213</v>
      </c>
      <c r="J20" s="1767">
        <f t="shared" si="5"/>
        <v>432415</v>
      </c>
      <c r="K20" s="1767">
        <f t="shared" si="5"/>
        <v>52467</v>
      </c>
      <c r="L20" s="347"/>
    </row>
    <row r="21" spans="1:12" ht="16.7" customHeight="1" thickTop="1">
      <c r="A21" s="2275" t="s">
        <v>615</v>
      </c>
      <c r="B21" s="2276"/>
      <c r="C21" s="1592"/>
      <c r="D21" s="1593"/>
      <c r="E21" s="1593"/>
      <c r="F21" s="1593"/>
      <c r="G21" s="1593"/>
      <c r="H21" s="1593"/>
      <c r="I21" s="1593"/>
      <c r="J21" s="1593"/>
      <c r="K21" s="1594"/>
      <c r="L21" s="524"/>
    </row>
    <row r="22" spans="1:12" ht="15.75" customHeight="1" collapsed="1">
      <c r="A22" s="2271" t="s">
        <v>616</v>
      </c>
      <c r="B22" s="2272"/>
      <c r="C22" s="477"/>
      <c r="D22" s="477"/>
      <c r="E22" s="477"/>
      <c r="F22" s="477"/>
      <c r="G22" s="477"/>
      <c r="H22" s="477"/>
      <c r="I22" s="477"/>
      <c r="J22" s="477"/>
      <c r="K22" s="477"/>
      <c r="L22" s="347"/>
    </row>
    <row r="23" spans="1:12" s="485" customFormat="1" ht="15.75" customHeight="1">
      <c r="A23" s="2267" t="s">
        <v>310</v>
      </c>
      <c r="B23" s="2268"/>
      <c r="C23" s="480"/>
      <c r="D23" s="477"/>
      <c r="E23" s="477"/>
      <c r="F23" s="477"/>
      <c r="G23" s="477"/>
      <c r="H23" s="477"/>
      <c r="I23" s="477"/>
      <c r="J23" s="477"/>
      <c r="K23" s="477"/>
      <c r="L23" s="524"/>
    </row>
    <row r="24" spans="1:12" s="485" customFormat="1" ht="13.5" customHeight="1">
      <c r="A24" s="1511" t="s">
        <v>1754</v>
      </c>
      <c r="B24" s="525">
        <v>7110</v>
      </c>
      <c r="C24" s="467"/>
      <c r="D24" s="477"/>
      <c r="E24" s="477"/>
      <c r="F24" s="477"/>
      <c r="G24" s="477"/>
      <c r="H24" s="477"/>
      <c r="I24" s="477"/>
      <c r="J24" s="477"/>
      <c r="K24" s="477"/>
      <c r="L24" s="524"/>
    </row>
    <row r="25" spans="1:12" s="485" customFormat="1" ht="13.5" customHeight="1">
      <c r="A25" s="1511" t="s">
        <v>1755</v>
      </c>
      <c r="B25" s="525">
        <v>7110</v>
      </c>
      <c r="C25" s="467"/>
      <c r="D25" s="467"/>
      <c r="E25" s="467"/>
      <c r="F25" s="467"/>
      <c r="G25" s="467"/>
      <c r="H25" s="467"/>
      <c r="I25" s="477"/>
      <c r="J25" s="467"/>
      <c r="K25" s="467"/>
      <c r="L25" s="524"/>
    </row>
    <row r="26" spans="1:12" s="485" customFormat="1" ht="13.5" customHeight="1">
      <c r="A26" s="1511" t="s">
        <v>193</v>
      </c>
      <c r="B26" s="483">
        <v>7120</v>
      </c>
      <c r="C26" s="467"/>
      <c r="D26" s="467"/>
      <c r="E26" s="467"/>
      <c r="F26" s="467"/>
      <c r="G26" s="467"/>
      <c r="H26" s="467"/>
      <c r="I26" s="477"/>
      <c r="J26" s="467"/>
      <c r="K26" s="467"/>
      <c r="L26" s="524"/>
    </row>
    <row r="27" spans="1:12" s="485" customFormat="1" ht="13.5" customHeight="1">
      <c r="A27" s="1511" t="s">
        <v>194</v>
      </c>
      <c r="B27" s="483">
        <v>7130</v>
      </c>
      <c r="C27" s="467"/>
      <c r="D27" s="467"/>
      <c r="E27" s="526"/>
      <c r="F27" s="467"/>
      <c r="G27" s="480"/>
      <c r="H27" s="480"/>
      <c r="I27" s="480"/>
      <c r="J27" s="480"/>
      <c r="K27" s="480"/>
      <c r="L27" s="524"/>
    </row>
    <row r="28" spans="1:12" s="485" customFormat="1" ht="13.5" customHeight="1">
      <c r="A28" s="1511" t="s">
        <v>1464</v>
      </c>
      <c r="B28" s="483">
        <v>7140</v>
      </c>
      <c r="C28" s="467"/>
      <c r="D28" s="467"/>
      <c r="E28" s="467"/>
      <c r="F28" s="467"/>
      <c r="G28" s="467">
        <v>37069</v>
      </c>
      <c r="H28" s="467"/>
      <c r="I28" s="467"/>
      <c r="J28" s="467"/>
      <c r="K28" s="467"/>
      <c r="L28" s="524"/>
    </row>
    <row r="29" spans="1:12" s="485" customFormat="1" ht="13.5" customHeight="1">
      <c r="A29" s="1511" t="s">
        <v>311</v>
      </c>
      <c r="B29" s="483">
        <v>7150</v>
      </c>
      <c r="C29" s="475"/>
      <c r="D29" s="467"/>
      <c r="E29" s="475"/>
      <c r="F29" s="475"/>
      <c r="G29" s="475"/>
      <c r="H29" s="475"/>
      <c r="I29" s="475"/>
      <c r="J29" s="475"/>
      <c r="K29" s="475"/>
      <c r="L29" s="524"/>
    </row>
    <row r="30" spans="1:12" s="485" customFormat="1" ht="26.25">
      <c r="A30" s="1511" t="s">
        <v>1893</v>
      </c>
      <c r="B30" s="527">
        <v>7160</v>
      </c>
      <c r="C30" s="477"/>
      <c r="D30" s="467"/>
      <c r="E30" s="477"/>
      <c r="F30" s="477"/>
      <c r="G30" s="477"/>
      <c r="H30" s="477"/>
      <c r="I30" s="477"/>
      <c r="J30" s="477"/>
      <c r="K30" s="477"/>
      <c r="L30" s="524"/>
    </row>
    <row r="31" spans="1:12" s="485" customFormat="1" ht="26.25">
      <c r="A31" s="1511" t="s">
        <v>1897</v>
      </c>
      <c r="B31" s="527">
        <v>7170</v>
      </c>
      <c r="C31" s="477"/>
      <c r="D31" s="477"/>
      <c r="E31" s="474"/>
      <c r="F31" s="477"/>
      <c r="G31" s="477"/>
      <c r="H31" s="477"/>
      <c r="I31" s="477"/>
      <c r="J31" s="477"/>
      <c r="K31" s="477"/>
      <c r="L31" s="524"/>
    </row>
    <row r="32" spans="1:12" s="485" customFormat="1" ht="15.75" customHeight="1">
      <c r="A32" s="2269" t="s">
        <v>1037</v>
      </c>
      <c r="B32" s="2270"/>
      <c r="C32" s="477"/>
      <c r="D32" s="477"/>
      <c r="E32" s="475"/>
      <c r="F32" s="477"/>
      <c r="G32" s="477"/>
      <c r="H32" s="477"/>
      <c r="I32" s="477"/>
      <c r="J32" s="477"/>
      <c r="K32" s="477"/>
      <c r="L32" s="524"/>
    </row>
    <row r="33" spans="1:12" s="485" customFormat="1">
      <c r="A33" s="1511" t="s">
        <v>431</v>
      </c>
      <c r="B33" s="525">
        <v>7210</v>
      </c>
      <c r="C33" s="467"/>
      <c r="D33" s="467"/>
      <c r="E33" s="467"/>
      <c r="F33" s="467"/>
      <c r="G33" s="477"/>
      <c r="H33" s="467"/>
      <c r="I33" s="467"/>
      <c r="J33" s="467"/>
      <c r="K33" s="467"/>
      <c r="L33" s="524"/>
    </row>
    <row r="34" spans="1:12" s="485" customFormat="1">
      <c r="A34" s="1511" t="s">
        <v>1057</v>
      </c>
      <c r="B34" s="525">
        <v>7220</v>
      </c>
      <c r="C34" s="467"/>
      <c r="D34" s="467"/>
      <c r="E34" s="467"/>
      <c r="F34" s="467"/>
      <c r="G34" s="477"/>
      <c r="H34" s="478"/>
      <c r="I34" s="478"/>
      <c r="J34" s="478"/>
      <c r="K34" s="478"/>
      <c r="L34" s="524"/>
    </row>
    <row r="35" spans="1:12" s="485" customFormat="1">
      <c r="A35" s="1511" t="s">
        <v>1046</v>
      </c>
      <c r="B35" s="525">
        <v>7230</v>
      </c>
      <c r="C35" s="467"/>
      <c r="D35" s="467"/>
      <c r="E35" s="467"/>
      <c r="F35" s="467"/>
      <c r="G35" s="480"/>
      <c r="H35" s="467"/>
      <c r="I35" s="467"/>
      <c r="J35" s="467"/>
      <c r="K35" s="467"/>
      <c r="L35" s="524"/>
    </row>
    <row r="36" spans="1:12" s="485" customFormat="1" ht="15">
      <c r="A36" s="1511" t="s">
        <v>1756</v>
      </c>
      <c r="B36" s="525">
        <v>7300</v>
      </c>
      <c r="C36" s="467"/>
      <c r="D36" s="467"/>
      <c r="E36" s="467"/>
      <c r="F36" s="467"/>
      <c r="G36" s="467"/>
      <c r="H36" s="467"/>
      <c r="I36" s="475"/>
      <c r="J36" s="467"/>
      <c r="K36" s="467"/>
      <c r="L36" s="524"/>
    </row>
    <row r="37" spans="1:12" s="485" customFormat="1">
      <c r="A37" s="1511" t="s">
        <v>460</v>
      </c>
      <c r="B37" s="525">
        <v>7400</v>
      </c>
      <c r="C37" s="475"/>
      <c r="D37" s="475"/>
      <c r="E37" s="1764">
        <f>SUM(C54:D57,H54:H57)</f>
        <v>0</v>
      </c>
      <c r="F37" s="475"/>
      <c r="G37" s="475"/>
      <c r="H37" s="475"/>
      <c r="I37" s="477"/>
      <c r="J37" s="475"/>
      <c r="K37" s="475"/>
      <c r="L37" s="524"/>
    </row>
    <row r="38" spans="1:12" s="485" customFormat="1">
      <c r="A38" s="1511" t="s">
        <v>461</v>
      </c>
      <c r="B38" s="525">
        <v>7500</v>
      </c>
      <c r="C38" s="477"/>
      <c r="D38" s="477"/>
      <c r="E38" s="1764">
        <f>SUM(C58:D61,H58:H61)</f>
        <v>0</v>
      </c>
      <c r="F38" s="477"/>
      <c r="G38" s="477"/>
      <c r="H38" s="477"/>
      <c r="I38" s="477"/>
      <c r="J38" s="477"/>
      <c r="K38" s="477"/>
      <c r="L38" s="524"/>
    </row>
    <row r="39" spans="1:12" s="485" customFormat="1">
      <c r="A39" s="1511" t="s">
        <v>462</v>
      </c>
      <c r="B39" s="525">
        <v>7600</v>
      </c>
      <c r="C39" s="477"/>
      <c r="D39" s="477"/>
      <c r="E39" s="1764">
        <f>SUM(C62:D65)</f>
        <v>0</v>
      </c>
      <c r="F39" s="477"/>
      <c r="G39" s="477"/>
      <c r="H39" s="477"/>
      <c r="I39" s="477"/>
      <c r="J39" s="477"/>
      <c r="K39" s="477"/>
      <c r="L39" s="524"/>
    </row>
    <row r="40" spans="1:12" s="485" customFormat="1" ht="13.5" customHeight="1">
      <c r="A40" s="1511" t="s">
        <v>662</v>
      </c>
      <c r="B40" s="483">
        <v>7700</v>
      </c>
      <c r="C40" s="477"/>
      <c r="D40" s="477"/>
      <c r="E40" s="1764">
        <f>SUM(C66:D69)</f>
        <v>0</v>
      </c>
      <c r="F40" s="477"/>
      <c r="G40" s="477"/>
      <c r="H40" s="480"/>
      <c r="I40" s="477"/>
      <c r="J40" s="477"/>
      <c r="K40" s="477"/>
      <c r="L40" s="524"/>
    </row>
    <row r="41" spans="1:12" s="485" customFormat="1" ht="13.5" customHeight="1">
      <c r="A41" s="1511" t="s">
        <v>660</v>
      </c>
      <c r="B41" s="483">
        <v>7800</v>
      </c>
      <c r="C41" s="480"/>
      <c r="D41" s="480"/>
      <c r="E41" s="526"/>
      <c r="F41" s="480"/>
      <c r="G41" s="480"/>
      <c r="H41" s="1764">
        <f>SUM(C70:D73)</f>
        <v>0</v>
      </c>
      <c r="I41" s="477"/>
      <c r="J41" s="477"/>
      <c r="K41" s="480"/>
      <c r="L41" s="524"/>
    </row>
    <row r="42" spans="1:12" s="485" customFormat="1" ht="13.5" customHeight="1">
      <c r="A42" s="1511" t="s">
        <v>661</v>
      </c>
      <c r="B42" s="483">
        <v>7900</v>
      </c>
      <c r="C42" s="467"/>
      <c r="D42" s="467"/>
      <c r="E42" s="467"/>
      <c r="F42" s="467"/>
      <c r="G42" s="467"/>
      <c r="H42" s="467"/>
      <c r="I42" s="480"/>
      <c r="J42" s="480"/>
      <c r="K42" s="467"/>
      <c r="L42" s="524"/>
    </row>
    <row r="43" spans="1:12" s="485" customFormat="1" ht="13.5" customHeight="1">
      <c r="A43" s="1511" t="s">
        <v>390</v>
      </c>
      <c r="B43" s="483">
        <v>7990</v>
      </c>
      <c r="C43" s="467"/>
      <c r="D43" s="467"/>
      <c r="E43" s="467"/>
      <c r="F43" s="467"/>
      <c r="G43" s="467"/>
      <c r="H43" s="467"/>
      <c r="I43" s="467"/>
      <c r="J43" s="467"/>
      <c r="K43" s="467"/>
      <c r="L43" s="524"/>
    </row>
    <row r="44" spans="1:12" s="485" customFormat="1" ht="13.5" customHeight="1" thickBot="1">
      <c r="A44" s="2277" t="s">
        <v>391</v>
      </c>
      <c r="B44" s="2278"/>
      <c r="C44" s="1724">
        <f>SUM(C24:C43)</f>
        <v>0</v>
      </c>
      <c r="D44" s="1724">
        <f t="shared" ref="D44:K44" si="6">SUM(D24:D43)</f>
        <v>0</v>
      </c>
      <c r="E44" s="1724">
        <f t="shared" si="6"/>
        <v>0</v>
      </c>
      <c r="F44" s="1724">
        <f t="shared" si="6"/>
        <v>0</v>
      </c>
      <c r="G44" s="1724">
        <f t="shared" si="6"/>
        <v>37069</v>
      </c>
      <c r="H44" s="1724">
        <f t="shared" si="6"/>
        <v>0</v>
      </c>
      <c r="I44" s="1724">
        <f t="shared" si="6"/>
        <v>0</v>
      </c>
      <c r="J44" s="1724">
        <f t="shared" si="6"/>
        <v>0</v>
      </c>
      <c r="K44" s="1724">
        <f t="shared" si="6"/>
        <v>0</v>
      </c>
      <c r="L44" s="524"/>
    </row>
    <row r="45" spans="1:12" ht="15.75" customHeight="1" thickTop="1">
      <c r="A45" s="2271" t="s">
        <v>110</v>
      </c>
      <c r="B45" s="2272"/>
      <c r="C45" s="528"/>
      <c r="D45" s="528"/>
      <c r="E45" s="528"/>
      <c r="F45" s="528"/>
      <c r="G45" s="528"/>
      <c r="H45" s="528"/>
      <c r="I45" s="528"/>
      <c r="J45" s="528"/>
      <c r="K45" s="528"/>
      <c r="L45" s="347"/>
    </row>
    <row r="46" spans="1:12" s="485" customFormat="1" ht="15.75" customHeight="1">
      <c r="A46" s="2279" t="s">
        <v>111</v>
      </c>
      <c r="B46" s="2280"/>
      <c r="C46" s="477"/>
      <c r="D46" s="477"/>
      <c r="E46" s="477"/>
      <c r="F46" s="477"/>
      <c r="G46" s="477"/>
      <c r="H46" s="477"/>
      <c r="I46" s="480"/>
      <c r="J46" s="477"/>
      <c r="K46" s="477"/>
      <c r="L46" s="529"/>
    </row>
    <row r="47" spans="1:12" s="485" customFormat="1" ht="15">
      <c r="A47" s="1512" t="s">
        <v>1757</v>
      </c>
      <c r="B47" s="483">
        <v>8110</v>
      </c>
      <c r="C47" s="477"/>
      <c r="D47" s="477"/>
      <c r="E47" s="477"/>
      <c r="F47" s="477"/>
      <c r="G47" s="477"/>
      <c r="H47" s="477"/>
      <c r="I47" s="1764">
        <f>SUM(C24,C25:H25,J25:K25)</f>
        <v>0</v>
      </c>
      <c r="J47" s="477"/>
      <c r="K47" s="477"/>
      <c r="L47" s="529"/>
    </row>
    <row r="48" spans="1:12" s="485" customFormat="1" ht="15">
      <c r="A48" s="1512" t="s">
        <v>1758</v>
      </c>
      <c r="B48" s="483">
        <v>8120</v>
      </c>
      <c r="C48" s="480"/>
      <c r="D48" s="480"/>
      <c r="E48" s="477"/>
      <c r="F48" s="480"/>
      <c r="G48" s="477"/>
      <c r="H48" s="477"/>
      <c r="I48" s="1764">
        <f>SUM(C26:H26,J26,K26)</f>
        <v>0</v>
      </c>
      <c r="J48" s="477"/>
      <c r="K48" s="477"/>
      <c r="L48" s="529"/>
    </row>
    <row r="49" spans="1:12" s="485" customFormat="1">
      <c r="A49" s="1512" t="s">
        <v>194</v>
      </c>
      <c r="B49" s="483">
        <v>8130</v>
      </c>
      <c r="C49" s="467"/>
      <c r="D49" s="467"/>
      <c r="E49" s="480"/>
      <c r="F49" s="467"/>
      <c r="G49" s="480"/>
      <c r="H49" s="480"/>
      <c r="I49" s="477"/>
      <c r="J49" s="480"/>
      <c r="K49" s="477"/>
      <c r="L49" s="524"/>
    </row>
    <row r="50" spans="1:12" s="485" customFormat="1">
      <c r="A50" s="1512" t="s">
        <v>1464</v>
      </c>
      <c r="B50" s="483">
        <v>8140</v>
      </c>
      <c r="C50" s="467"/>
      <c r="D50" s="467"/>
      <c r="E50" s="467">
        <v>37069</v>
      </c>
      <c r="F50" s="467"/>
      <c r="G50" s="467"/>
      <c r="H50" s="467"/>
      <c r="I50" s="477"/>
      <c r="J50" s="467"/>
      <c r="K50" s="477"/>
      <c r="L50" s="524"/>
    </row>
    <row r="51" spans="1:12" s="485" customFormat="1">
      <c r="A51" s="1512" t="s">
        <v>311</v>
      </c>
      <c r="B51" s="483">
        <v>8150</v>
      </c>
      <c r="C51" s="475"/>
      <c r="D51" s="475"/>
      <c r="E51" s="475"/>
      <c r="F51" s="475"/>
      <c r="G51" s="475"/>
      <c r="H51" s="1764">
        <f>SUM(D29)</f>
        <v>0</v>
      </c>
      <c r="I51" s="477"/>
      <c r="J51" s="475"/>
      <c r="K51" s="480"/>
      <c r="L51" s="524"/>
    </row>
    <row r="52" spans="1:12" s="485" customFormat="1" ht="26.25">
      <c r="A52" s="1512" t="s">
        <v>1896</v>
      </c>
      <c r="B52" s="483">
        <v>8160</v>
      </c>
      <c r="C52" s="477"/>
      <c r="D52" s="477"/>
      <c r="E52" s="477"/>
      <c r="F52" s="477"/>
      <c r="G52" s="477"/>
      <c r="H52" s="477"/>
      <c r="I52" s="477"/>
      <c r="J52" s="477"/>
      <c r="K52" s="1764">
        <f>D30</f>
        <v>0</v>
      </c>
      <c r="L52" s="524"/>
    </row>
    <row r="53" spans="1:12" s="485" customFormat="1" ht="26.25">
      <c r="A53" s="1512" t="s">
        <v>1895</v>
      </c>
      <c r="B53" s="483">
        <v>8170</v>
      </c>
      <c r="C53" s="480"/>
      <c r="D53" s="480"/>
      <c r="E53" s="477"/>
      <c r="F53" s="477"/>
      <c r="G53" s="477"/>
      <c r="H53" s="480"/>
      <c r="I53" s="477"/>
      <c r="J53" s="477"/>
      <c r="K53" s="1764">
        <f>E31</f>
        <v>0</v>
      </c>
      <c r="L53" s="524"/>
    </row>
    <row r="54" spans="1:12" s="485" customFormat="1" ht="13.5" thickBot="1">
      <c r="A54" s="1512" t="s">
        <v>715</v>
      </c>
      <c r="B54" s="483">
        <v>8410</v>
      </c>
      <c r="C54" s="530"/>
      <c r="D54" s="530"/>
      <c r="E54" s="477"/>
      <c r="F54" s="477"/>
      <c r="G54" s="477"/>
      <c r="H54" s="530"/>
      <c r="I54" s="477"/>
      <c r="J54" s="477"/>
      <c r="K54" s="475"/>
      <c r="L54" s="524"/>
    </row>
    <row r="55" spans="1:12" s="485" customFormat="1" ht="14.25" thickTop="1" thickBot="1">
      <c r="A55" s="1513" t="s">
        <v>716</v>
      </c>
      <c r="B55" s="483">
        <v>8420</v>
      </c>
      <c r="C55" s="531"/>
      <c r="D55" s="531"/>
      <c r="E55" s="477"/>
      <c r="F55" s="477"/>
      <c r="G55" s="477"/>
      <c r="H55" s="530"/>
      <c r="I55" s="477"/>
      <c r="J55" s="477"/>
      <c r="K55" s="477"/>
      <c r="L55" s="524"/>
    </row>
    <row r="56" spans="1:12" s="485" customFormat="1" ht="14.25" thickTop="1" thickBot="1">
      <c r="A56" s="1512" t="s">
        <v>601</v>
      </c>
      <c r="B56" s="483">
        <v>8430</v>
      </c>
      <c r="C56" s="531"/>
      <c r="D56" s="531"/>
      <c r="E56" s="477"/>
      <c r="F56" s="477"/>
      <c r="G56" s="477"/>
      <c r="H56" s="530"/>
      <c r="I56" s="477"/>
      <c r="J56" s="477"/>
      <c r="K56" s="477"/>
      <c r="L56" s="524"/>
    </row>
    <row r="57" spans="1:12" s="485" customFormat="1" ht="14.25" thickTop="1" thickBot="1">
      <c r="A57" s="1513" t="s">
        <v>598</v>
      </c>
      <c r="B57" s="483">
        <v>8440</v>
      </c>
      <c r="C57" s="531"/>
      <c r="D57" s="531"/>
      <c r="E57" s="477"/>
      <c r="F57" s="477"/>
      <c r="G57" s="477"/>
      <c r="H57" s="530"/>
      <c r="I57" s="477"/>
      <c r="J57" s="477"/>
      <c r="K57" s="477"/>
      <c r="L57" s="524"/>
    </row>
    <row r="58" spans="1:12" s="485" customFormat="1" ht="14.25" thickTop="1" thickBot="1">
      <c r="A58" s="1512" t="s">
        <v>599</v>
      </c>
      <c r="B58" s="483">
        <v>8510</v>
      </c>
      <c r="C58" s="531"/>
      <c r="D58" s="531"/>
      <c r="E58" s="477"/>
      <c r="F58" s="477"/>
      <c r="G58" s="477"/>
      <c r="H58" s="530"/>
      <c r="I58" s="477"/>
      <c r="J58" s="477"/>
      <c r="K58" s="477"/>
      <c r="L58" s="524"/>
    </row>
    <row r="59" spans="1:12" s="485" customFormat="1" ht="14.25" thickTop="1" thickBot="1">
      <c r="A59" s="1514" t="s">
        <v>717</v>
      </c>
      <c r="B59" s="483">
        <v>8520</v>
      </c>
      <c r="C59" s="531"/>
      <c r="D59" s="531"/>
      <c r="E59" s="477"/>
      <c r="F59" s="477"/>
      <c r="G59" s="477"/>
      <c r="H59" s="530"/>
      <c r="I59" s="477"/>
      <c r="J59" s="477"/>
      <c r="K59" s="477"/>
      <c r="L59" s="524"/>
    </row>
    <row r="60" spans="1:12" s="485" customFormat="1" ht="14.25" thickTop="1" thickBot="1">
      <c r="A60" s="1512" t="s">
        <v>600</v>
      </c>
      <c r="B60" s="483">
        <v>8530</v>
      </c>
      <c r="C60" s="531"/>
      <c r="D60" s="531"/>
      <c r="E60" s="477"/>
      <c r="F60" s="477"/>
      <c r="G60" s="477"/>
      <c r="H60" s="530"/>
      <c r="I60" s="477"/>
      <c r="J60" s="477"/>
      <c r="K60" s="477"/>
      <c r="L60" s="524"/>
    </row>
    <row r="61" spans="1:12" s="485" customFormat="1" ht="14.25" thickTop="1" thickBot="1">
      <c r="A61" s="1513" t="s">
        <v>766</v>
      </c>
      <c r="B61" s="483">
        <v>8540</v>
      </c>
      <c r="C61" s="531"/>
      <c r="D61" s="531"/>
      <c r="E61" s="477"/>
      <c r="F61" s="477"/>
      <c r="G61" s="477"/>
      <c r="H61" s="530"/>
      <c r="I61" s="477"/>
      <c r="J61" s="477"/>
      <c r="K61" s="477"/>
      <c r="L61" s="524"/>
    </row>
    <row r="62" spans="1:12" s="485" customFormat="1" ht="13.5" customHeight="1" thickTop="1" thickBot="1">
      <c r="A62" s="1512" t="s">
        <v>767</v>
      </c>
      <c r="B62" s="483">
        <v>8610</v>
      </c>
      <c r="C62" s="531"/>
      <c r="D62" s="531"/>
      <c r="E62" s="477"/>
      <c r="F62" s="477"/>
      <c r="G62" s="477"/>
      <c r="H62" s="477"/>
      <c r="I62" s="477"/>
      <c r="J62" s="477"/>
      <c r="K62" s="477"/>
      <c r="L62" s="524"/>
    </row>
    <row r="63" spans="1:12" s="485" customFormat="1" ht="14.25" thickTop="1" thickBot="1">
      <c r="A63" s="1513" t="s">
        <v>718</v>
      </c>
      <c r="B63" s="483">
        <v>8620</v>
      </c>
      <c r="C63" s="531"/>
      <c r="D63" s="531"/>
      <c r="E63" s="477"/>
      <c r="F63" s="477"/>
      <c r="G63" s="477"/>
      <c r="H63" s="477"/>
      <c r="I63" s="477"/>
      <c r="J63" s="477"/>
      <c r="K63" s="477"/>
      <c r="L63" s="524"/>
    </row>
    <row r="64" spans="1:12" s="485" customFormat="1" ht="13.5" customHeight="1" thickTop="1" thickBot="1">
      <c r="A64" s="1512" t="s">
        <v>768</v>
      </c>
      <c r="B64" s="483">
        <v>8630</v>
      </c>
      <c r="C64" s="531"/>
      <c r="D64" s="531"/>
      <c r="E64" s="477"/>
      <c r="F64" s="477"/>
      <c r="G64" s="477"/>
      <c r="H64" s="477"/>
      <c r="I64" s="477"/>
      <c r="J64" s="477"/>
      <c r="K64" s="477"/>
      <c r="L64" s="524"/>
    </row>
    <row r="65" spans="1:12" s="485" customFormat="1" ht="14.25" thickTop="1" thickBot="1">
      <c r="A65" s="1513" t="s">
        <v>769</v>
      </c>
      <c r="B65" s="483">
        <v>8640</v>
      </c>
      <c r="C65" s="531"/>
      <c r="D65" s="531"/>
      <c r="E65" s="477"/>
      <c r="F65" s="477"/>
      <c r="G65" s="477"/>
      <c r="H65" s="477"/>
      <c r="I65" s="477"/>
      <c r="J65" s="477"/>
      <c r="K65" s="477"/>
      <c r="L65" s="524"/>
    </row>
    <row r="66" spans="1:12" s="485" customFormat="1" ht="14.25" thickTop="1" thickBot="1">
      <c r="A66" s="1512" t="s">
        <v>770</v>
      </c>
      <c r="B66" s="483">
        <v>8710</v>
      </c>
      <c r="C66" s="531"/>
      <c r="D66" s="531"/>
      <c r="E66" s="477"/>
      <c r="F66" s="477"/>
      <c r="G66" s="477"/>
      <c r="H66" s="477"/>
      <c r="I66" s="477"/>
      <c r="J66" s="477"/>
      <c r="K66" s="477"/>
      <c r="L66" s="524"/>
    </row>
    <row r="67" spans="1:12" s="485" customFormat="1" ht="14.25" thickTop="1" thickBot="1">
      <c r="A67" s="1513" t="s">
        <v>719</v>
      </c>
      <c r="B67" s="483">
        <v>8720</v>
      </c>
      <c r="C67" s="531"/>
      <c r="D67" s="531"/>
      <c r="E67" s="477"/>
      <c r="F67" s="477"/>
      <c r="G67" s="477"/>
      <c r="H67" s="477"/>
      <c r="I67" s="477"/>
      <c r="J67" s="477"/>
      <c r="K67" s="477"/>
      <c r="L67" s="524"/>
    </row>
    <row r="68" spans="1:12" s="485" customFormat="1" ht="14.25" thickTop="1" thickBot="1">
      <c r="A68" s="1514" t="s">
        <v>771</v>
      </c>
      <c r="B68" s="483">
        <v>8730</v>
      </c>
      <c r="C68" s="531"/>
      <c r="D68" s="531"/>
      <c r="E68" s="477"/>
      <c r="F68" s="477"/>
      <c r="G68" s="477"/>
      <c r="H68" s="477"/>
      <c r="I68" s="477"/>
      <c r="J68" s="477"/>
      <c r="K68" s="477"/>
      <c r="L68" s="524"/>
    </row>
    <row r="69" spans="1:12" s="485" customFormat="1" ht="14.25" thickTop="1" thickBot="1">
      <c r="A69" s="1513" t="s">
        <v>772</v>
      </c>
      <c r="B69" s="483">
        <v>8740</v>
      </c>
      <c r="C69" s="531"/>
      <c r="D69" s="531"/>
      <c r="E69" s="477"/>
      <c r="F69" s="477"/>
      <c r="G69" s="477"/>
      <c r="H69" s="477"/>
      <c r="I69" s="477"/>
      <c r="J69" s="477"/>
      <c r="K69" s="477"/>
      <c r="L69" s="524"/>
    </row>
    <row r="70" spans="1:12" s="485" customFormat="1" ht="14.25" thickTop="1" thickBot="1">
      <c r="A70" s="1512" t="s">
        <v>773</v>
      </c>
      <c r="B70" s="483">
        <v>8810</v>
      </c>
      <c r="C70" s="531"/>
      <c r="D70" s="531"/>
      <c r="E70" s="477"/>
      <c r="F70" s="477"/>
      <c r="G70" s="477"/>
      <c r="H70" s="477"/>
      <c r="I70" s="477"/>
      <c r="J70" s="477"/>
      <c r="K70" s="477"/>
      <c r="L70" s="524"/>
    </row>
    <row r="71" spans="1:12" s="485" customFormat="1" ht="14.25" thickTop="1" thickBot="1">
      <c r="A71" s="1512" t="s">
        <v>777</v>
      </c>
      <c r="B71" s="483">
        <v>8820</v>
      </c>
      <c r="C71" s="531"/>
      <c r="D71" s="531"/>
      <c r="E71" s="477"/>
      <c r="F71" s="477"/>
      <c r="G71" s="477"/>
      <c r="H71" s="477"/>
      <c r="I71" s="477"/>
      <c r="J71" s="477"/>
      <c r="K71" s="477"/>
      <c r="L71" s="524"/>
    </row>
    <row r="72" spans="1:12" s="485" customFormat="1" ht="14.25" thickTop="1" thickBot="1">
      <c r="A72" s="1512" t="s">
        <v>774</v>
      </c>
      <c r="B72" s="483">
        <v>8830</v>
      </c>
      <c r="C72" s="531"/>
      <c r="D72" s="531"/>
      <c r="E72" s="477"/>
      <c r="F72" s="477"/>
      <c r="G72" s="477"/>
      <c r="H72" s="477"/>
      <c r="I72" s="477"/>
      <c r="J72" s="477"/>
      <c r="K72" s="477"/>
      <c r="L72" s="524"/>
    </row>
    <row r="73" spans="1:12" s="485" customFormat="1" ht="14.25" thickTop="1" thickBot="1">
      <c r="A73" s="1512" t="s">
        <v>775</v>
      </c>
      <c r="B73" s="483">
        <v>8840</v>
      </c>
      <c r="C73" s="531"/>
      <c r="D73" s="531"/>
      <c r="E73" s="477"/>
      <c r="F73" s="477"/>
      <c r="G73" s="477"/>
      <c r="H73" s="477"/>
      <c r="I73" s="477"/>
      <c r="J73" s="477"/>
      <c r="K73" s="480"/>
      <c r="L73" s="524"/>
    </row>
    <row r="74" spans="1:12" s="485" customFormat="1" ht="14.25" thickTop="1" thickBot="1">
      <c r="A74" s="1512" t="s">
        <v>392</v>
      </c>
      <c r="B74" s="483">
        <v>8910</v>
      </c>
      <c r="C74" s="531"/>
      <c r="D74" s="531"/>
      <c r="E74" s="480"/>
      <c r="F74" s="530"/>
      <c r="G74" s="530"/>
      <c r="H74" s="530"/>
      <c r="I74" s="480"/>
      <c r="J74" s="480"/>
      <c r="K74" s="530"/>
      <c r="L74" s="524"/>
    </row>
    <row r="75" spans="1:12" s="485" customFormat="1" ht="14.25" thickTop="1" thickBot="1">
      <c r="A75" s="1515" t="s">
        <v>458</v>
      </c>
      <c r="B75" s="483">
        <v>8990</v>
      </c>
      <c r="C75" s="531"/>
      <c r="D75" s="531"/>
      <c r="E75" s="530"/>
      <c r="F75" s="532"/>
      <c r="G75" s="532"/>
      <c r="H75" s="532"/>
      <c r="I75" s="530"/>
      <c r="J75" s="530"/>
      <c r="K75" s="532"/>
      <c r="L75" s="524"/>
    </row>
    <row r="76" spans="1:12" s="485" customFormat="1" ht="14.25" thickTop="1" thickBot="1">
      <c r="A76" s="2253" t="s">
        <v>459</v>
      </c>
      <c r="B76" s="2254"/>
      <c r="C76" s="1724">
        <f t="shared" ref="C76:K76" si="7">SUM(C47:C75)</f>
        <v>0</v>
      </c>
      <c r="D76" s="1724">
        <f t="shared" si="7"/>
        <v>0</v>
      </c>
      <c r="E76" s="1724">
        <f t="shared" si="7"/>
        <v>37069</v>
      </c>
      <c r="F76" s="1724">
        <f t="shared" si="7"/>
        <v>0</v>
      </c>
      <c r="G76" s="1724">
        <f t="shared" si="7"/>
        <v>0</v>
      </c>
      <c r="H76" s="1724">
        <f t="shared" si="7"/>
        <v>0</v>
      </c>
      <c r="I76" s="1724">
        <f t="shared" si="7"/>
        <v>0</v>
      </c>
      <c r="J76" s="1724">
        <f t="shared" si="7"/>
        <v>0</v>
      </c>
      <c r="K76" s="1724">
        <f t="shared" si="7"/>
        <v>0</v>
      </c>
      <c r="L76" s="524"/>
    </row>
    <row r="77" spans="1:12" ht="14.25" thickTop="1" thickBot="1">
      <c r="A77" s="2255" t="s">
        <v>1238</v>
      </c>
      <c r="B77" s="2256"/>
      <c r="C77" s="1724">
        <f t="shared" ref="C77:K77" si="8">C44-C76</f>
        <v>0</v>
      </c>
      <c r="D77" s="1724">
        <f t="shared" si="8"/>
        <v>0</v>
      </c>
      <c r="E77" s="1724">
        <f t="shared" si="8"/>
        <v>-37069</v>
      </c>
      <c r="F77" s="1724">
        <f t="shared" si="8"/>
        <v>0</v>
      </c>
      <c r="G77" s="1724">
        <f t="shared" si="8"/>
        <v>37069</v>
      </c>
      <c r="H77" s="1724">
        <f t="shared" si="8"/>
        <v>0</v>
      </c>
      <c r="I77" s="1724">
        <f t="shared" si="8"/>
        <v>0</v>
      </c>
      <c r="J77" s="1724">
        <f t="shared" si="8"/>
        <v>0</v>
      </c>
      <c r="K77" s="1724">
        <f t="shared" si="8"/>
        <v>0</v>
      </c>
      <c r="L77" s="347"/>
    </row>
    <row r="78" spans="1:12" ht="21.75" customHeight="1" thickTop="1" thickBot="1">
      <c r="A78" s="2259" t="s">
        <v>617</v>
      </c>
      <c r="B78" s="2260"/>
      <c r="C78" s="1723">
        <f t="shared" ref="C78:K78" si="9">C20+C77</f>
        <v>17565879</v>
      </c>
      <c r="D78" s="1723">
        <f t="shared" si="9"/>
        <v>1586784</v>
      </c>
      <c r="E78" s="1723">
        <f t="shared" si="9"/>
        <v>493401</v>
      </c>
      <c r="F78" s="1723">
        <f t="shared" si="9"/>
        <v>536205</v>
      </c>
      <c r="G78" s="1723">
        <f t="shared" si="9"/>
        <v>-525802</v>
      </c>
      <c r="H78" s="1723">
        <f t="shared" si="9"/>
        <v>-602921</v>
      </c>
      <c r="I78" s="1723">
        <f t="shared" si="9"/>
        <v>189213</v>
      </c>
      <c r="J78" s="1723">
        <f t="shared" si="9"/>
        <v>432415</v>
      </c>
      <c r="K78" s="1723">
        <f t="shared" si="9"/>
        <v>52467</v>
      </c>
      <c r="L78" s="533"/>
    </row>
    <row r="79" spans="1:12" ht="13.5" thickTop="1">
      <c r="A79" s="1516" t="s">
        <v>2067</v>
      </c>
      <c r="B79" s="534"/>
      <c r="C79" s="478">
        <v>4683746</v>
      </c>
      <c r="D79" s="535">
        <v>1955182</v>
      </c>
      <c r="E79" s="535">
        <v>3589072</v>
      </c>
      <c r="F79" s="535">
        <v>724649</v>
      </c>
      <c r="G79" s="535">
        <v>1191000</v>
      </c>
      <c r="H79" s="535">
        <v>1653669</v>
      </c>
      <c r="I79" s="535">
        <v>12316985</v>
      </c>
      <c r="J79" s="535">
        <v>2005453</v>
      </c>
      <c r="K79" s="535">
        <v>20654</v>
      </c>
      <c r="L79" s="347"/>
    </row>
    <row r="80" spans="1:12">
      <c r="A80" s="2265" t="s">
        <v>1894</v>
      </c>
      <c r="B80" s="2266"/>
      <c r="C80" s="467"/>
      <c r="D80" s="467"/>
      <c r="E80" s="467"/>
      <c r="F80" s="467"/>
      <c r="G80" s="467"/>
      <c r="H80" s="467"/>
      <c r="I80" s="467"/>
      <c r="J80" s="467"/>
      <c r="K80" s="467"/>
      <c r="L80" s="347"/>
    </row>
    <row r="81" spans="1:12" ht="13.5" thickBot="1">
      <c r="A81" s="2257" t="s">
        <v>2068</v>
      </c>
      <c r="B81" s="2258"/>
      <c r="C81" s="1709">
        <f>(SUM(C78:C80))</f>
        <v>22249625</v>
      </c>
      <c r="D81" s="1709">
        <f>SUM(D78:D80)</f>
        <v>3541966</v>
      </c>
      <c r="E81" s="1709">
        <f t="shared" ref="E81:K81" si="10">SUM(E78:E80)</f>
        <v>4082473</v>
      </c>
      <c r="F81" s="1709">
        <f t="shared" si="10"/>
        <v>1260854</v>
      </c>
      <c r="G81" s="1709">
        <f t="shared" si="10"/>
        <v>665198</v>
      </c>
      <c r="H81" s="1709">
        <f t="shared" si="10"/>
        <v>1050748</v>
      </c>
      <c r="I81" s="1709">
        <f t="shared" si="10"/>
        <v>12506198</v>
      </c>
      <c r="J81" s="1709">
        <f t="shared" si="10"/>
        <v>2437868</v>
      </c>
      <c r="K81" s="1709">
        <f t="shared" si="10"/>
        <v>73121</v>
      </c>
      <c r="L81" s="347"/>
    </row>
    <row r="82" spans="1:12" ht="0.75" customHeight="1" thickTop="1" thickBot="1">
      <c r="A82" s="536" t="s">
        <v>360</v>
      </c>
      <c r="B82" s="537"/>
      <c r="C82" s="538">
        <f>(C81-C79)</f>
        <v>17565879</v>
      </c>
      <c r="D82" s="538">
        <f t="shared" ref="D82:K82" si="11">(D81-D79)</f>
        <v>1586784</v>
      </c>
      <c r="E82" s="538">
        <f t="shared" si="11"/>
        <v>493401</v>
      </c>
      <c r="F82" s="538">
        <f t="shared" si="11"/>
        <v>536205</v>
      </c>
      <c r="G82" s="538">
        <f t="shared" si="11"/>
        <v>-525802</v>
      </c>
      <c r="H82" s="538">
        <f t="shared" si="11"/>
        <v>-602921</v>
      </c>
      <c r="I82" s="538">
        <f t="shared" si="11"/>
        <v>189213</v>
      </c>
      <c r="J82" s="538">
        <f t="shared" si="11"/>
        <v>432415</v>
      </c>
      <c r="K82" s="538">
        <f t="shared" si="11"/>
        <v>52467</v>
      </c>
    </row>
    <row r="83" spans="1:12" ht="14.25" hidden="1" thickTop="1" thickBot="1">
      <c r="A83" s="539" t="s">
        <v>361</v>
      </c>
      <c r="B83" s="464"/>
      <c r="C83" s="540">
        <f>C82/C81</f>
        <v>0.78949101389349263</v>
      </c>
      <c r="D83" s="540">
        <f t="shared" ref="D83:K83" si="12">D82/D81</f>
        <v>0.44799526590599686</v>
      </c>
      <c r="E83" s="540">
        <f t="shared" si="12"/>
        <v>0.12085836207612395</v>
      </c>
      <c r="F83" s="540">
        <f t="shared" si="12"/>
        <v>0.42527128438344169</v>
      </c>
      <c r="G83" s="540">
        <f t="shared" si="12"/>
        <v>-0.79044434890062809</v>
      </c>
      <c r="H83" s="540">
        <f t="shared" si="12"/>
        <v>-0.57380171078127196</v>
      </c>
      <c r="I83" s="540">
        <f t="shared" si="12"/>
        <v>1.5129538169793889E-2</v>
      </c>
      <c r="J83" s="540">
        <f t="shared" si="12"/>
        <v>0.17737424667783488</v>
      </c>
      <c r="K83" s="540">
        <f t="shared" si="12"/>
        <v>0.71753668576742657</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D30" sqref="D30"/>
      <selection pane="bottomLeft" activeCell="C5" sqref="C5"/>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261" t="s">
        <v>1901</v>
      </c>
      <c r="B1" s="452"/>
      <c r="C1" s="453" t="s">
        <v>444</v>
      </c>
      <c r="D1" s="453" t="s">
        <v>445</v>
      </c>
      <c r="E1" s="453" t="s">
        <v>446</v>
      </c>
      <c r="F1" s="453" t="s">
        <v>447</v>
      </c>
      <c r="G1" s="453" t="s">
        <v>448</v>
      </c>
      <c r="H1" s="453" t="s">
        <v>449</v>
      </c>
      <c r="I1" s="453" t="s">
        <v>450</v>
      </c>
      <c r="J1" s="453" t="s">
        <v>451</v>
      </c>
      <c r="K1" s="453" t="s">
        <v>779</v>
      </c>
    </row>
    <row r="2" spans="1:12" ht="36">
      <c r="A2" s="2262"/>
      <c r="B2" s="541" t="s">
        <v>395</v>
      </c>
      <c r="C2" s="542" t="s">
        <v>1216</v>
      </c>
      <c r="D2" s="542" t="s">
        <v>924</v>
      </c>
      <c r="E2" s="542" t="s">
        <v>457</v>
      </c>
      <c r="F2" s="542" t="s">
        <v>157</v>
      </c>
      <c r="G2" s="542" t="s">
        <v>1045</v>
      </c>
      <c r="H2" s="542" t="s">
        <v>456</v>
      </c>
      <c r="I2" s="542" t="s">
        <v>426</v>
      </c>
      <c r="J2" s="542" t="s">
        <v>455</v>
      </c>
      <c r="K2" s="542" t="s">
        <v>159</v>
      </c>
    </row>
    <row r="3" spans="1:12" ht="16.7" customHeight="1">
      <c r="A3" s="1601" t="s">
        <v>115</v>
      </c>
      <c r="B3" s="1602"/>
      <c r="C3" s="1603"/>
      <c r="D3" s="1603"/>
      <c r="E3" s="1603"/>
      <c r="F3" s="1604"/>
      <c r="G3" s="1605"/>
      <c r="H3" s="1604"/>
      <c r="I3" s="1604"/>
      <c r="J3" s="1604"/>
      <c r="K3" s="1606"/>
    </row>
    <row r="4" spans="1:12" ht="15.75" customHeight="1">
      <c r="A4" s="1612" t="s">
        <v>396</v>
      </c>
      <c r="B4" s="1613">
        <v>1100</v>
      </c>
      <c r="C4" s="543"/>
      <c r="D4" s="543"/>
      <c r="E4" s="543"/>
      <c r="F4" s="544"/>
      <c r="G4" s="545"/>
      <c r="H4" s="546"/>
      <c r="I4" s="546"/>
      <c r="J4" s="546"/>
      <c r="K4" s="546"/>
    </row>
    <row r="5" spans="1:12" ht="15">
      <c r="A5" s="493" t="s">
        <v>1759</v>
      </c>
      <c r="B5" s="547"/>
      <c r="C5" s="481">
        <v>90570660</v>
      </c>
      <c r="D5" s="481">
        <v>8022304</v>
      </c>
      <c r="E5" s="466">
        <v>6069400</v>
      </c>
      <c r="F5" s="548">
        <v>3097254</v>
      </c>
      <c r="G5" s="466">
        <v>957981</v>
      </c>
      <c r="H5" s="466"/>
      <c r="I5" s="466"/>
      <c r="J5" s="467">
        <v>1060659</v>
      </c>
      <c r="K5" s="466">
        <v>109842</v>
      </c>
    </row>
    <row r="6" spans="1:12" ht="15">
      <c r="A6" s="463" t="s">
        <v>1760</v>
      </c>
      <c r="B6" s="470">
        <v>1130</v>
      </c>
      <c r="C6" s="466"/>
      <c r="D6" s="466"/>
      <c r="E6" s="475"/>
      <c r="F6" s="475"/>
      <c r="G6" s="468"/>
      <c r="H6" s="468"/>
      <c r="I6" s="468"/>
      <c r="J6" s="468"/>
      <c r="K6" s="468"/>
    </row>
    <row r="7" spans="1:12">
      <c r="A7" s="463" t="s">
        <v>112</v>
      </c>
      <c r="B7" s="549">
        <v>1140</v>
      </c>
      <c r="C7" s="466">
        <v>2962007</v>
      </c>
      <c r="D7" s="466"/>
      <c r="E7" s="468"/>
      <c r="F7" s="467"/>
      <c r="G7" s="467"/>
      <c r="H7" s="467"/>
      <c r="I7" s="468"/>
      <c r="J7" s="468"/>
      <c r="K7" s="468"/>
    </row>
    <row r="8" spans="1:12">
      <c r="A8" s="463" t="s">
        <v>432</v>
      </c>
      <c r="B8" s="470">
        <v>1150</v>
      </c>
      <c r="C8" s="475"/>
      <c r="D8" s="475"/>
      <c r="E8" s="477"/>
      <c r="F8" s="477"/>
      <c r="G8" s="481">
        <v>1918482</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433</v>
      </c>
      <c r="B11" s="550">
        <v>1190</v>
      </c>
      <c r="C11" s="551"/>
      <c r="D11" s="466"/>
      <c r="E11" s="466"/>
      <c r="F11" s="466"/>
      <c r="G11" s="466"/>
      <c r="H11" s="466"/>
      <c r="I11" s="466"/>
      <c r="J11" s="467"/>
      <c r="K11" s="466"/>
      <c r="L11" s="552"/>
    </row>
    <row r="12" spans="1:12" ht="12.75" customHeight="1" thickBot="1">
      <c r="A12" s="1726" t="s">
        <v>29</v>
      </c>
      <c r="B12" s="1727"/>
      <c r="C12" s="1728">
        <f t="shared" ref="C12:K12" si="0">SUM(C5:C11)</f>
        <v>93532667</v>
      </c>
      <c r="D12" s="1728">
        <f t="shared" si="0"/>
        <v>8022304</v>
      </c>
      <c r="E12" s="1728">
        <f t="shared" si="0"/>
        <v>6069400</v>
      </c>
      <c r="F12" s="1728">
        <f t="shared" si="0"/>
        <v>3097254</v>
      </c>
      <c r="G12" s="1728">
        <f t="shared" si="0"/>
        <v>2876463</v>
      </c>
      <c r="H12" s="1728">
        <f t="shared" si="0"/>
        <v>0</v>
      </c>
      <c r="I12" s="1728">
        <f t="shared" si="0"/>
        <v>0</v>
      </c>
      <c r="J12" s="1728">
        <f t="shared" si="0"/>
        <v>1060659</v>
      </c>
      <c r="K12" s="1709">
        <f t="shared" si="0"/>
        <v>109842</v>
      </c>
    </row>
    <row r="13" spans="1:12" ht="15.75" customHeight="1" thickTop="1">
      <c r="A13" s="1614" t="s">
        <v>470</v>
      </c>
      <c r="B13" s="161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1761</v>
      </c>
      <c r="B16" s="549">
        <v>1230</v>
      </c>
      <c r="C16" s="551">
        <v>1185356</v>
      </c>
      <c r="D16" s="466">
        <v>375614</v>
      </c>
      <c r="E16" s="466"/>
      <c r="F16" s="466"/>
      <c r="G16" s="466">
        <v>103813</v>
      </c>
      <c r="H16" s="466"/>
      <c r="I16" s="466"/>
      <c r="J16" s="467">
        <v>222726</v>
      </c>
      <c r="K16" s="466"/>
    </row>
    <row r="17" spans="1:11" ht="12.75" customHeight="1">
      <c r="A17" s="463" t="s">
        <v>839</v>
      </c>
      <c r="B17" s="470">
        <v>1290</v>
      </c>
      <c r="C17" s="551"/>
      <c r="D17" s="466"/>
      <c r="E17" s="466"/>
      <c r="F17" s="466"/>
      <c r="G17" s="466"/>
      <c r="H17" s="466"/>
      <c r="I17" s="466"/>
      <c r="J17" s="467"/>
      <c r="K17" s="466"/>
    </row>
    <row r="18" spans="1:11" ht="12.75" customHeight="1" thickBot="1">
      <c r="A18" s="1729" t="s">
        <v>557</v>
      </c>
      <c r="B18" s="1730"/>
      <c r="C18" s="1731">
        <f>SUM(C14:C17)</f>
        <v>1185356</v>
      </c>
      <c r="D18" s="1731">
        <f t="shared" ref="D18:K18" si="1">SUM(D14:D17)</f>
        <v>375614</v>
      </c>
      <c r="E18" s="1731">
        <f t="shared" si="1"/>
        <v>0</v>
      </c>
      <c r="F18" s="1731">
        <f t="shared" si="1"/>
        <v>0</v>
      </c>
      <c r="G18" s="1731">
        <f t="shared" si="1"/>
        <v>103813</v>
      </c>
      <c r="H18" s="1731">
        <f t="shared" si="1"/>
        <v>0</v>
      </c>
      <c r="I18" s="1731">
        <f t="shared" si="1"/>
        <v>0</v>
      </c>
      <c r="J18" s="1731">
        <f t="shared" si="1"/>
        <v>222726</v>
      </c>
      <c r="K18" s="1732">
        <f t="shared" si="1"/>
        <v>0</v>
      </c>
    </row>
    <row r="19" spans="1:11" ht="15.75" customHeight="1" thickTop="1">
      <c r="A19" s="1614" t="s">
        <v>471</v>
      </c>
      <c r="B19" s="1615">
        <v>1300</v>
      </c>
      <c r="C19" s="554"/>
      <c r="D19" s="554"/>
      <c r="E19" s="554"/>
      <c r="F19" s="554"/>
      <c r="G19" s="553"/>
      <c r="H19" s="554"/>
      <c r="I19" s="554"/>
      <c r="J19" s="554"/>
      <c r="K19" s="555"/>
    </row>
    <row r="20" spans="1:11">
      <c r="A20" s="463" t="s">
        <v>1132</v>
      </c>
      <c r="B20" s="470">
        <v>1311</v>
      </c>
      <c r="C20" s="466">
        <v>38367</v>
      </c>
      <c r="D20" s="468"/>
      <c r="E20" s="468"/>
      <c r="F20" s="468"/>
      <c r="G20" s="468"/>
      <c r="H20" s="468"/>
      <c r="I20" s="468"/>
      <c r="J20" s="468"/>
      <c r="K20" s="468"/>
    </row>
    <row r="21" spans="1:11" ht="12.75" customHeight="1">
      <c r="A21" s="463" t="s">
        <v>886</v>
      </c>
      <c r="B21" s="470">
        <v>1312</v>
      </c>
      <c r="C21" s="551"/>
      <c r="D21" s="468"/>
      <c r="E21" s="468"/>
      <c r="F21" s="468"/>
      <c r="G21" s="468"/>
      <c r="H21" s="468"/>
      <c r="I21" s="468"/>
      <c r="J21" s="468"/>
      <c r="K21" s="468"/>
    </row>
    <row r="22" spans="1:11" ht="12.75" customHeight="1">
      <c r="A22" s="463" t="s">
        <v>1133</v>
      </c>
      <c r="B22" s="470">
        <v>1313</v>
      </c>
      <c r="C22" s="551"/>
      <c r="D22" s="468"/>
      <c r="E22" s="468"/>
      <c r="F22" s="468"/>
      <c r="G22" s="468"/>
      <c r="H22" s="468"/>
      <c r="I22" s="468"/>
      <c r="J22" s="468"/>
      <c r="K22" s="468"/>
    </row>
    <row r="23" spans="1:11" ht="12.75" customHeight="1">
      <c r="A23" s="463" t="s">
        <v>1134</v>
      </c>
      <c r="B23" s="470">
        <v>1314</v>
      </c>
      <c r="C23" s="489"/>
      <c r="D23" s="468"/>
      <c r="E23" s="468"/>
      <c r="F23" s="468"/>
      <c r="G23" s="468"/>
      <c r="H23" s="468"/>
      <c r="I23" s="468"/>
      <c r="J23" s="468"/>
      <c r="K23" s="468"/>
    </row>
    <row r="24" spans="1:11" ht="12.75" customHeight="1">
      <c r="A24" s="463" t="s">
        <v>1084</v>
      </c>
      <c r="B24" s="470">
        <v>1321</v>
      </c>
      <c r="C24" s="551"/>
      <c r="D24" s="468"/>
      <c r="E24" s="468"/>
      <c r="F24" s="468"/>
      <c r="G24" s="468"/>
      <c r="H24" s="468"/>
      <c r="I24" s="468"/>
      <c r="J24" s="468"/>
      <c r="K24" s="468"/>
    </row>
    <row r="25" spans="1:11" ht="12.75" customHeight="1">
      <c r="A25" s="463" t="s">
        <v>887</v>
      </c>
      <c r="B25" s="470">
        <v>1322</v>
      </c>
      <c r="C25" s="551"/>
      <c r="D25" s="468"/>
      <c r="E25" s="468"/>
      <c r="F25" s="468"/>
      <c r="G25" s="468"/>
      <c r="H25" s="468"/>
      <c r="I25" s="468"/>
      <c r="J25" s="468"/>
      <c r="K25" s="468"/>
    </row>
    <row r="26" spans="1:11" ht="12.75" customHeight="1">
      <c r="A26" s="463" t="s">
        <v>1162</v>
      </c>
      <c r="B26" s="470">
        <v>1323</v>
      </c>
      <c r="C26" s="551"/>
      <c r="D26" s="468"/>
      <c r="E26" s="468"/>
      <c r="F26" s="468"/>
      <c r="G26" s="468"/>
      <c r="H26" s="468"/>
      <c r="I26" s="468"/>
      <c r="J26" s="468"/>
      <c r="K26" s="468"/>
    </row>
    <row r="27" spans="1:11" ht="12.75" customHeight="1">
      <c r="A27" s="463" t="s">
        <v>1080</v>
      </c>
      <c r="B27" s="470">
        <v>1324</v>
      </c>
      <c r="C27" s="489"/>
      <c r="D27" s="468"/>
      <c r="E27" s="468"/>
      <c r="F27" s="468"/>
      <c r="G27" s="468"/>
      <c r="H27" s="468"/>
      <c r="I27" s="468"/>
      <c r="J27" s="468"/>
      <c r="K27" s="468"/>
    </row>
    <row r="28" spans="1:11" ht="12.75" customHeight="1">
      <c r="A28" s="463" t="s">
        <v>1081</v>
      </c>
      <c r="B28" s="470">
        <v>1331</v>
      </c>
      <c r="C28" s="551"/>
      <c r="D28" s="468"/>
      <c r="E28" s="468"/>
      <c r="F28" s="468"/>
      <c r="G28" s="468"/>
      <c r="H28" s="468"/>
      <c r="I28" s="468"/>
      <c r="J28" s="468"/>
      <c r="K28" s="468"/>
    </row>
    <row r="29" spans="1:11" ht="12.75" customHeight="1">
      <c r="A29" s="463" t="s">
        <v>888</v>
      </c>
      <c r="B29" s="470">
        <v>1332</v>
      </c>
      <c r="C29" s="551"/>
      <c r="D29" s="468"/>
      <c r="E29" s="468"/>
      <c r="F29" s="468"/>
      <c r="G29" s="468"/>
      <c r="H29" s="468"/>
      <c r="I29" s="468"/>
      <c r="J29" s="468"/>
      <c r="K29" s="468"/>
    </row>
    <row r="30" spans="1:11" ht="12.75" customHeight="1">
      <c r="A30" s="463" t="s">
        <v>1083</v>
      </c>
      <c r="B30" s="470">
        <v>1333</v>
      </c>
      <c r="C30" s="551"/>
      <c r="D30" s="468"/>
      <c r="E30" s="468"/>
      <c r="F30" s="468"/>
      <c r="G30" s="468"/>
      <c r="H30" s="468"/>
      <c r="I30" s="468"/>
      <c r="J30" s="468"/>
      <c r="K30" s="468"/>
    </row>
    <row r="31" spans="1:11" ht="12.75" customHeight="1">
      <c r="A31" s="463" t="s">
        <v>1082</v>
      </c>
      <c r="B31" s="470">
        <v>1334</v>
      </c>
      <c r="C31" s="489"/>
      <c r="D31" s="468"/>
      <c r="E31" s="468"/>
      <c r="F31" s="468"/>
      <c r="G31" s="468"/>
      <c r="H31" s="468"/>
      <c r="I31" s="468"/>
      <c r="J31" s="468"/>
      <c r="K31" s="468"/>
    </row>
    <row r="32" spans="1:11" ht="12.75" customHeight="1">
      <c r="A32" s="463" t="s">
        <v>514</v>
      </c>
      <c r="B32" s="470">
        <v>1341</v>
      </c>
      <c r="C32" s="551"/>
      <c r="D32" s="468"/>
      <c r="E32" s="468"/>
      <c r="F32" s="468"/>
      <c r="G32" s="468"/>
      <c r="H32" s="468"/>
      <c r="I32" s="468"/>
      <c r="J32" s="468"/>
      <c r="K32" s="468"/>
    </row>
    <row r="33" spans="1:11" ht="12.75" customHeight="1">
      <c r="A33" s="463" t="s">
        <v>889</v>
      </c>
      <c r="B33" s="470">
        <v>1342</v>
      </c>
      <c r="C33" s="551"/>
      <c r="D33" s="468"/>
      <c r="E33" s="468"/>
      <c r="F33" s="468"/>
      <c r="G33" s="468"/>
      <c r="H33" s="468"/>
      <c r="I33" s="468"/>
      <c r="J33" s="468"/>
      <c r="K33" s="468"/>
    </row>
    <row r="34" spans="1:11" ht="12.75" customHeight="1">
      <c r="A34" s="463" t="s">
        <v>515</v>
      </c>
      <c r="B34" s="470">
        <v>1343</v>
      </c>
      <c r="C34" s="551"/>
      <c r="D34" s="468"/>
      <c r="E34" s="468"/>
      <c r="F34" s="468"/>
      <c r="G34" s="468"/>
      <c r="H34" s="468"/>
      <c r="I34" s="468"/>
      <c r="J34" s="468"/>
      <c r="K34" s="468"/>
    </row>
    <row r="35" spans="1:11" ht="12.75" customHeight="1">
      <c r="A35" s="463" t="s">
        <v>513</v>
      </c>
      <c r="B35" s="470">
        <v>1344</v>
      </c>
      <c r="C35" s="489">
        <v>50790</v>
      </c>
      <c r="D35" s="468"/>
      <c r="E35" s="468"/>
      <c r="F35" s="468"/>
      <c r="G35" s="468"/>
      <c r="H35" s="468"/>
      <c r="I35" s="468"/>
      <c r="J35" s="468"/>
      <c r="K35" s="468"/>
    </row>
    <row r="36" spans="1:11" ht="12.75" customHeight="1">
      <c r="A36" s="463" t="s">
        <v>885</v>
      </c>
      <c r="B36" s="470">
        <v>1351</v>
      </c>
      <c r="C36" s="551"/>
      <c r="D36" s="468"/>
      <c r="E36" s="468"/>
      <c r="F36" s="468"/>
      <c r="G36" s="468"/>
      <c r="H36" s="468"/>
      <c r="I36" s="468"/>
      <c r="J36" s="468"/>
      <c r="K36" s="468"/>
    </row>
    <row r="37" spans="1:11" ht="12.75" customHeight="1">
      <c r="A37" s="463" t="s">
        <v>890</v>
      </c>
      <c r="B37" s="470">
        <v>1352</v>
      </c>
      <c r="C37" s="551"/>
      <c r="D37" s="468"/>
      <c r="E37" s="468"/>
      <c r="F37" s="468"/>
      <c r="G37" s="468"/>
      <c r="H37" s="468"/>
      <c r="I37" s="468"/>
      <c r="J37" s="468"/>
      <c r="K37" s="468"/>
    </row>
    <row r="38" spans="1:11" ht="12.75" customHeight="1">
      <c r="A38" s="463" t="s">
        <v>613</v>
      </c>
      <c r="B38" s="470">
        <v>1353</v>
      </c>
      <c r="C38" s="551"/>
      <c r="D38" s="468"/>
      <c r="E38" s="468"/>
      <c r="F38" s="468"/>
      <c r="G38" s="468"/>
      <c r="H38" s="468"/>
      <c r="I38" s="468"/>
      <c r="J38" s="468"/>
      <c r="K38" s="468"/>
    </row>
    <row r="39" spans="1:11" ht="12.75" customHeight="1">
      <c r="A39" s="1517" t="s">
        <v>614</v>
      </c>
      <c r="B39" s="556">
        <v>1354</v>
      </c>
      <c r="C39" s="489"/>
      <c r="D39" s="468"/>
      <c r="E39" s="468"/>
      <c r="F39" s="468"/>
      <c r="G39" s="468"/>
      <c r="H39" s="468"/>
      <c r="I39" s="468"/>
      <c r="J39" s="468"/>
      <c r="K39" s="468"/>
    </row>
    <row r="40" spans="1:11" ht="12.75" customHeight="1" thickBot="1">
      <c r="A40" s="1729" t="s">
        <v>558</v>
      </c>
      <c r="B40" s="1730"/>
      <c r="C40" s="1709">
        <f>SUM(C20:C39)</f>
        <v>89157</v>
      </c>
      <c r="D40" s="468"/>
      <c r="E40" s="468"/>
      <c r="F40" s="468"/>
      <c r="G40" s="468"/>
      <c r="H40" s="468"/>
      <c r="I40" s="468"/>
      <c r="J40" s="468"/>
      <c r="K40" s="468"/>
    </row>
    <row r="41" spans="1:11" ht="15.75" customHeight="1" thickTop="1">
      <c r="A41" s="1614" t="s">
        <v>291</v>
      </c>
      <c r="B41" s="1615">
        <v>1400</v>
      </c>
      <c r="C41" s="468"/>
      <c r="D41" s="468"/>
      <c r="E41" s="468"/>
      <c r="F41" s="521"/>
      <c r="G41" s="468"/>
      <c r="H41" s="468"/>
      <c r="I41" s="468"/>
      <c r="J41" s="468"/>
      <c r="K41" s="468"/>
    </row>
    <row r="42" spans="1:11" ht="12.75" customHeight="1">
      <c r="A42" s="463" t="s">
        <v>1135</v>
      </c>
      <c r="B42" s="470">
        <v>1411</v>
      </c>
      <c r="C42" s="468"/>
      <c r="D42" s="468"/>
      <c r="E42" s="468"/>
      <c r="F42" s="481">
        <v>64178</v>
      </c>
      <c r="G42" s="468"/>
      <c r="H42" s="468"/>
      <c r="I42" s="468"/>
      <c r="J42" s="468"/>
      <c r="K42" s="468"/>
    </row>
    <row r="43" spans="1:11" ht="12.75" customHeight="1">
      <c r="A43" s="463" t="s">
        <v>891</v>
      </c>
      <c r="B43" s="470">
        <v>1412</v>
      </c>
      <c r="C43" s="468"/>
      <c r="D43" s="468"/>
      <c r="E43" s="468"/>
      <c r="F43" s="466"/>
      <c r="G43" s="468"/>
      <c r="H43" s="468"/>
      <c r="I43" s="468"/>
      <c r="J43" s="468"/>
      <c r="K43" s="468"/>
    </row>
    <row r="44" spans="1:11" ht="12.75" customHeight="1">
      <c r="A44" s="463" t="s">
        <v>401</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1235</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892</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8" t="s">
        <v>62</v>
      </c>
      <c r="B51" s="557">
        <v>1431</v>
      </c>
      <c r="C51" s="468"/>
      <c r="D51" s="468"/>
      <c r="E51" s="468"/>
      <c r="F51" s="466"/>
      <c r="G51" s="468"/>
      <c r="H51" s="468"/>
      <c r="I51" s="468"/>
      <c r="J51" s="468"/>
      <c r="K51" s="468"/>
    </row>
    <row r="52" spans="1:11" ht="12.75" customHeight="1">
      <c r="A52" s="1518" t="s">
        <v>1167</v>
      </c>
      <c r="B52" s="557">
        <v>1432</v>
      </c>
      <c r="C52" s="468"/>
      <c r="D52" s="468"/>
      <c r="E52" s="468"/>
      <c r="F52" s="466"/>
      <c r="G52" s="468"/>
      <c r="H52" s="468"/>
      <c r="I52" s="468"/>
      <c r="J52" s="468"/>
      <c r="K52" s="468"/>
    </row>
    <row r="53" spans="1:11" ht="12.75" customHeight="1">
      <c r="A53" s="1518" t="s">
        <v>63</v>
      </c>
      <c r="B53" s="557">
        <v>1433</v>
      </c>
      <c r="C53" s="468"/>
      <c r="D53" s="468"/>
      <c r="E53" s="468"/>
      <c r="F53" s="466"/>
      <c r="G53" s="468"/>
      <c r="H53" s="468"/>
      <c r="I53" s="468"/>
      <c r="J53" s="468"/>
      <c r="K53" s="468"/>
    </row>
    <row r="54" spans="1:11" ht="12.75" customHeight="1">
      <c r="A54" s="1518" t="s">
        <v>64</v>
      </c>
      <c r="B54" s="557">
        <v>1434</v>
      </c>
      <c r="C54" s="468"/>
      <c r="D54" s="468"/>
      <c r="E54" s="468"/>
      <c r="F54" s="467"/>
      <c r="G54" s="468"/>
      <c r="H54" s="468"/>
      <c r="I54" s="468"/>
      <c r="J54" s="468"/>
      <c r="K54" s="468"/>
    </row>
    <row r="55" spans="1:11" ht="12.75" customHeight="1">
      <c r="A55" s="1518" t="s">
        <v>65</v>
      </c>
      <c r="B55" s="557">
        <v>1441</v>
      </c>
      <c r="C55" s="468"/>
      <c r="D55" s="468"/>
      <c r="E55" s="468"/>
      <c r="F55" s="466"/>
      <c r="G55" s="468"/>
      <c r="H55" s="468"/>
      <c r="I55" s="468"/>
      <c r="J55" s="468"/>
      <c r="K55" s="468"/>
    </row>
    <row r="56" spans="1:11" ht="12.75" customHeight="1">
      <c r="A56" s="1518" t="s">
        <v>1168</v>
      </c>
      <c r="B56" s="557">
        <v>1442</v>
      </c>
      <c r="C56" s="468"/>
      <c r="D56" s="468"/>
      <c r="E56" s="468"/>
      <c r="F56" s="466"/>
      <c r="G56" s="468"/>
      <c r="H56" s="468"/>
      <c r="I56" s="468"/>
      <c r="J56" s="468"/>
      <c r="K56" s="468"/>
    </row>
    <row r="57" spans="1:11" ht="12.75" customHeight="1">
      <c r="A57" s="1518" t="s">
        <v>509</v>
      </c>
      <c r="B57" s="557">
        <v>1443</v>
      </c>
      <c r="C57" s="468"/>
      <c r="D57" s="468"/>
      <c r="E57" s="468"/>
      <c r="F57" s="466"/>
      <c r="G57" s="468"/>
      <c r="H57" s="468"/>
      <c r="I57" s="468"/>
      <c r="J57" s="468"/>
      <c r="K57" s="468"/>
    </row>
    <row r="58" spans="1:11" ht="12.75" customHeight="1">
      <c r="A58" s="1518" t="s">
        <v>67</v>
      </c>
      <c r="B58" s="557">
        <v>1444</v>
      </c>
      <c r="C58" s="468"/>
      <c r="D58" s="468"/>
      <c r="E58" s="468"/>
      <c r="F58" s="466"/>
      <c r="G58" s="468"/>
      <c r="H58" s="468"/>
      <c r="I58" s="468"/>
      <c r="J58" s="468"/>
      <c r="K58" s="468"/>
    </row>
    <row r="59" spans="1:11" ht="12.75" customHeight="1">
      <c r="A59" s="1518" t="s">
        <v>932</v>
      </c>
      <c r="B59" s="557">
        <v>1451</v>
      </c>
      <c r="C59" s="468"/>
      <c r="D59" s="468"/>
      <c r="E59" s="468"/>
      <c r="F59" s="466"/>
      <c r="G59" s="468"/>
      <c r="H59" s="468"/>
      <c r="I59" s="468"/>
      <c r="J59" s="468"/>
      <c r="K59" s="468"/>
    </row>
    <row r="60" spans="1:11" ht="12.75" customHeight="1">
      <c r="A60" s="1518" t="s">
        <v>1169</v>
      </c>
      <c r="B60" s="557">
        <v>1452</v>
      </c>
      <c r="C60" s="468"/>
      <c r="D60" s="468"/>
      <c r="E60" s="468"/>
      <c r="F60" s="466"/>
      <c r="G60" s="468"/>
      <c r="H60" s="468"/>
      <c r="I60" s="468"/>
      <c r="J60" s="468"/>
      <c r="K60" s="468"/>
    </row>
    <row r="61" spans="1:11" ht="12.75" customHeight="1">
      <c r="A61" s="563" t="s">
        <v>933</v>
      </c>
      <c r="B61" s="557">
        <v>1453</v>
      </c>
      <c r="C61" s="468"/>
      <c r="D61" s="468"/>
      <c r="E61" s="468"/>
      <c r="F61" s="466"/>
      <c r="G61" s="468"/>
      <c r="H61" s="468"/>
      <c r="I61" s="468"/>
      <c r="J61" s="468"/>
      <c r="K61" s="468"/>
    </row>
    <row r="62" spans="1:11" ht="12.75" customHeight="1">
      <c r="A62" s="1519" t="s">
        <v>934</v>
      </c>
      <c r="B62" s="558">
        <v>1454</v>
      </c>
      <c r="C62" s="468"/>
      <c r="D62" s="468"/>
      <c r="E62" s="468"/>
      <c r="F62" s="467"/>
      <c r="G62" s="468"/>
      <c r="H62" s="468"/>
      <c r="I62" s="468"/>
      <c r="J62" s="468"/>
      <c r="K62" s="468"/>
    </row>
    <row r="63" spans="1:11" ht="12.75" customHeight="1" thickBot="1">
      <c r="A63" s="1729" t="s">
        <v>505</v>
      </c>
      <c r="B63" s="1730"/>
      <c r="C63" s="468"/>
      <c r="D63" s="468"/>
      <c r="E63" s="468"/>
      <c r="F63" s="1709">
        <f>SUM(F42:F62)</f>
        <v>64178</v>
      </c>
      <c r="G63" s="468"/>
      <c r="H63" s="468"/>
      <c r="I63" s="468"/>
      <c r="J63" s="468"/>
      <c r="K63" s="468"/>
    </row>
    <row r="64" spans="1:11" ht="15.75" customHeight="1" thickTop="1">
      <c r="A64" s="1614" t="s">
        <v>473</v>
      </c>
      <c r="B64" s="1615">
        <v>1500</v>
      </c>
      <c r="C64" s="468"/>
      <c r="D64" s="468"/>
      <c r="E64" s="468"/>
      <c r="F64" s="468"/>
      <c r="G64" s="468"/>
      <c r="H64" s="468"/>
      <c r="I64" s="468"/>
      <c r="J64" s="468"/>
      <c r="K64" s="468"/>
    </row>
    <row r="65" spans="1:11" ht="12.75" customHeight="1">
      <c r="A65" s="463" t="s">
        <v>567</v>
      </c>
      <c r="B65" s="470">
        <v>1510</v>
      </c>
      <c r="C65" s="466">
        <v>293049</v>
      </c>
      <c r="D65" s="466">
        <v>56431</v>
      </c>
      <c r="E65" s="466">
        <v>90412</v>
      </c>
      <c r="F65" s="467">
        <v>83522</v>
      </c>
      <c r="G65" s="466">
        <v>368274</v>
      </c>
      <c r="H65" s="466">
        <v>5185</v>
      </c>
      <c r="I65" s="466">
        <v>189213</v>
      </c>
      <c r="J65" s="467">
        <v>29285</v>
      </c>
      <c r="K65" s="466">
        <v>6625</v>
      </c>
    </row>
    <row r="66" spans="1:11" ht="12.75" customHeight="1">
      <c r="A66" s="463" t="s">
        <v>699</v>
      </c>
      <c r="B66" s="470">
        <v>1520</v>
      </c>
      <c r="C66" s="466"/>
      <c r="D66" s="466"/>
      <c r="E66" s="466"/>
      <c r="F66" s="466"/>
      <c r="G66" s="466"/>
      <c r="H66" s="466"/>
      <c r="I66" s="466"/>
      <c r="J66" s="467"/>
      <c r="K66" s="466"/>
    </row>
    <row r="67" spans="1:11" ht="12.75" customHeight="1" thickBot="1">
      <c r="A67" s="1729" t="s">
        <v>506</v>
      </c>
      <c r="B67" s="1730"/>
      <c r="C67" s="1709">
        <f>SUM(C65:C66)</f>
        <v>293049</v>
      </c>
      <c r="D67" s="1709">
        <f t="shared" ref="D67:K67" si="2">SUM(D65:D66)</f>
        <v>56431</v>
      </c>
      <c r="E67" s="1709">
        <f t="shared" si="2"/>
        <v>90412</v>
      </c>
      <c r="F67" s="1709">
        <f t="shared" si="2"/>
        <v>83522</v>
      </c>
      <c r="G67" s="1709">
        <f t="shared" si="2"/>
        <v>368274</v>
      </c>
      <c r="H67" s="1709">
        <f t="shared" si="2"/>
        <v>5185</v>
      </c>
      <c r="I67" s="1709">
        <f t="shared" si="2"/>
        <v>189213</v>
      </c>
      <c r="J67" s="1709">
        <f t="shared" si="2"/>
        <v>29285</v>
      </c>
      <c r="K67" s="1709">
        <f t="shared" si="2"/>
        <v>6625</v>
      </c>
    </row>
    <row r="68" spans="1:11" ht="15.75" customHeight="1" thickTop="1">
      <c r="A68" s="1614" t="s">
        <v>474</v>
      </c>
      <c r="B68" s="1616">
        <v>1600</v>
      </c>
      <c r="C68" s="553"/>
      <c r="D68" s="468"/>
      <c r="E68" s="468"/>
      <c r="F68" s="468"/>
      <c r="G68" s="468"/>
      <c r="H68" s="468"/>
      <c r="I68" s="468"/>
      <c r="J68" s="468"/>
      <c r="K68" s="468"/>
    </row>
    <row r="69" spans="1:11" ht="12.75" customHeight="1">
      <c r="A69" s="463" t="s">
        <v>686</v>
      </c>
      <c r="B69" s="470">
        <v>1611</v>
      </c>
      <c r="C69" s="466">
        <v>365169</v>
      </c>
      <c r="D69" s="468"/>
      <c r="E69" s="468"/>
      <c r="F69" s="468"/>
      <c r="G69" s="468"/>
      <c r="H69" s="468"/>
      <c r="I69" s="468"/>
      <c r="J69" s="468"/>
      <c r="K69" s="468"/>
    </row>
    <row r="70" spans="1:11" ht="12.75" customHeight="1">
      <c r="A70" s="463" t="s">
        <v>1053</v>
      </c>
      <c r="B70" s="470">
        <v>1612</v>
      </c>
      <c r="C70" s="551">
        <v>8519</v>
      </c>
      <c r="D70" s="468"/>
      <c r="E70" s="468"/>
      <c r="F70" s="468"/>
      <c r="G70" s="468"/>
      <c r="H70" s="468"/>
      <c r="I70" s="468"/>
      <c r="J70" s="468"/>
      <c r="K70" s="468"/>
    </row>
    <row r="71" spans="1:11" ht="12.75" customHeight="1">
      <c r="A71" s="463" t="s">
        <v>290</v>
      </c>
      <c r="B71" s="470">
        <v>1613</v>
      </c>
      <c r="C71" s="551">
        <v>163711</v>
      </c>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1054</v>
      </c>
      <c r="B73" s="470">
        <v>1620</v>
      </c>
      <c r="C73" s="551">
        <v>96566</v>
      </c>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29" t="s">
        <v>568</v>
      </c>
      <c r="B75" s="1730"/>
      <c r="C75" s="1709">
        <f>SUM(C69:C74)</f>
        <v>633965</v>
      </c>
      <c r="D75" s="468"/>
      <c r="E75" s="468"/>
      <c r="F75" s="468"/>
      <c r="G75" s="468"/>
      <c r="H75" s="468"/>
      <c r="I75" s="468"/>
      <c r="J75" s="468"/>
      <c r="K75" s="468"/>
    </row>
    <row r="76" spans="1:11" ht="15.75" customHeight="1" thickTop="1">
      <c r="A76" s="1614" t="s">
        <v>935</v>
      </c>
      <c r="B76" s="1616">
        <v>1700</v>
      </c>
      <c r="C76" s="553"/>
      <c r="D76" s="468"/>
      <c r="E76" s="468"/>
      <c r="F76" s="468"/>
      <c r="G76" s="468"/>
      <c r="H76" s="468"/>
      <c r="I76" s="468"/>
      <c r="J76" s="468"/>
      <c r="K76" s="468"/>
    </row>
    <row r="77" spans="1:11" ht="12.75" customHeight="1">
      <c r="A77" s="463" t="s">
        <v>569</v>
      </c>
      <c r="B77" s="470">
        <v>1711</v>
      </c>
      <c r="C77" s="516"/>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570</v>
      </c>
      <c r="B79" s="470">
        <v>1720</v>
      </c>
      <c r="C79" s="551">
        <v>2415274</v>
      </c>
      <c r="D79" s="466"/>
      <c r="E79" s="468"/>
      <c r="F79" s="468"/>
      <c r="G79" s="468"/>
      <c r="H79" s="468"/>
      <c r="I79" s="468"/>
      <c r="J79" s="468"/>
      <c r="K79" s="468"/>
    </row>
    <row r="80" spans="1:11" ht="12.75" customHeight="1">
      <c r="A80" s="463" t="s">
        <v>571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29" t="s">
        <v>259</v>
      </c>
      <c r="B82" s="1730"/>
      <c r="C82" s="1728">
        <f>SUM(C77:C81)</f>
        <v>2415274</v>
      </c>
      <c r="D82" s="1709">
        <f>SUM(D77:D81)</f>
        <v>0</v>
      </c>
      <c r="E82" s="468"/>
      <c r="F82" s="468"/>
      <c r="G82" s="468"/>
      <c r="H82" s="468"/>
      <c r="I82" s="468"/>
      <c r="J82" s="468"/>
      <c r="K82" s="468"/>
    </row>
    <row r="83" spans="1:11" ht="15.75" customHeight="1" thickTop="1">
      <c r="A83" s="1614" t="s">
        <v>260</v>
      </c>
      <c r="B83" s="1616">
        <v>1800</v>
      </c>
      <c r="C83" s="553"/>
      <c r="D83" s="468"/>
      <c r="E83" s="468"/>
      <c r="F83" s="468"/>
      <c r="G83" s="468"/>
      <c r="H83" s="468"/>
      <c r="I83" s="468"/>
      <c r="J83" s="468"/>
      <c r="K83" s="468"/>
    </row>
    <row r="84" spans="1:11" ht="12.75" customHeight="1">
      <c r="A84" s="463" t="s">
        <v>572</v>
      </c>
      <c r="B84" s="470">
        <v>1811</v>
      </c>
      <c r="C84" s="466"/>
      <c r="D84" s="468"/>
      <c r="E84" s="468"/>
      <c r="F84" s="468"/>
      <c r="G84" s="468"/>
      <c r="H84" s="468"/>
      <c r="I84" s="468"/>
      <c r="J84" s="468"/>
      <c r="K84" s="468"/>
    </row>
    <row r="85" spans="1:11" ht="12.75" customHeight="1">
      <c r="A85" s="463" t="s">
        <v>573</v>
      </c>
      <c r="B85" s="470">
        <v>1812</v>
      </c>
      <c r="C85" s="551"/>
      <c r="D85" s="468"/>
      <c r="E85" s="468"/>
      <c r="F85" s="468"/>
      <c r="G85" s="468"/>
      <c r="H85" s="468"/>
      <c r="I85" s="468"/>
      <c r="J85" s="468"/>
      <c r="K85" s="468"/>
    </row>
    <row r="86" spans="1:11" ht="12.75" customHeight="1">
      <c r="A86" s="463" t="s">
        <v>1055</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574</v>
      </c>
      <c r="B88" s="470">
        <v>1821</v>
      </c>
      <c r="C88" s="551"/>
      <c r="D88" s="468"/>
      <c r="E88" s="468"/>
      <c r="F88" s="468"/>
      <c r="G88" s="468"/>
      <c r="H88" s="468"/>
      <c r="I88" s="468"/>
      <c r="J88" s="468"/>
      <c r="K88" s="468"/>
    </row>
    <row r="89" spans="1:11" ht="12.75" customHeight="1">
      <c r="A89" s="463" t="s">
        <v>737</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785</v>
      </c>
      <c r="B92" s="470">
        <v>1890</v>
      </c>
      <c r="C92" s="551"/>
      <c r="D92" s="468"/>
      <c r="E92" s="468"/>
      <c r="F92" s="468"/>
      <c r="G92" s="468"/>
      <c r="H92" s="468"/>
      <c r="I92" s="468"/>
      <c r="J92" s="468"/>
      <c r="K92" s="468"/>
    </row>
    <row r="93" spans="1:11" ht="12.75" customHeight="1" thickBot="1">
      <c r="A93" s="1729" t="s">
        <v>261</v>
      </c>
      <c r="B93" s="1730"/>
      <c r="C93" s="1709">
        <f>SUM(C84:C92)</f>
        <v>0</v>
      </c>
      <c r="D93" s="468"/>
      <c r="E93" s="468"/>
      <c r="F93" s="468"/>
      <c r="G93" s="468"/>
      <c r="H93" s="468"/>
      <c r="I93" s="468"/>
      <c r="J93" s="468"/>
      <c r="K93" s="468"/>
    </row>
    <row r="94" spans="1:11" ht="15.75" customHeight="1" thickTop="1">
      <c r="A94" s="1614" t="s">
        <v>1198</v>
      </c>
      <c r="B94" s="1616">
        <v>1900</v>
      </c>
      <c r="C94" s="553"/>
      <c r="D94" s="521"/>
      <c r="E94" s="468"/>
      <c r="F94" s="468"/>
      <c r="G94" s="468"/>
      <c r="H94" s="468"/>
      <c r="I94" s="468"/>
      <c r="J94" s="468"/>
      <c r="K94" s="468"/>
    </row>
    <row r="95" spans="1:11" ht="12.75" customHeight="1">
      <c r="A95" s="463" t="s">
        <v>1123</v>
      </c>
      <c r="B95" s="470">
        <v>1910</v>
      </c>
      <c r="C95" s="466"/>
      <c r="D95" s="551">
        <v>43122</v>
      </c>
      <c r="E95" s="521"/>
      <c r="F95" s="521"/>
      <c r="G95" s="521"/>
      <c r="H95" s="521"/>
      <c r="I95" s="521"/>
      <c r="J95" s="521"/>
      <c r="K95" s="521"/>
    </row>
    <row r="96" spans="1:11" ht="12.75" customHeight="1">
      <c r="A96" s="463" t="s">
        <v>408</v>
      </c>
      <c r="B96" s="470">
        <v>1920</v>
      </c>
      <c r="C96" s="551">
        <v>986786</v>
      </c>
      <c r="D96" s="551"/>
      <c r="E96" s="479"/>
      <c r="F96" s="478"/>
      <c r="G96" s="478"/>
      <c r="H96" s="478"/>
      <c r="I96" s="478"/>
      <c r="J96" s="478"/>
      <c r="K96" s="478"/>
    </row>
    <row r="97" spans="1:12" ht="12.75" customHeight="1">
      <c r="A97" s="1517" t="s">
        <v>262</v>
      </c>
      <c r="B97" s="559">
        <v>1930</v>
      </c>
      <c r="C97" s="489"/>
      <c r="D97" s="467"/>
      <c r="E97" s="474"/>
      <c r="F97" s="467"/>
      <c r="G97" s="467"/>
      <c r="H97" s="467"/>
      <c r="I97" s="467"/>
      <c r="J97" s="467"/>
      <c r="K97" s="467"/>
    </row>
    <row r="98" spans="1:12" ht="12.75" customHeight="1">
      <c r="A98" s="463" t="s">
        <v>198</v>
      </c>
      <c r="B98" s="470">
        <v>1940</v>
      </c>
      <c r="C98" s="489"/>
      <c r="D98" s="466">
        <v>43557</v>
      </c>
      <c r="E98" s="512"/>
      <c r="F98" s="466"/>
      <c r="G98" s="512"/>
      <c r="H98" s="512"/>
      <c r="I98" s="510"/>
      <c r="J98" s="512"/>
      <c r="K98" s="512"/>
    </row>
    <row r="99" spans="1:12" ht="12.75" customHeight="1">
      <c r="A99" s="463" t="s">
        <v>874</v>
      </c>
      <c r="B99" s="470">
        <v>1950</v>
      </c>
      <c r="C99" s="489"/>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362</v>
      </c>
      <c r="B103" s="470">
        <v>1983</v>
      </c>
      <c r="C103" s="468"/>
      <c r="D103" s="468"/>
      <c r="E103" s="560"/>
      <c r="F103" s="468"/>
      <c r="G103" s="468"/>
      <c r="H103" s="489"/>
      <c r="I103" s="468"/>
      <c r="J103" s="510"/>
      <c r="K103" s="510"/>
    </row>
    <row r="104" spans="1:12" ht="12.75" customHeight="1">
      <c r="A104" s="463" t="s">
        <v>884</v>
      </c>
      <c r="B104" s="470">
        <v>1991</v>
      </c>
      <c r="C104" s="489"/>
      <c r="D104" s="466"/>
      <c r="E104" s="481"/>
      <c r="F104" s="467"/>
      <c r="G104" s="467"/>
      <c r="H104" s="466"/>
      <c r="I104" s="468"/>
      <c r="J104" s="468"/>
      <c r="K104" s="468"/>
    </row>
    <row r="105" spans="1:12" ht="12.75" customHeight="1">
      <c r="A105" s="463" t="s">
        <v>875</v>
      </c>
      <c r="B105" s="470">
        <v>1992</v>
      </c>
      <c r="C105" s="466"/>
      <c r="D105" s="561"/>
      <c r="E105" s="468"/>
      <c r="F105" s="468"/>
      <c r="G105" s="468"/>
      <c r="H105" s="510"/>
      <c r="I105" s="468"/>
      <c r="J105" s="468"/>
      <c r="K105" s="468"/>
    </row>
    <row r="106" spans="1:12" ht="12.75" customHeight="1">
      <c r="A106" s="463" t="s">
        <v>1504</v>
      </c>
      <c r="B106" s="470">
        <v>1993</v>
      </c>
      <c r="C106" s="466">
        <v>52814</v>
      </c>
      <c r="D106" s="489"/>
      <c r="E106" s="467"/>
      <c r="F106" s="467"/>
      <c r="G106" s="467"/>
      <c r="H106" s="467"/>
      <c r="I106" s="521"/>
      <c r="J106" s="467"/>
      <c r="K106" s="467"/>
    </row>
    <row r="107" spans="1:12" ht="12.75" customHeight="1">
      <c r="A107" s="463" t="s">
        <v>80</v>
      </c>
      <c r="B107" s="470">
        <v>1999</v>
      </c>
      <c r="C107" s="551">
        <v>382764</v>
      </c>
      <c r="D107" s="466">
        <v>12249</v>
      </c>
      <c r="E107" s="466"/>
      <c r="F107" s="466"/>
      <c r="G107" s="466"/>
      <c r="H107" s="466"/>
      <c r="I107" s="466"/>
      <c r="J107" s="467"/>
      <c r="K107" s="466"/>
    </row>
    <row r="108" spans="1:12" ht="12.75" customHeight="1" thickBot="1">
      <c r="A108" s="1729" t="s">
        <v>507</v>
      </c>
      <c r="B108" s="1733"/>
      <c r="C108" s="1728">
        <f>SUM(C95:C107)</f>
        <v>1422364</v>
      </c>
      <c r="D108" s="1728">
        <f t="shared" ref="D108:K108" si="3">SUM(D95:D107)</f>
        <v>98928</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c r="A109" s="1734" t="s">
        <v>266</v>
      </c>
      <c r="B109" s="1735" t="s">
        <v>590</v>
      </c>
      <c r="C109" s="1736">
        <f t="shared" ref="C109:K109" si="4">SUM(C12,C18,C40,C63,C67,C75,C82,C93,C108,)</f>
        <v>99571832</v>
      </c>
      <c r="D109" s="1736">
        <f t="shared" si="4"/>
        <v>8553277</v>
      </c>
      <c r="E109" s="1736">
        <f t="shared" si="4"/>
        <v>6159812</v>
      </c>
      <c r="F109" s="1736">
        <f t="shared" si="4"/>
        <v>3244954</v>
      </c>
      <c r="G109" s="1736">
        <f t="shared" si="4"/>
        <v>3348550</v>
      </c>
      <c r="H109" s="1736">
        <f t="shared" si="4"/>
        <v>5185</v>
      </c>
      <c r="I109" s="1736">
        <f t="shared" si="4"/>
        <v>189213</v>
      </c>
      <c r="J109" s="1736">
        <f t="shared" si="4"/>
        <v>1312670</v>
      </c>
      <c r="K109" s="1723">
        <f t="shared" si="4"/>
        <v>116467</v>
      </c>
    </row>
    <row r="110" spans="1:12" ht="30" customHeight="1" thickTop="1">
      <c r="A110" s="1607" t="s">
        <v>363</v>
      </c>
      <c r="B110" s="1608"/>
      <c r="C110" s="1593"/>
      <c r="D110" s="1593"/>
      <c r="E110" s="1593"/>
      <c r="F110" s="1593"/>
      <c r="G110" s="1593"/>
      <c r="H110" s="1593"/>
      <c r="I110" s="1593"/>
      <c r="J110" s="1593"/>
      <c r="K110" s="1594"/>
    </row>
    <row r="111" spans="1:12" ht="12.75" customHeight="1">
      <c r="A111" s="493" t="s">
        <v>876</v>
      </c>
      <c r="B111" s="491">
        <v>2100</v>
      </c>
      <c r="C111" s="516"/>
      <c r="D111" s="481"/>
      <c r="E111" s="561"/>
      <c r="F111" s="481"/>
      <c r="G111" s="481"/>
      <c r="H111" s="561"/>
      <c r="I111" s="468"/>
      <c r="J111" s="468"/>
      <c r="K111" s="468"/>
    </row>
    <row r="112" spans="1:12" ht="12.75" customHeight="1">
      <c r="A112" s="463" t="s">
        <v>877</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c r="A115" s="1609" t="s">
        <v>835</v>
      </c>
      <c r="B115" s="1610"/>
      <c r="C115" s="1592"/>
      <c r="D115" s="1593"/>
      <c r="E115" s="1593"/>
      <c r="F115" s="1593"/>
      <c r="G115" s="1593"/>
      <c r="H115" s="1593"/>
      <c r="I115" s="1593"/>
      <c r="J115" s="1593"/>
      <c r="K115" s="1594"/>
    </row>
    <row r="116" spans="1:11" ht="18" customHeight="1">
      <c r="A116" s="1617" t="s">
        <v>1570</v>
      </c>
      <c r="B116" s="1618"/>
      <c r="C116" s="522"/>
      <c r="D116" s="521"/>
      <c r="E116" s="561"/>
      <c r="F116" s="521"/>
      <c r="G116" s="521"/>
      <c r="H116" s="561"/>
      <c r="I116" s="468"/>
      <c r="J116" s="521"/>
      <c r="K116" s="521"/>
    </row>
    <row r="117" spans="1:11" ht="12.75" customHeight="1">
      <c r="A117" s="463" t="s">
        <v>1765</v>
      </c>
      <c r="B117" s="562">
        <v>3001</v>
      </c>
      <c r="C117" s="516">
        <v>5909285</v>
      </c>
      <c r="D117" s="481"/>
      <c r="E117" s="466"/>
      <c r="F117" s="481"/>
      <c r="G117" s="481"/>
      <c r="H117" s="466"/>
      <c r="I117" s="468"/>
      <c r="J117" s="467"/>
      <c r="K117" s="466"/>
    </row>
    <row r="118" spans="1:11" ht="12.75" customHeight="1">
      <c r="A118" s="463" t="s">
        <v>1898</v>
      </c>
      <c r="B118" s="562">
        <v>3002</v>
      </c>
      <c r="C118" s="551">
        <v>1971092</v>
      </c>
      <c r="D118" s="466"/>
      <c r="E118" s="466"/>
      <c r="F118" s="466"/>
      <c r="G118" s="466"/>
      <c r="H118" s="466"/>
      <c r="I118" s="468"/>
      <c r="J118" s="467"/>
      <c r="K118" s="466"/>
    </row>
    <row r="119" spans="1:11" ht="12.75" customHeight="1">
      <c r="A119" s="463" t="s">
        <v>1899</v>
      </c>
      <c r="B119" s="562">
        <v>3005</v>
      </c>
      <c r="C119" s="551"/>
      <c r="D119" s="466"/>
      <c r="E119" s="466"/>
      <c r="F119" s="466"/>
      <c r="G119" s="466"/>
      <c r="H119" s="466"/>
      <c r="I119" s="468"/>
      <c r="J119" s="467"/>
      <c r="K119" s="466"/>
    </row>
    <row r="120" spans="1:11">
      <c r="A120" s="1518" t="s">
        <v>1900</v>
      </c>
      <c r="B120" s="564">
        <v>3099</v>
      </c>
      <c r="C120" s="551"/>
      <c r="D120" s="466"/>
      <c r="E120" s="466"/>
      <c r="F120" s="466"/>
      <c r="G120" s="466"/>
      <c r="H120" s="466"/>
      <c r="I120" s="468"/>
      <c r="J120" s="467"/>
      <c r="K120" s="466"/>
    </row>
    <row r="121" spans="1:11" ht="12.6" customHeight="1" thickBot="1">
      <c r="A121" s="1729" t="s">
        <v>508</v>
      </c>
      <c r="B121" s="1740"/>
      <c r="C121" s="1728">
        <f t="shared" ref="C121:H121" si="5">SUM(C117:C120)</f>
        <v>7880377</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c r="A122" s="1614" t="s">
        <v>1569</v>
      </c>
      <c r="B122" s="1619"/>
      <c r="C122" s="565"/>
      <c r="D122" s="509"/>
      <c r="E122" s="468"/>
      <c r="F122" s="566"/>
      <c r="G122" s="468"/>
      <c r="H122" s="468"/>
      <c r="I122" s="468"/>
      <c r="J122" s="468"/>
      <c r="K122" s="468"/>
    </row>
    <row r="123" spans="1:11" ht="15" customHeight="1">
      <c r="A123" s="1620" t="s">
        <v>687</v>
      </c>
      <c r="B123" s="1621"/>
      <c r="C123" s="521"/>
      <c r="D123" s="509"/>
      <c r="E123" s="468"/>
      <c r="F123" s="521"/>
      <c r="G123" s="468"/>
      <c r="H123" s="468"/>
      <c r="I123" s="468"/>
      <c r="J123" s="468"/>
      <c r="K123" s="468"/>
    </row>
    <row r="124" spans="1:11" ht="12.75" customHeight="1">
      <c r="A124" s="463" t="s">
        <v>920</v>
      </c>
      <c r="B124" s="567">
        <v>3100</v>
      </c>
      <c r="C124" s="481">
        <v>1037010</v>
      </c>
      <c r="D124" s="561"/>
      <c r="E124" s="468"/>
      <c r="F124" s="548"/>
      <c r="G124" s="468"/>
      <c r="H124" s="468"/>
      <c r="I124" s="468"/>
      <c r="J124" s="468"/>
      <c r="K124" s="468"/>
    </row>
    <row r="125" spans="1:11" ht="12.75" customHeight="1">
      <c r="A125" s="463" t="s">
        <v>1520</v>
      </c>
      <c r="B125" s="562">
        <v>3105</v>
      </c>
      <c r="C125" s="466">
        <v>496762</v>
      </c>
      <c r="D125" s="561"/>
      <c r="E125" s="468"/>
      <c r="F125" s="466"/>
      <c r="G125" s="468"/>
      <c r="H125" s="468"/>
      <c r="I125" s="468"/>
      <c r="J125" s="468"/>
      <c r="K125" s="468"/>
    </row>
    <row r="126" spans="1:11" ht="12.75" customHeight="1">
      <c r="A126" s="463" t="s">
        <v>921</v>
      </c>
      <c r="B126" s="562">
        <v>3110</v>
      </c>
      <c r="C126" s="551">
        <v>1004257</v>
      </c>
      <c r="D126" s="466"/>
      <c r="E126" s="468"/>
      <c r="F126" s="466"/>
      <c r="G126" s="468"/>
      <c r="H126" s="468"/>
      <c r="I126" s="468"/>
      <c r="J126" s="468"/>
      <c r="K126" s="468"/>
    </row>
    <row r="127" spans="1:11" ht="12.75" customHeight="1">
      <c r="A127" s="463" t="s">
        <v>107</v>
      </c>
      <c r="B127" s="562">
        <v>3120</v>
      </c>
      <c r="C127" s="466">
        <v>1732670</v>
      </c>
      <c r="D127" s="561"/>
      <c r="E127" s="468"/>
      <c r="F127" s="466"/>
      <c r="G127" s="468"/>
      <c r="H127" s="468"/>
      <c r="I127" s="468"/>
      <c r="J127" s="468"/>
      <c r="K127" s="468"/>
    </row>
    <row r="128" spans="1:11" ht="12.75" customHeight="1">
      <c r="A128" s="463" t="s">
        <v>1521</v>
      </c>
      <c r="B128" s="562">
        <v>3130</v>
      </c>
      <c r="C128" s="466">
        <v>148543</v>
      </c>
      <c r="D128" s="561"/>
      <c r="E128" s="468"/>
      <c r="F128" s="466"/>
      <c r="G128" s="468"/>
      <c r="H128" s="468"/>
      <c r="I128" s="468"/>
      <c r="J128" s="468"/>
      <c r="K128" s="468"/>
    </row>
    <row r="129" spans="1:11" ht="12.75" customHeight="1">
      <c r="A129" s="463" t="s">
        <v>139</v>
      </c>
      <c r="B129" s="562">
        <v>3145</v>
      </c>
      <c r="C129" s="466">
        <v>2183</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9" t="s">
        <v>1091</v>
      </c>
      <c r="B131" s="1741"/>
      <c r="C131" s="1728">
        <f>SUM(C124:C130)</f>
        <v>4421425</v>
      </c>
      <c r="D131" s="1728">
        <f>SUM(D124:D130)</f>
        <v>0</v>
      </c>
      <c r="E131" s="469" t="s">
        <v>1230</v>
      </c>
      <c r="F131" s="1728">
        <f>SUM(F124:F130)</f>
        <v>0</v>
      </c>
      <c r="G131" s="468" t="s">
        <v>1230</v>
      </c>
      <c r="H131" s="468" t="s">
        <v>1230</v>
      </c>
      <c r="I131" s="468" t="s">
        <v>1230</v>
      </c>
      <c r="J131" s="468" t="s">
        <v>1230</v>
      </c>
      <c r="K131" s="468" t="s">
        <v>1230</v>
      </c>
    </row>
    <row r="132" spans="1:11" ht="15.75" customHeight="1" thickTop="1">
      <c r="A132" s="1622" t="s">
        <v>268</v>
      </c>
      <c r="B132" s="1623"/>
      <c r="C132" s="553"/>
      <c r="D132" s="553"/>
      <c r="E132" s="509"/>
      <c r="F132" s="553"/>
      <c r="G132" s="468"/>
      <c r="H132" s="468"/>
      <c r="I132" s="468"/>
      <c r="J132" s="468"/>
      <c r="K132" s="468"/>
    </row>
    <row r="133" spans="1:11">
      <c r="A133" s="463" t="s">
        <v>619</v>
      </c>
      <c r="B133" s="562">
        <v>3200</v>
      </c>
      <c r="C133" s="551"/>
      <c r="D133" s="466"/>
      <c r="E133" s="561"/>
      <c r="F133" s="468"/>
      <c r="G133" s="466"/>
      <c r="H133" s="468"/>
      <c r="I133" s="468"/>
      <c r="J133" s="468"/>
      <c r="K133" s="468"/>
    </row>
    <row r="134" spans="1:11" ht="12.75" customHeight="1">
      <c r="A134" s="463" t="s">
        <v>689</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620</v>
      </c>
      <c r="B136" s="562">
        <v>3235</v>
      </c>
      <c r="C136" s="489"/>
      <c r="D136" s="467"/>
      <c r="E136" s="561"/>
      <c r="F136" s="468"/>
      <c r="G136" s="467"/>
      <c r="H136" s="468"/>
      <c r="I136" s="468"/>
      <c r="J136" s="468"/>
      <c r="K136" s="468"/>
    </row>
    <row r="137" spans="1:11" ht="12.75" customHeight="1">
      <c r="A137" s="463" t="s">
        <v>621</v>
      </c>
      <c r="B137" s="562">
        <v>3240</v>
      </c>
      <c r="C137" s="489"/>
      <c r="D137" s="467"/>
      <c r="E137" s="561"/>
      <c r="F137" s="468"/>
      <c r="G137" s="467"/>
      <c r="H137" s="468"/>
      <c r="I137" s="468"/>
      <c r="J137" s="468"/>
      <c r="K137" s="468"/>
    </row>
    <row r="138" spans="1:11" ht="12.75" customHeight="1">
      <c r="A138" s="463" t="s">
        <v>622</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9" t="s">
        <v>623</v>
      </c>
      <c r="B140" s="1741"/>
      <c r="C140" s="1728">
        <f>SUM(C133:C139)</f>
        <v>0</v>
      </c>
      <c r="D140" s="1728">
        <f>SUM(D133:D139)</f>
        <v>0</v>
      </c>
      <c r="E140" s="561" t="s">
        <v>1230</v>
      </c>
      <c r="F140" s="477"/>
      <c r="G140" s="1728">
        <f>SUM(G133:G139)</f>
        <v>0</v>
      </c>
      <c r="H140" s="468" t="s">
        <v>1230</v>
      </c>
      <c r="I140" s="468" t="s">
        <v>1230</v>
      </c>
      <c r="J140" s="468" t="s">
        <v>1230</v>
      </c>
      <c r="K140" s="468" t="s">
        <v>1230</v>
      </c>
    </row>
    <row r="141" spans="1:11" ht="15.75" customHeight="1" thickTop="1">
      <c r="A141" s="1622" t="s">
        <v>690</v>
      </c>
      <c r="B141" s="1623"/>
      <c r="C141" s="553"/>
      <c r="D141" s="566"/>
      <c r="E141" s="561"/>
      <c r="F141" s="553"/>
      <c r="G141" s="553"/>
      <c r="H141" s="468"/>
      <c r="I141" s="468"/>
      <c r="J141" s="468"/>
      <c r="K141" s="468"/>
    </row>
    <row r="142" spans="1:11" ht="12.75" customHeight="1">
      <c r="A142" s="463" t="s">
        <v>624</v>
      </c>
      <c r="B142" s="562">
        <v>3305</v>
      </c>
      <c r="C142" s="466">
        <v>312630</v>
      </c>
      <c r="D142" s="468"/>
      <c r="E142" s="561"/>
      <c r="F142" s="468"/>
      <c r="G142" s="466"/>
      <c r="H142" s="468"/>
      <c r="I142" s="468"/>
      <c r="J142" s="468"/>
      <c r="K142" s="468"/>
    </row>
    <row r="143" spans="1:11" ht="12.75" customHeight="1">
      <c r="A143" s="463" t="s">
        <v>364</v>
      </c>
      <c r="B143" s="562">
        <v>3310</v>
      </c>
      <c r="C143" s="551"/>
      <c r="D143" s="468"/>
      <c r="E143" s="561"/>
      <c r="F143" s="468"/>
      <c r="G143" s="466"/>
      <c r="H143" s="468"/>
      <c r="I143" s="468"/>
      <c r="J143" s="468"/>
      <c r="K143" s="468"/>
    </row>
    <row r="144" spans="1:11" s="202" customFormat="1" ht="13.5" thickBot="1">
      <c r="A144" s="1729" t="s">
        <v>413</v>
      </c>
      <c r="B144" s="1741"/>
      <c r="C144" s="1709">
        <f>SUM(C142:C143)</f>
        <v>312630</v>
      </c>
      <c r="D144" s="468"/>
      <c r="E144" s="509"/>
      <c r="F144" s="468"/>
      <c r="G144" s="1742">
        <f>SUM(G142:G143)</f>
        <v>0</v>
      </c>
      <c r="H144" s="468"/>
      <c r="I144" s="468"/>
      <c r="J144" s="468"/>
      <c r="K144" s="468"/>
    </row>
    <row r="145" spans="1:11" s="202" customFormat="1" ht="12.75" customHeight="1" thickTop="1">
      <c r="A145" s="1520" t="s">
        <v>1115</v>
      </c>
      <c r="B145" s="568">
        <v>3360</v>
      </c>
      <c r="C145" s="569">
        <v>18348</v>
      </c>
      <c r="D145" s="570"/>
      <c r="E145" s="509"/>
      <c r="F145" s="468"/>
      <c r="G145" s="571"/>
      <c r="H145" s="468"/>
      <c r="I145" s="468"/>
      <c r="J145" s="468"/>
      <c r="K145" s="468"/>
    </row>
    <row r="146" spans="1:11" ht="12.75" customHeight="1" thickBot="1">
      <c r="A146" s="1521" t="s">
        <v>978</v>
      </c>
      <c r="B146" s="572">
        <v>3365</v>
      </c>
      <c r="C146" s="573"/>
      <c r="D146" s="532"/>
      <c r="E146" s="561"/>
      <c r="F146" s="468"/>
      <c r="G146" s="532"/>
      <c r="H146" s="468"/>
      <c r="I146" s="468"/>
      <c r="J146" s="468"/>
      <c r="K146" s="468"/>
    </row>
    <row r="147" spans="1:11" ht="12.75" customHeight="1" thickTop="1" thickBot="1">
      <c r="A147" s="1522" t="s">
        <v>140</v>
      </c>
      <c r="B147" s="574">
        <v>3370</v>
      </c>
      <c r="C147" s="573"/>
      <c r="D147" s="573"/>
      <c r="E147" s="509"/>
      <c r="F147" s="468"/>
      <c r="G147" s="468"/>
      <c r="H147" s="468"/>
      <c r="I147" s="468"/>
      <c r="J147" s="468"/>
      <c r="K147" s="468"/>
    </row>
    <row r="148" spans="1:11" ht="12.75" customHeight="1" thickTop="1" thickBot="1">
      <c r="A148" s="1522" t="s">
        <v>790</v>
      </c>
      <c r="B148" s="574">
        <v>3410</v>
      </c>
      <c r="C148" s="575"/>
      <c r="D148" s="576"/>
      <c r="E148" s="577"/>
      <c r="F148" s="530"/>
      <c r="G148" s="530"/>
      <c r="H148" s="530"/>
      <c r="I148" s="530"/>
      <c r="J148" s="530"/>
      <c r="K148" s="530"/>
    </row>
    <row r="149" spans="1:11" ht="12.75" customHeight="1" thickTop="1" thickBot="1">
      <c r="A149" s="1522" t="s">
        <v>70</v>
      </c>
      <c r="B149" s="574">
        <v>3499</v>
      </c>
      <c r="C149" s="575"/>
      <c r="D149" s="576"/>
      <c r="E149" s="532"/>
      <c r="F149" s="532"/>
      <c r="G149" s="532"/>
      <c r="H149" s="532"/>
      <c r="I149" s="532"/>
      <c r="J149" s="532"/>
      <c r="K149" s="532"/>
    </row>
    <row r="150" spans="1:11" ht="15.75" customHeight="1" thickTop="1">
      <c r="A150" s="1622" t="s">
        <v>472</v>
      </c>
      <c r="B150" s="1624"/>
      <c r="C150" s="553"/>
      <c r="D150" s="468"/>
      <c r="E150" s="561"/>
      <c r="F150" s="468"/>
      <c r="G150" s="468"/>
      <c r="H150" s="468"/>
      <c r="I150" s="468"/>
      <c r="J150" s="468"/>
      <c r="K150" s="468"/>
    </row>
    <row r="151" spans="1:11" ht="12.75" customHeight="1">
      <c r="A151" s="463" t="s">
        <v>1522</v>
      </c>
      <c r="B151" s="562">
        <v>3500</v>
      </c>
      <c r="C151" s="551"/>
      <c r="D151" s="466"/>
      <c r="E151" s="561"/>
      <c r="F151" s="466">
        <v>29661</v>
      </c>
      <c r="G151" s="467"/>
      <c r="H151" s="468"/>
      <c r="I151" s="468"/>
      <c r="J151" s="468"/>
      <c r="K151" s="468"/>
    </row>
    <row r="152" spans="1:11" ht="12.75" customHeight="1">
      <c r="A152" s="463" t="s">
        <v>1116</v>
      </c>
      <c r="B152" s="562">
        <v>3510</v>
      </c>
      <c r="C152" s="551"/>
      <c r="D152" s="466"/>
      <c r="E152" s="561"/>
      <c r="F152" s="466">
        <v>1414771</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9" t="s">
        <v>96</v>
      </c>
      <c r="B154" s="1741"/>
      <c r="C154" s="1728">
        <f>SUM(C151:C153)</f>
        <v>0</v>
      </c>
      <c r="D154" s="1728">
        <f>SUM(D151:D153)</f>
        <v>0</v>
      </c>
      <c r="E154" s="561"/>
      <c r="F154" s="1728">
        <f>SUM(F151:F153)</f>
        <v>1444432</v>
      </c>
      <c r="G154" s="1728">
        <f>SUM(G151:G153)</f>
        <v>0</v>
      </c>
      <c r="H154" s="468"/>
      <c r="I154" s="468"/>
      <c r="J154" s="468"/>
      <c r="K154" s="468"/>
    </row>
    <row r="155" spans="1:11" ht="12.75" customHeight="1" thickTop="1" thickBot="1">
      <c r="A155" s="1522" t="s">
        <v>397</v>
      </c>
      <c r="B155" s="574">
        <v>3610</v>
      </c>
      <c r="C155" s="576"/>
      <c r="D155" s="468"/>
      <c r="E155" s="509"/>
      <c r="F155" s="468"/>
      <c r="G155" s="468"/>
      <c r="H155" s="468"/>
      <c r="I155" s="468"/>
      <c r="J155" s="468"/>
      <c r="K155" s="468"/>
    </row>
    <row r="156" spans="1:11" ht="12.75" customHeight="1" thickTop="1" thickBot="1">
      <c r="A156" s="1522" t="s">
        <v>52</v>
      </c>
      <c r="B156" s="574">
        <v>3660</v>
      </c>
      <c r="C156" s="573"/>
      <c r="D156" s="578"/>
      <c r="E156" s="561"/>
      <c r="F156" s="578"/>
      <c r="G156" s="578"/>
      <c r="H156" s="468"/>
      <c r="I156" s="468"/>
      <c r="J156" s="468"/>
      <c r="K156" s="468"/>
    </row>
    <row r="157" spans="1:11" ht="12.75" customHeight="1" thickTop="1" thickBot="1">
      <c r="A157" s="1522" t="s">
        <v>1056</v>
      </c>
      <c r="B157" s="574">
        <v>3695</v>
      </c>
      <c r="C157" s="576">
        <v>102000</v>
      </c>
      <c r="D157" s="468"/>
      <c r="E157" s="561"/>
      <c r="F157" s="576"/>
      <c r="G157" s="576"/>
      <c r="H157" s="468"/>
      <c r="I157" s="468"/>
      <c r="J157" s="468"/>
      <c r="K157" s="468"/>
    </row>
    <row r="158" spans="1:11" ht="12.75" customHeight="1" thickTop="1" thickBot="1">
      <c r="A158" s="1522" t="s">
        <v>1110</v>
      </c>
      <c r="B158" s="574">
        <v>3705</v>
      </c>
      <c r="C158" s="576">
        <v>2031061</v>
      </c>
      <c r="D158" s="578">
        <v>5467</v>
      </c>
      <c r="E158" s="561"/>
      <c r="F158" s="576">
        <v>117807</v>
      </c>
      <c r="G158" s="576"/>
      <c r="H158" s="468"/>
      <c r="I158" s="468"/>
      <c r="J158" s="468"/>
      <c r="K158" s="468"/>
    </row>
    <row r="159" spans="1:11" ht="12.75" customHeight="1" thickTop="1" thickBot="1">
      <c r="A159" s="1522" t="s">
        <v>39</v>
      </c>
      <c r="B159" s="574">
        <v>3715</v>
      </c>
      <c r="C159" s="576"/>
      <c r="D159" s="468"/>
      <c r="E159" s="561"/>
      <c r="F159" s="576"/>
      <c r="G159" s="576"/>
      <c r="H159" s="468"/>
      <c r="I159" s="468"/>
      <c r="J159" s="468"/>
      <c r="K159" s="468"/>
    </row>
    <row r="160" spans="1:11" ht="12.75" customHeight="1" thickTop="1" thickBot="1">
      <c r="A160" s="1522" t="s">
        <v>40</v>
      </c>
      <c r="B160" s="574">
        <v>3720</v>
      </c>
      <c r="C160" s="576"/>
      <c r="D160" s="468"/>
      <c r="E160" s="561"/>
      <c r="F160" s="576"/>
      <c r="G160" s="576"/>
      <c r="H160" s="468"/>
      <c r="I160" s="468"/>
      <c r="J160" s="468"/>
      <c r="K160" s="468"/>
    </row>
    <row r="161" spans="1:11" ht="12.75" customHeight="1" thickTop="1" thickBot="1">
      <c r="A161" s="1522" t="s">
        <v>414</v>
      </c>
      <c r="B161" s="574">
        <v>3725</v>
      </c>
      <c r="C161" s="531"/>
      <c r="D161" s="468"/>
      <c r="E161" s="561"/>
      <c r="F161" s="531"/>
      <c r="G161" s="531"/>
      <c r="H161" s="468"/>
      <c r="I161" s="468"/>
      <c r="J161" s="468"/>
      <c r="K161" s="468"/>
    </row>
    <row r="162" spans="1:11" ht="12.75" customHeight="1" thickTop="1" thickBot="1">
      <c r="A162" s="1522" t="s">
        <v>415</v>
      </c>
      <c r="B162" s="574">
        <v>3726</v>
      </c>
      <c r="C162" s="531"/>
      <c r="D162" s="468"/>
      <c r="E162" s="561"/>
      <c r="F162" s="531"/>
      <c r="G162" s="531"/>
      <c r="H162" s="468"/>
      <c r="I162" s="468"/>
      <c r="J162" s="468"/>
      <c r="K162" s="468"/>
    </row>
    <row r="163" spans="1:11" ht="12.75" customHeight="1" thickTop="1" thickBot="1">
      <c r="A163" s="1522" t="s">
        <v>41</v>
      </c>
      <c r="B163" s="574">
        <v>3766</v>
      </c>
      <c r="C163" s="576"/>
      <c r="D163" s="578"/>
      <c r="E163" s="561"/>
      <c r="F163" s="576"/>
      <c r="G163" s="531"/>
      <c r="H163" s="468"/>
      <c r="I163" s="468"/>
      <c r="J163" s="468"/>
      <c r="K163" s="468"/>
    </row>
    <row r="164" spans="1:11" ht="12.75" customHeight="1" thickTop="1" thickBot="1">
      <c r="A164" s="1522" t="s">
        <v>1041</v>
      </c>
      <c r="B164" s="574">
        <v>3767</v>
      </c>
      <c r="C164" s="576"/>
      <c r="D164" s="531"/>
      <c r="E164" s="561"/>
      <c r="F164" s="531"/>
      <c r="G164" s="531"/>
      <c r="H164" s="468"/>
      <c r="I164" s="468"/>
      <c r="J164" s="468"/>
      <c r="K164" s="468"/>
    </row>
    <row r="165" spans="1:11" ht="12.75" customHeight="1" thickTop="1" thickBot="1">
      <c r="A165" s="1522" t="s">
        <v>1042</v>
      </c>
      <c r="B165" s="574">
        <v>3775</v>
      </c>
      <c r="C165" s="576"/>
      <c r="D165" s="573"/>
      <c r="E165" s="530"/>
      <c r="F165" s="573"/>
      <c r="G165" s="532"/>
      <c r="H165" s="530"/>
      <c r="I165" s="468"/>
      <c r="J165" s="468"/>
      <c r="K165" s="530"/>
    </row>
    <row r="166" spans="1:11" ht="12.75" customHeight="1" thickTop="1" thickBot="1">
      <c r="A166" s="1522" t="s">
        <v>1523</v>
      </c>
      <c r="B166" s="574">
        <v>3780</v>
      </c>
      <c r="C166" s="531"/>
      <c r="D166" s="530"/>
      <c r="E166" s="531"/>
      <c r="F166" s="531"/>
      <c r="G166" s="531"/>
      <c r="H166" s="531"/>
      <c r="I166" s="468"/>
      <c r="J166" s="468"/>
      <c r="K166" s="531"/>
    </row>
    <row r="167" spans="1:11" ht="12.75" customHeight="1" thickTop="1" thickBot="1">
      <c r="A167" s="1522" t="s">
        <v>912</v>
      </c>
      <c r="B167" s="574">
        <v>3815</v>
      </c>
      <c r="C167" s="576"/>
      <c r="D167" s="468"/>
      <c r="E167" s="561"/>
      <c r="F167" s="576"/>
      <c r="G167" s="468"/>
      <c r="H167" s="468"/>
      <c r="I167" s="468"/>
      <c r="J167" s="468"/>
      <c r="K167" s="468"/>
    </row>
    <row r="168" spans="1:11" ht="12.75" customHeight="1" thickTop="1" thickBot="1">
      <c r="A168" s="1522" t="s">
        <v>416</v>
      </c>
      <c r="B168" s="574">
        <v>3825</v>
      </c>
      <c r="C168" s="576"/>
      <c r="D168" s="468"/>
      <c r="E168" s="561"/>
      <c r="F168" s="576"/>
      <c r="G168" s="468"/>
      <c r="H168" s="468"/>
      <c r="I168" s="468"/>
      <c r="J168" s="468"/>
      <c r="K168" s="468"/>
    </row>
    <row r="169" spans="1:11" ht="12.75" customHeight="1" thickTop="1" thickBot="1">
      <c r="A169" s="1522" t="s">
        <v>365</v>
      </c>
      <c r="B169" s="574">
        <v>3920</v>
      </c>
      <c r="C169" s="566"/>
      <c r="D169" s="578"/>
      <c r="E169" s="468"/>
      <c r="F169" s="566"/>
      <c r="G169" s="468"/>
      <c r="H169" s="530"/>
      <c r="I169" s="468"/>
      <c r="J169" s="468"/>
      <c r="K169" s="468"/>
    </row>
    <row r="170" spans="1:11" ht="12.75" customHeight="1" thickTop="1" thickBot="1">
      <c r="A170" s="1522" t="s">
        <v>366</v>
      </c>
      <c r="B170" s="574">
        <v>3925</v>
      </c>
      <c r="C170" s="521"/>
      <c r="D170" s="576"/>
      <c r="E170" s="521"/>
      <c r="F170" s="521"/>
      <c r="G170" s="468"/>
      <c r="H170" s="531"/>
      <c r="I170" s="468"/>
      <c r="J170" s="468"/>
      <c r="K170" s="530"/>
    </row>
    <row r="171" spans="1:11" ht="14.25" thickTop="1" thickBot="1">
      <c r="A171" s="1522" t="s">
        <v>72</v>
      </c>
      <c r="B171" s="574">
        <v>3999</v>
      </c>
      <c r="C171" s="579">
        <v>38320</v>
      </c>
      <c r="D171" s="580"/>
      <c r="E171" s="580"/>
      <c r="F171" s="580"/>
      <c r="G171" s="581"/>
      <c r="H171" s="582"/>
      <c r="I171" s="581"/>
      <c r="J171" s="581"/>
      <c r="K171" s="582"/>
    </row>
    <row r="172" spans="1:11" ht="12.75" customHeight="1" thickTop="1" thickBot="1">
      <c r="A172" s="2281" t="s">
        <v>417</v>
      </c>
      <c r="B172" s="2282"/>
      <c r="C172" s="1743">
        <f t="shared" ref="C172:K172" si="6">SUM(C131,C140,C144,C145:C149,C154,C155:C170,C171)</f>
        <v>6923784</v>
      </c>
      <c r="D172" s="1743">
        <f t="shared" si="6"/>
        <v>5467</v>
      </c>
      <c r="E172" s="1743">
        <f t="shared" si="6"/>
        <v>0</v>
      </c>
      <c r="F172" s="1743">
        <f t="shared" si="6"/>
        <v>1562239</v>
      </c>
      <c r="G172" s="1743">
        <f t="shared" si="6"/>
        <v>0</v>
      </c>
      <c r="H172" s="1743">
        <f t="shared" si="6"/>
        <v>0</v>
      </c>
      <c r="I172" s="1743">
        <f t="shared" si="6"/>
        <v>0</v>
      </c>
      <c r="J172" s="1743">
        <f t="shared" si="6"/>
        <v>0</v>
      </c>
      <c r="K172" s="1724">
        <f t="shared" si="6"/>
        <v>0</v>
      </c>
    </row>
    <row r="173" spans="1:11" ht="12.75" customHeight="1" thickTop="1" thickBot="1">
      <c r="A173" s="1729" t="s">
        <v>418</v>
      </c>
      <c r="B173" s="1735" t="s">
        <v>595</v>
      </c>
      <c r="C173" s="1736">
        <f>SUM(C121,C172)</f>
        <v>14804161</v>
      </c>
      <c r="D173" s="1736">
        <f>SUM(D121,D172)</f>
        <v>5467</v>
      </c>
      <c r="E173" s="1736">
        <f>SUM(E121,E172)</f>
        <v>0</v>
      </c>
      <c r="F173" s="1736">
        <f t="shared" ref="F173:K173" si="7">SUM(F121,F172)</f>
        <v>1562239</v>
      </c>
      <c r="G173" s="1736">
        <f t="shared" si="7"/>
        <v>0</v>
      </c>
      <c r="H173" s="1736">
        <f t="shared" si="7"/>
        <v>0</v>
      </c>
      <c r="I173" s="1736">
        <f t="shared" si="7"/>
        <v>0</v>
      </c>
      <c r="J173" s="1736">
        <f t="shared" si="7"/>
        <v>0</v>
      </c>
      <c r="K173" s="1723">
        <f t="shared" si="7"/>
        <v>0</v>
      </c>
    </row>
    <row r="174" spans="1:11" ht="16.7" customHeight="1" thickTop="1">
      <c r="A174" s="1611" t="s">
        <v>836</v>
      </c>
      <c r="B174" s="1589"/>
      <c r="C174" s="1592"/>
      <c r="D174" s="1593"/>
      <c r="E174" s="1593"/>
      <c r="F174" s="1593"/>
      <c r="G174" s="1593"/>
      <c r="H174" s="1593"/>
      <c r="I174" s="1593"/>
      <c r="J174" s="1593"/>
      <c r="K174" s="1594"/>
    </row>
    <row r="175" spans="1:11" ht="15.75" customHeight="1">
      <c r="A175" s="2283" t="s">
        <v>1571</v>
      </c>
      <c r="B175" s="2284"/>
      <c r="C175" s="520"/>
      <c r="D175" s="520"/>
      <c r="E175" s="509"/>
      <c r="F175" s="468"/>
      <c r="G175" s="468"/>
      <c r="H175" s="468"/>
      <c r="I175" s="468"/>
      <c r="J175" s="468"/>
      <c r="K175" s="468"/>
    </row>
    <row r="176" spans="1:11" ht="12.6" customHeight="1">
      <c r="A176" s="493" t="s">
        <v>1103</v>
      </c>
      <c r="B176" s="491">
        <v>4001</v>
      </c>
      <c r="C176" s="516"/>
      <c r="D176" s="481"/>
      <c r="E176" s="467"/>
      <c r="F176" s="466"/>
      <c r="G176" s="466"/>
      <c r="H176" s="467"/>
      <c r="I176" s="467"/>
      <c r="J176" s="467"/>
      <c r="K176" s="467"/>
    </row>
    <row r="177" spans="1:11" ht="22.5">
      <c r="A177" s="563" t="s">
        <v>837</v>
      </c>
      <c r="B177" s="583">
        <v>4009</v>
      </c>
      <c r="C177" s="551"/>
      <c r="D177" s="466"/>
      <c r="E177" s="467"/>
      <c r="F177" s="466"/>
      <c r="G177" s="466"/>
      <c r="H177" s="467"/>
      <c r="I177" s="467"/>
      <c r="J177" s="467"/>
      <c r="K177" s="467"/>
    </row>
    <row r="178" spans="1:11" ht="13.5" thickBot="1">
      <c r="A178" s="2287" t="s">
        <v>1763</v>
      </c>
      <c r="B178" s="228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c r="A179" s="2291" t="s">
        <v>1762</v>
      </c>
      <c r="B179" s="2292"/>
      <c r="C179" s="599"/>
      <c r="D179" s="600"/>
      <c r="E179" s="601"/>
      <c r="F179" s="602"/>
      <c r="G179" s="602"/>
      <c r="H179" s="602"/>
      <c r="I179" s="602"/>
      <c r="J179" s="602"/>
      <c r="K179" s="602"/>
    </row>
    <row r="180" spans="1:11" ht="12.75" customHeight="1">
      <c r="A180" s="463" t="s">
        <v>1104</v>
      </c>
      <c r="B180" s="470">
        <v>4045</v>
      </c>
      <c r="C180" s="551">
        <v>1585740</v>
      </c>
      <c r="D180" s="468"/>
      <c r="E180" s="561"/>
      <c r="F180" s="468"/>
      <c r="G180" s="468"/>
      <c r="H180" s="468"/>
      <c r="I180" s="468"/>
      <c r="J180" s="468"/>
      <c r="K180" s="468"/>
    </row>
    <row r="181" spans="1:11" ht="12.75" customHeight="1">
      <c r="A181" s="463" t="s">
        <v>1105</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818</v>
      </c>
      <c r="B183" s="583">
        <v>4090</v>
      </c>
      <c r="C183" s="551">
        <v>968469</v>
      </c>
      <c r="D183" s="466"/>
      <c r="E183" s="468"/>
      <c r="F183" s="466"/>
      <c r="G183" s="466"/>
      <c r="H183" s="466"/>
      <c r="I183" s="468"/>
      <c r="J183" s="468"/>
      <c r="K183" s="466"/>
    </row>
    <row r="184" spans="1:11" ht="13.5" thickBot="1">
      <c r="A184" s="2289" t="s">
        <v>817</v>
      </c>
      <c r="B184" s="2290"/>
      <c r="C184" s="1728">
        <f>SUM(C180:C183)</f>
        <v>2554209</v>
      </c>
      <c r="D184" s="1728">
        <f>SUM(D180:D183)</f>
        <v>0</v>
      </c>
      <c r="E184" s="468"/>
      <c r="F184" s="1728">
        <f>SUM(F180:F183)</f>
        <v>0</v>
      </c>
      <c r="G184" s="1728">
        <f>SUM(G180:G183)</f>
        <v>0</v>
      </c>
      <c r="H184" s="1728">
        <f>SUM(H180:H183)</f>
        <v>0</v>
      </c>
      <c r="I184" s="468"/>
      <c r="J184" s="468"/>
      <c r="K184" s="1709">
        <f>SUM(K180:K183)</f>
        <v>0</v>
      </c>
    </row>
    <row r="185" spans="1:11" ht="22.5" customHeight="1" thickTop="1">
      <c r="A185" s="2285" t="s">
        <v>1902</v>
      </c>
      <c r="B185" s="2286"/>
      <c r="C185" s="584"/>
      <c r="D185" s="566"/>
      <c r="E185" s="509"/>
      <c r="F185" s="566"/>
      <c r="G185" s="566"/>
      <c r="H185" s="468"/>
      <c r="I185" s="468"/>
      <c r="J185" s="468"/>
      <c r="K185" s="468"/>
    </row>
    <row r="186" spans="1:11" ht="15.75" customHeight="1">
      <c r="A186" s="1625" t="s">
        <v>1691</v>
      </c>
      <c r="B186" s="1626"/>
      <c r="C186" s="522"/>
      <c r="D186" s="521"/>
      <c r="E186" s="509"/>
      <c r="F186" s="521"/>
      <c r="G186" s="521"/>
      <c r="H186" s="468"/>
      <c r="I186" s="468"/>
      <c r="J186" s="468"/>
      <c r="K186" s="468"/>
    </row>
    <row r="187" spans="1:11" ht="12.75" customHeight="1">
      <c r="A187" s="463" t="s">
        <v>1692</v>
      </c>
      <c r="B187" s="470">
        <v>4100</v>
      </c>
      <c r="C187" s="516"/>
      <c r="D187" s="481"/>
      <c r="E187" s="561"/>
      <c r="F187" s="481"/>
      <c r="G187" s="481"/>
      <c r="H187" s="468"/>
      <c r="I187" s="468"/>
      <c r="J187" s="468"/>
      <c r="K187" s="468"/>
    </row>
    <row r="188" spans="1:11" ht="12.75" customHeight="1">
      <c r="A188" s="463" t="s">
        <v>1693</v>
      </c>
      <c r="B188" s="470">
        <v>4105</v>
      </c>
      <c r="C188" s="551"/>
      <c r="D188" s="466"/>
      <c r="E188" s="561"/>
      <c r="F188" s="466"/>
      <c r="G188" s="466"/>
      <c r="H188" s="468"/>
      <c r="I188" s="468"/>
      <c r="J188" s="468"/>
      <c r="K188" s="468"/>
    </row>
    <row r="189" spans="1:11" ht="12.75" customHeight="1">
      <c r="A189" s="463" t="s">
        <v>1695</v>
      </c>
      <c r="B189" s="470">
        <v>4107</v>
      </c>
      <c r="C189" s="551"/>
      <c r="D189" s="466"/>
      <c r="E189" s="561"/>
      <c r="F189" s="466"/>
      <c r="G189" s="466"/>
      <c r="H189" s="468"/>
      <c r="I189" s="468"/>
      <c r="J189" s="468"/>
      <c r="K189" s="468"/>
    </row>
    <row r="190" spans="1:11" ht="12.75" customHeight="1">
      <c r="A190" s="463" t="s">
        <v>1694</v>
      </c>
      <c r="B190" s="470">
        <v>4199</v>
      </c>
      <c r="C190" s="551">
        <v>52599</v>
      </c>
      <c r="D190" s="466"/>
      <c r="E190" s="561"/>
      <c r="F190" s="466"/>
      <c r="G190" s="466"/>
      <c r="H190" s="468"/>
      <c r="I190" s="468"/>
      <c r="J190" s="468"/>
      <c r="K190" s="468"/>
    </row>
    <row r="191" spans="1:11" ht="12.75" customHeight="1" thickBot="1">
      <c r="A191" s="1729" t="s">
        <v>1696</v>
      </c>
      <c r="B191" s="1730"/>
      <c r="C191" s="1728">
        <f>SUM(C187:C190)</f>
        <v>52599</v>
      </c>
      <c r="D191" s="1728">
        <f>SUM(D187:D190)</f>
        <v>0</v>
      </c>
      <c r="E191" s="561"/>
      <c r="F191" s="1728">
        <f>SUM(F187:F190)</f>
        <v>0</v>
      </c>
      <c r="G191" s="1728">
        <f>SUM(G187:G190)</f>
        <v>0</v>
      </c>
      <c r="H191" s="468"/>
      <c r="I191" s="468"/>
      <c r="J191" s="468"/>
      <c r="K191" s="468"/>
    </row>
    <row r="192" spans="1:11" ht="15.75" customHeight="1" thickTop="1">
      <c r="A192" s="1622" t="s">
        <v>474</v>
      </c>
      <c r="B192" s="1627"/>
      <c r="C192" s="553"/>
      <c r="D192" s="566"/>
      <c r="E192" s="561"/>
      <c r="F192" s="553"/>
      <c r="G192" s="553"/>
      <c r="H192" s="468"/>
      <c r="I192" s="468"/>
      <c r="J192" s="468"/>
      <c r="K192" s="468"/>
    </row>
    <row r="193" spans="1:11">
      <c r="A193" s="463" t="s">
        <v>1524</v>
      </c>
      <c r="B193" s="470">
        <v>4200</v>
      </c>
      <c r="C193" s="467"/>
      <c r="D193" s="468"/>
      <c r="E193" s="561"/>
      <c r="F193" s="553"/>
      <c r="G193" s="585"/>
      <c r="H193" s="468"/>
      <c r="I193" s="468"/>
      <c r="J193" s="468"/>
      <c r="K193" s="468"/>
    </row>
    <row r="194" spans="1:11" ht="12.75" customHeight="1">
      <c r="A194" s="463" t="s">
        <v>1117</v>
      </c>
      <c r="B194" s="470">
        <v>4210</v>
      </c>
      <c r="C194" s="466">
        <v>1168756</v>
      </c>
      <c r="D194" s="468"/>
      <c r="E194" s="561"/>
      <c r="F194" s="468"/>
      <c r="G194" s="585"/>
      <c r="H194" s="468"/>
      <c r="I194" s="468"/>
      <c r="J194" s="468"/>
      <c r="K194" s="468"/>
    </row>
    <row r="195" spans="1:11" ht="12.75" customHeight="1">
      <c r="A195" s="463" t="s">
        <v>1106</v>
      </c>
      <c r="B195" s="470">
        <v>4215</v>
      </c>
      <c r="C195" s="551"/>
      <c r="D195" s="468"/>
      <c r="E195" s="561"/>
      <c r="F195" s="468"/>
      <c r="G195" s="585"/>
      <c r="H195" s="468"/>
      <c r="I195" s="468"/>
      <c r="J195" s="468"/>
      <c r="K195" s="468"/>
    </row>
    <row r="196" spans="1:11" ht="12.75" customHeight="1">
      <c r="A196" s="463" t="s">
        <v>1118</v>
      </c>
      <c r="B196" s="470">
        <v>4220</v>
      </c>
      <c r="C196" s="551">
        <v>101602</v>
      </c>
      <c r="D196" s="468"/>
      <c r="E196" s="561"/>
      <c r="F196" s="468"/>
      <c r="G196" s="585"/>
      <c r="H196" s="468"/>
      <c r="I196" s="468"/>
      <c r="J196" s="468"/>
      <c r="K196" s="468"/>
    </row>
    <row r="197" spans="1:11" ht="12.75" customHeight="1">
      <c r="A197" s="463" t="s">
        <v>1525</v>
      </c>
      <c r="B197" s="470">
        <v>4225</v>
      </c>
      <c r="C197" s="551"/>
      <c r="D197" s="468"/>
      <c r="E197" s="561"/>
      <c r="F197" s="468"/>
      <c r="G197" s="585"/>
      <c r="H197" s="468"/>
      <c r="I197" s="468"/>
      <c r="J197" s="468"/>
      <c r="K197" s="468"/>
    </row>
    <row r="198" spans="1:11" ht="12.75" customHeight="1">
      <c r="A198" s="463" t="s">
        <v>1526</v>
      </c>
      <c r="B198" s="470">
        <v>4226</v>
      </c>
      <c r="C198" s="551">
        <v>161685</v>
      </c>
      <c r="D198" s="468"/>
      <c r="E198" s="561"/>
      <c r="F198" s="468"/>
      <c r="G198" s="585"/>
      <c r="H198" s="468"/>
      <c r="I198" s="468"/>
      <c r="J198" s="468"/>
      <c r="K198" s="468"/>
    </row>
    <row r="199" spans="1:11" ht="12.75" customHeight="1">
      <c r="A199" s="463" t="s">
        <v>824</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9" t="s">
        <v>568</v>
      </c>
      <c r="B201" s="1730"/>
      <c r="C201" s="1709">
        <f>SUM(C193:C200)</f>
        <v>1432043</v>
      </c>
      <c r="D201" s="468"/>
      <c r="E201" s="468"/>
      <c r="F201" s="468"/>
      <c r="G201" s="1709">
        <f>SUM(G193:G200)</f>
        <v>0</v>
      </c>
      <c r="H201" s="468"/>
      <c r="I201" s="468"/>
      <c r="J201" s="468"/>
      <c r="K201" s="468"/>
    </row>
    <row r="202" spans="1:11" ht="15.75" customHeight="1" thickTop="1">
      <c r="A202" s="1622" t="s">
        <v>1199</v>
      </c>
      <c r="B202" s="1627"/>
      <c r="C202" s="553"/>
      <c r="D202" s="468"/>
      <c r="E202" s="468"/>
      <c r="F202" s="468"/>
      <c r="G202" s="468"/>
      <c r="H202" s="468"/>
      <c r="I202" s="468"/>
      <c r="J202" s="468"/>
      <c r="K202" s="468"/>
    </row>
    <row r="203" spans="1:11" ht="12.75" customHeight="1">
      <c r="A203" s="463" t="s">
        <v>973</v>
      </c>
      <c r="B203" s="470">
        <v>4300</v>
      </c>
      <c r="C203" s="466">
        <v>1071857</v>
      </c>
      <c r="D203" s="466"/>
      <c r="E203" s="468"/>
      <c r="F203" s="466"/>
      <c r="G203" s="466"/>
      <c r="H203" s="468"/>
      <c r="I203" s="468"/>
      <c r="J203" s="468"/>
      <c r="K203" s="468"/>
    </row>
    <row r="204" spans="1:11" ht="12.75" customHeight="1">
      <c r="A204" s="463" t="s">
        <v>974</v>
      </c>
      <c r="B204" s="470">
        <v>4305</v>
      </c>
      <c r="C204" s="551"/>
      <c r="D204" s="466"/>
      <c r="E204" s="468"/>
      <c r="F204" s="466"/>
      <c r="G204" s="466"/>
      <c r="H204" s="468"/>
      <c r="I204" s="468"/>
      <c r="J204" s="468"/>
      <c r="K204" s="468"/>
    </row>
    <row r="205" spans="1:11" ht="12.75" customHeight="1">
      <c r="A205" s="463" t="s">
        <v>975</v>
      </c>
      <c r="B205" s="470">
        <v>4332</v>
      </c>
      <c r="C205" s="551"/>
      <c r="D205" s="466"/>
      <c r="E205" s="468"/>
      <c r="F205" s="466"/>
      <c r="G205" s="466"/>
      <c r="H205" s="468"/>
      <c r="I205" s="468"/>
      <c r="J205" s="468"/>
      <c r="K205" s="468"/>
    </row>
    <row r="206" spans="1:11" ht="12.75" customHeight="1">
      <c r="A206" s="463" t="s">
        <v>1088</v>
      </c>
      <c r="B206" s="470">
        <v>4334</v>
      </c>
      <c r="C206" s="551"/>
      <c r="D206" s="466"/>
      <c r="E206" s="468"/>
      <c r="F206" s="466"/>
      <c r="G206" s="466"/>
      <c r="H206" s="468"/>
      <c r="I206" s="468"/>
      <c r="J206" s="468"/>
      <c r="K206" s="468"/>
    </row>
    <row r="207" spans="1:11" ht="12.75" customHeight="1">
      <c r="A207" s="463" t="s">
        <v>1089</v>
      </c>
      <c r="B207" s="470">
        <v>4335</v>
      </c>
      <c r="C207" s="551"/>
      <c r="D207" s="466"/>
      <c r="E207" s="468"/>
      <c r="F207" s="466"/>
      <c r="G207" s="466"/>
      <c r="H207" s="468"/>
      <c r="I207" s="468"/>
      <c r="J207" s="468"/>
      <c r="K207" s="468"/>
    </row>
    <row r="208" spans="1:11" ht="12.75" customHeight="1">
      <c r="A208" s="463" t="s">
        <v>1152</v>
      </c>
      <c r="B208" s="470">
        <v>4337</v>
      </c>
      <c r="C208" s="489"/>
      <c r="D208" s="467"/>
      <c r="E208" s="468"/>
      <c r="F208" s="467"/>
      <c r="G208" s="467"/>
      <c r="H208" s="468"/>
      <c r="I208" s="468"/>
      <c r="J208" s="468"/>
      <c r="K208" s="468"/>
    </row>
    <row r="209" spans="1:11" ht="12.75" customHeight="1">
      <c r="A209" s="463" t="s">
        <v>1090</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9" t="s">
        <v>419</v>
      </c>
      <c r="B211" s="1730"/>
      <c r="C211" s="1728">
        <f>SUM(C203:C210)</f>
        <v>1071857</v>
      </c>
      <c r="D211" s="1728">
        <f>SUM(D203:D210)</f>
        <v>0</v>
      </c>
      <c r="E211" s="468"/>
      <c r="F211" s="1728">
        <f>SUM(F203:F210)</f>
        <v>0</v>
      </c>
      <c r="G211" s="1728">
        <f>SUM(G203:G210)</f>
        <v>0</v>
      </c>
      <c r="H211" s="468"/>
      <c r="I211" s="468"/>
      <c r="J211" s="468"/>
      <c r="K211" s="468"/>
    </row>
    <row r="212" spans="1:11" ht="15.75" customHeight="1" thickTop="1">
      <c r="A212" s="1622" t="s">
        <v>1200</v>
      </c>
      <c r="B212" s="1627"/>
      <c r="C212" s="553"/>
      <c r="D212" s="553"/>
      <c r="E212" s="468"/>
      <c r="F212" s="553"/>
      <c r="G212" s="553"/>
      <c r="H212" s="468"/>
      <c r="I212" s="468"/>
      <c r="J212" s="468"/>
      <c r="K212" s="468"/>
    </row>
    <row r="213" spans="1:11" ht="12.75" customHeight="1">
      <c r="A213" s="463" t="s">
        <v>782</v>
      </c>
      <c r="B213" s="470">
        <v>4400</v>
      </c>
      <c r="C213" s="551"/>
      <c r="D213" s="466"/>
      <c r="E213" s="468"/>
      <c r="F213" s="466"/>
      <c r="G213" s="466"/>
      <c r="H213" s="468"/>
      <c r="I213" s="468"/>
      <c r="J213" s="468"/>
      <c r="K213" s="468"/>
    </row>
    <row r="214" spans="1:11" ht="12.75" customHeight="1">
      <c r="A214" s="463" t="s">
        <v>1527</v>
      </c>
      <c r="B214" s="470">
        <v>4421</v>
      </c>
      <c r="C214" s="551"/>
      <c r="D214" s="466"/>
      <c r="E214" s="468"/>
      <c r="F214" s="466"/>
      <c r="G214" s="466"/>
      <c r="H214" s="468"/>
      <c r="I214" s="468"/>
      <c r="J214" s="468"/>
      <c r="K214" s="468"/>
    </row>
    <row r="215" spans="1:11" ht="12.75" customHeight="1">
      <c r="A215" s="463" t="s">
        <v>75</v>
      </c>
      <c r="B215" s="470">
        <v>4499</v>
      </c>
      <c r="C215" s="551">
        <v>350230</v>
      </c>
      <c r="D215" s="466"/>
      <c r="E215" s="468"/>
      <c r="F215" s="466"/>
      <c r="G215" s="466"/>
      <c r="H215" s="468"/>
      <c r="I215" s="468"/>
      <c r="J215" s="468"/>
      <c r="K215" s="468"/>
    </row>
    <row r="216" spans="1:11" ht="12.75" customHeight="1" thickBot="1">
      <c r="A216" s="1729" t="s">
        <v>943</v>
      </c>
      <c r="B216" s="1730"/>
      <c r="C216" s="1728">
        <f>SUM(C213:C215)</f>
        <v>350230</v>
      </c>
      <c r="D216" s="1728">
        <f>SUM(D213:D215)</f>
        <v>0</v>
      </c>
      <c r="E216" s="468" t="s">
        <v>1230</v>
      </c>
      <c r="F216" s="1728">
        <f>SUM(F213:F215)</f>
        <v>0</v>
      </c>
      <c r="G216" s="1728">
        <f>SUM(G213:G215)</f>
        <v>0</v>
      </c>
      <c r="H216" s="468"/>
      <c r="I216" s="468"/>
      <c r="J216" s="468"/>
      <c r="K216" s="468"/>
    </row>
    <row r="217" spans="1:11" ht="15.75" customHeight="1" thickTop="1">
      <c r="A217" s="1622" t="s">
        <v>1153</v>
      </c>
      <c r="B217" s="1627"/>
      <c r="C217" s="553"/>
      <c r="D217" s="553"/>
      <c r="E217" s="468"/>
      <c r="F217" s="553"/>
      <c r="G217" s="553"/>
      <c r="H217" s="468"/>
      <c r="I217" s="468"/>
      <c r="J217" s="468"/>
      <c r="K217" s="468"/>
    </row>
    <row r="218" spans="1:11" ht="12.75" customHeight="1">
      <c r="A218" s="463" t="s">
        <v>1111</v>
      </c>
      <c r="B218" s="470">
        <v>4600</v>
      </c>
      <c r="C218" s="551">
        <v>53093</v>
      </c>
      <c r="D218" s="466"/>
      <c r="E218" s="468"/>
      <c r="F218" s="466"/>
      <c r="G218" s="466"/>
      <c r="H218" s="468"/>
      <c r="I218" s="468"/>
      <c r="J218" s="468"/>
      <c r="K218" s="468"/>
    </row>
    <row r="219" spans="1:11" ht="12.75" customHeight="1">
      <c r="A219" s="463" t="s">
        <v>1112</v>
      </c>
      <c r="B219" s="470">
        <v>4605</v>
      </c>
      <c r="C219" s="551"/>
      <c r="D219" s="466"/>
      <c r="E219" s="468"/>
      <c r="F219" s="466"/>
      <c r="G219" s="466"/>
      <c r="H219" s="468"/>
      <c r="I219" s="468"/>
      <c r="J219" s="468"/>
      <c r="K219" s="468"/>
    </row>
    <row r="220" spans="1:11" ht="12.75" customHeight="1">
      <c r="A220" s="463" t="s">
        <v>1528</v>
      </c>
      <c r="B220" s="557">
        <v>4620</v>
      </c>
      <c r="C220" s="551">
        <v>1619770</v>
      </c>
      <c r="D220" s="466"/>
      <c r="E220" s="468"/>
      <c r="F220" s="466"/>
      <c r="G220" s="466"/>
      <c r="H220" s="468"/>
      <c r="I220" s="468"/>
      <c r="J220" s="468"/>
      <c r="K220" s="468"/>
    </row>
    <row r="221" spans="1:11" ht="12.75" customHeight="1">
      <c r="A221" s="463" t="s">
        <v>1113</v>
      </c>
      <c r="B221" s="470">
        <v>4625</v>
      </c>
      <c r="C221" s="551">
        <v>311903</v>
      </c>
      <c r="D221" s="466"/>
      <c r="E221" s="468"/>
      <c r="F221" s="466"/>
      <c r="G221" s="466"/>
      <c r="H221" s="468"/>
      <c r="I221" s="468"/>
      <c r="J221" s="468"/>
      <c r="K221" s="468"/>
    </row>
    <row r="222" spans="1:11" ht="12.75" customHeight="1">
      <c r="A222" s="463" t="s">
        <v>1114</v>
      </c>
      <c r="B222" s="470">
        <v>4630</v>
      </c>
      <c r="C222" s="551"/>
      <c r="D222" s="466"/>
      <c r="E222" s="468"/>
      <c r="F222" s="466"/>
      <c r="G222" s="466"/>
      <c r="H222" s="468"/>
      <c r="I222" s="468"/>
      <c r="J222" s="468"/>
      <c r="K222" s="468"/>
    </row>
    <row r="223" spans="1:11" ht="12.75" customHeight="1">
      <c r="A223" s="1523" t="s">
        <v>76</v>
      </c>
      <c r="B223" s="557">
        <v>4699</v>
      </c>
      <c r="C223" s="551"/>
      <c r="D223" s="466"/>
      <c r="E223" s="468"/>
      <c r="F223" s="466"/>
      <c r="G223" s="466"/>
      <c r="H223" s="468"/>
      <c r="I223" s="468"/>
      <c r="J223" s="468"/>
      <c r="K223" s="468"/>
    </row>
    <row r="224" spans="1:11" ht="12.75" customHeight="1" thickBot="1">
      <c r="A224" s="1729" t="s">
        <v>466</v>
      </c>
      <c r="B224" s="1730"/>
      <c r="C224" s="1728">
        <f>SUM(C218:C223)</f>
        <v>1984766</v>
      </c>
      <c r="D224" s="1728">
        <f>SUM(D218:D223)</f>
        <v>0</v>
      </c>
      <c r="E224" s="468"/>
      <c r="F224" s="1728">
        <f>SUM(F218:F223)</f>
        <v>0</v>
      </c>
      <c r="G224" s="1728">
        <f>SUM(G218:G223)</f>
        <v>0</v>
      </c>
      <c r="H224" s="468"/>
      <c r="I224" s="468"/>
      <c r="J224" s="468"/>
      <c r="K224" s="468"/>
    </row>
    <row r="225" spans="1:11" ht="15.75" customHeight="1" thickTop="1">
      <c r="A225" s="1622" t="s">
        <v>1154</v>
      </c>
      <c r="B225" s="1627"/>
      <c r="C225" s="553"/>
      <c r="D225" s="553"/>
      <c r="E225" s="468"/>
      <c r="F225" s="553"/>
      <c r="G225" s="553"/>
      <c r="H225" s="468"/>
      <c r="I225" s="468"/>
      <c r="J225" s="468"/>
      <c r="K225" s="468"/>
    </row>
    <row r="226" spans="1:11" ht="12.75" customHeight="1">
      <c r="A226" s="463" t="s">
        <v>819</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4" t="s">
        <v>1144</v>
      </c>
      <c r="B228" s="1745"/>
      <c r="C228" s="1728">
        <f>SUM(C226:C227)</f>
        <v>0</v>
      </c>
      <c r="D228" s="1728">
        <f>SUM(D226:D227)</f>
        <v>0</v>
      </c>
      <c r="E228" s="468"/>
      <c r="F228" s="468"/>
      <c r="G228" s="1728">
        <f>SUM(G226:G227)</f>
        <v>0</v>
      </c>
      <c r="H228" s="468"/>
      <c r="I228" s="468"/>
      <c r="J228" s="468"/>
      <c r="K228" s="468"/>
    </row>
    <row r="229" spans="1:11" ht="12.75" customHeight="1" thickTop="1" thickBot="1">
      <c r="A229" s="493" t="s">
        <v>780</v>
      </c>
      <c r="B229" s="491">
        <v>4810</v>
      </c>
      <c r="C229" s="575"/>
      <c r="D229" s="576"/>
      <c r="E229" s="468"/>
      <c r="F229" s="468"/>
      <c r="G229" s="576"/>
      <c r="H229" s="468"/>
      <c r="I229" s="468"/>
      <c r="J229" s="468"/>
      <c r="K229" s="468"/>
    </row>
    <row r="230" spans="1:11" ht="12.75" customHeight="1" thickTop="1">
      <c r="A230" s="493" t="s">
        <v>367</v>
      </c>
      <c r="B230" s="491">
        <v>4850</v>
      </c>
      <c r="C230" s="489"/>
      <c r="D230" s="467"/>
      <c r="E230" s="467"/>
      <c r="F230" s="467"/>
      <c r="G230" s="467"/>
      <c r="H230" s="467"/>
      <c r="I230" s="468"/>
      <c r="J230" s="467"/>
      <c r="K230" s="467"/>
    </row>
    <row r="231" spans="1:11" ht="12.75" customHeight="1">
      <c r="A231" s="493" t="s">
        <v>368</v>
      </c>
      <c r="B231" s="491">
        <v>4851</v>
      </c>
      <c r="C231" s="489"/>
      <c r="D231" s="467"/>
      <c r="E231" s="468"/>
      <c r="F231" s="474"/>
      <c r="G231" s="467"/>
      <c r="H231" s="468"/>
      <c r="I231" s="468"/>
      <c r="J231" s="468"/>
      <c r="K231" s="468"/>
    </row>
    <row r="232" spans="1:11" ht="12.75" customHeight="1">
      <c r="A232" s="493" t="s">
        <v>369</v>
      </c>
      <c r="B232" s="491">
        <v>4852</v>
      </c>
      <c r="C232" s="489"/>
      <c r="D232" s="467"/>
      <c r="E232" s="467"/>
      <c r="F232" s="467"/>
      <c r="G232" s="467"/>
      <c r="H232" s="467"/>
      <c r="I232" s="468"/>
      <c r="J232" s="467"/>
      <c r="K232" s="467"/>
    </row>
    <row r="233" spans="1:11" ht="12.75" customHeight="1">
      <c r="A233" s="493" t="s">
        <v>370</v>
      </c>
      <c r="B233" s="491">
        <v>4853</v>
      </c>
      <c r="C233" s="489"/>
      <c r="D233" s="467"/>
      <c r="E233" s="467"/>
      <c r="F233" s="467"/>
      <c r="G233" s="467"/>
      <c r="H233" s="467"/>
      <c r="I233" s="468"/>
      <c r="J233" s="467"/>
      <c r="K233" s="467"/>
    </row>
    <row r="234" spans="1:11" ht="12.75" customHeight="1">
      <c r="A234" s="493" t="s">
        <v>371</v>
      </c>
      <c r="B234" s="491">
        <v>4854</v>
      </c>
      <c r="C234" s="489"/>
      <c r="D234" s="467"/>
      <c r="E234" s="467"/>
      <c r="F234" s="467"/>
      <c r="G234" s="467"/>
      <c r="H234" s="467"/>
      <c r="I234" s="468"/>
      <c r="J234" s="467"/>
      <c r="K234" s="467"/>
    </row>
    <row r="235" spans="1:11" ht="12.75" customHeight="1">
      <c r="A235" s="493" t="s">
        <v>483</v>
      </c>
      <c r="B235" s="491">
        <v>4855</v>
      </c>
      <c r="C235" s="489"/>
      <c r="D235" s="467"/>
      <c r="E235" s="467"/>
      <c r="F235" s="467"/>
      <c r="G235" s="467"/>
      <c r="H235" s="467"/>
      <c r="I235" s="468"/>
      <c r="J235" s="467"/>
      <c r="K235" s="467"/>
    </row>
    <row r="236" spans="1:11" ht="12.75" customHeight="1">
      <c r="A236" s="493" t="s">
        <v>372</v>
      </c>
      <c r="B236" s="491">
        <v>4856</v>
      </c>
      <c r="C236" s="489"/>
      <c r="D236" s="467"/>
      <c r="E236" s="467"/>
      <c r="F236" s="467"/>
      <c r="G236" s="467"/>
      <c r="H236" s="467"/>
      <c r="I236" s="468"/>
      <c r="J236" s="467"/>
      <c r="K236" s="467"/>
    </row>
    <row r="237" spans="1:11" ht="12.75" customHeight="1">
      <c r="A237" s="493" t="s">
        <v>373</v>
      </c>
      <c r="B237" s="491">
        <v>4857</v>
      </c>
      <c r="C237" s="489"/>
      <c r="D237" s="467"/>
      <c r="E237" s="467"/>
      <c r="F237" s="467"/>
      <c r="G237" s="467"/>
      <c r="H237" s="467"/>
      <c r="I237" s="468"/>
      <c r="J237" s="467"/>
      <c r="K237" s="467"/>
    </row>
    <row r="238" spans="1:11" ht="12.75" customHeight="1">
      <c r="A238" s="493" t="s">
        <v>374</v>
      </c>
      <c r="B238" s="491">
        <v>4860</v>
      </c>
      <c r="C238" s="489"/>
      <c r="D238" s="467"/>
      <c r="E238" s="467"/>
      <c r="F238" s="467"/>
      <c r="G238" s="467"/>
      <c r="H238" s="467"/>
      <c r="I238" s="468"/>
      <c r="J238" s="467"/>
      <c r="K238" s="467"/>
    </row>
    <row r="239" spans="1:11" ht="12.75" customHeight="1">
      <c r="A239" s="493" t="s">
        <v>375</v>
      </c>
      <c r="B239" s="491">
        <v>4861</v>
      </c>
      <c r="C239" s="489"/>
      <c r="D239" s="467"/>
      <c r="E239" s="467"/>
      <c r="F239" s="467"/>
      <c r="G239" s="467"/>
      <c r="H239" s="467"/>
      <c r="I239" s="468"/>
      <c r="J239" s="467"/>
      <c r="K239" s="467"/>
    </row>
    <row r="240" spans="1:11" ht="12.75" customHeight="1">
      <c r="A240" s="493" t="s">
        <v>376</v>
      </c>
      <c r="B240" s="491">
        <v>4862</v>
      </c>
      <c r="C240" s="489"/>
      <c r="D240" s="467"/>
      <c r="E240" s="475"/>
      <c r="F240" s="467"/>
      <c r="G240" s="467"/>
      <c r="H240" s="475"/>
      <c r="I240" s="468"/>
      <c r="J240" s="475"/>
      <c r="K240" s="475"/>
    </row>
    <row r="241" spans="1:11" ht="12.75" customHeight="1">
      <c r="A241" s="493" t="s">
        <v>377</v>
      </c>
      <c r="B241" s="491">
        <v>4863</v>
      </c>
      <c r="C241" s="489"/>
      <c r="D241" s="467"/>
      <c r="E241" s="468"/>
      <c r="F241" s="475"/>
      <c r="G241" s="526"/>
      <c r="H241" s="468"/>
      <c r="I241" s="468"/>
      <c r="J241" s="468"/>
      <c r="K241" s="468"/>
    </row>
    <row r="242" spans="1:11" ht="12.75" customHeight="1">
      <c r="A242" s="493" t="s">
        <v>488</v>
      </c>
      <c r="B242" s="491">
        <v>4864</v>
      </c>
      <c r="C242" s="489"/>
      <c r="D242" s="467"/>
      <c r="E242" s="467"/>
      <c r="F242" s="467"/>
      <c r="G242" s="467"/>
      <c r="H242" s="467"/>
      <c r="I242" s="468"/>
      <c r="J242" s="467"/>
      <c r="K242" s="467"/>
    </row>
    <row r="243" spans="1:11" ht="12.75" customHeight="1">
      <c r="A243" s="493" t="s">
        <v>489</v>
      </c>
      <c r="B243" s="491">
        <v>4865</v>
      </c>
      <c r="C243" s="489"/>
      <c r="D243" s="467"/>
      <c r="E243" s="467"/>
      <c r="F243" s="467"/>
      <c r="G243" s="467"/>
      <c r="H243" s="467"/>
      <c r="I243" s="468"/>
      <c r="J243" s="467"/>
      <c r="K243" s="467"/>
    </row>
    <row r="244" spans="1:11" ht="12.75" customHeight="1">
      <c r="A244" s="493" t="s">
        <v>487</v>
      </c>
      <c r="B244" s="491">
        <v>4866</v>
      </c>
      <c r="C244" s="489"/>
      <c r="D244" s="467"/>
      <c r="E244" s="467"/>
      <c r="F244" s="467"/>
      <c r="G244" s="467"/>
      <c r="H244" s="467"/>
      <c r="I244" s="468"/>
      <c r="J244" s="467"/>
      <c r="K244" s="467"/>
    </row>
    <row r="245" spans="1:11" ht="12.75" customHeight="1">
      <c r="A245" s="493" t="s">
        <v>486</v>
      </c>
      <c r="B245" s="491">
        <v>4867</v>
      </c>
      <c r="C245" s="489"/>
      <c r="D245" s="467"/>
      <c r="E245" s="467"/>
      <c r="F245" s="467"/>
      <c r="G245" s="467"/>
      <c r="H245" s="467"/>
      <c r="I245" s="468"/>
      <c r="J245" s="467"/>
      <c r="K245" s="467"/>
    </row>
    <row r="246" spans="1:11" ht="12.75" customHeight="1">
      <c r="A246" s="493" t="s">
        <v>485</v>
      </c>
      <c r="B246" s="491">
        <v>4868</v>
      </c>
      <c r="C246" s="489"/>
      <c r="D246" s="467"/>
      <c r="E246" s="467"/>
      <c r="F246" s="467"/>
      <c r="G246" s="467"/>
      <c r="H246" s="467"/>
      <c r="I246" s="468"/>
      <c r="J246" s="467"/>
      <c r="K246" s="467"/>
    </row>
    <row r="247" spans="1:11" ht="12.75" customHeight="1">
      <c r="A247" s="493" t="s">
        <v>484</v>
      </c>
      <c r="B247" s="491">
        <v>4869</v>
      </c>
      <c r="C247" s="489"/>
      <c r="D247" s="467"/>
      <c r="E247" s="467"/>
      <c r="F247" s="467"/>
      <c r="G247" s="467"/>
      <c r="H247" s="467"/>
      <c r="I247" s="468"/>
      <c r="J247" s="467"/>
      <c r="K247" s="467"/>
    </row>
    <row r="248" spans="1:11" ht="12.75" customHeight="1">
      <c r="A248" s="493" t="s">
        <v>1189</v>
      </c>
      <c r="B248" s="491">
        <v>4870</v>
      </c>
      <c r="C248" s="489"/>
      <c r="D248" s="467"/>
      <c r="E248" s="467"/>
      <c r="F248" s="467"/>
      <c r="G248" s="467"/>
      <c r="H248" s="467"/>
      <c r="I248" s="468"/>
      <c r="J248" s="467"/>
      <c r="K248" s="467"/>
    </row>
    <row r="249" spans="1:11" ht="12.75" customHeight="1">
      <c r="A249" s="493" t="s">
        <v>820</v>
      </c>
      <c r="B249" s="491">
        <v>4871</v>
      </c>
      <c r="C249" s="489"/>
      <c r="D249" s="467"/>
      <c r="E249" s="467"/>
      <c r="F249" s="467"/>
      <c r="G249" s="467"/>
      <c r="H249" s="467"/>
      <c r="I249" s="468"/>
      <c r="J249" s="467"/>
      <c r="K249" s="467"/>
    </row>
    <row r="250" spans="1:11" ht="12.75" customHeight="1">
      <c r="A250" s="493" t="s">
        <v>821</v>
      </c>
      <c r="B250" s="491">
        <v>4872</v>
      </c>
      <c r="C250" s="489"/>
      <c r="D250" s="467"/>
      <c r="E250" s="467"/>
      <c r="F250" s="467"/>
      <c r="G250" s="467"/>
      <c r="H250" s="467"/>
      <c r="I250" s="468"/>
      <c r="J250" s="467"/>
      <c r="K250" s="467"/>
    </row>
    <row r="251" spans="1:11" ht="12.75" customHeight="1">
      <c r="A251" s="493" t="s">
        <v>822</v>
      </c>
      <c r="B251" s="491">
        <v>4873</v>
      </c>
      <c r="C251" s="489"/>
      <c r="D251" s="467"/>
      <c r="E251" s="467"/>
      <c r="F251" s="467"/>
      <c r="G251" s="467"/>
      <c r="H251" s="467"/>
      <c r="I251" s="468"/>
      <c r="J251" s="467"/>
      <c r="K251" s="467"/>
    </row>
    <row r="252" spans="1:11" ht="12.75" customHeight="1">
      <c r="A252" s="493" t="s">
        <v>823</v>
      </c>
      <c r="B252" s="491">
        <v>4874</v>
      </c>
      <c r="C252" s="489"/>
      <c r="D252" s="467"/>
      <c r="E252" s="467"/>
      <c r="F252" s="467"/>
      <c r="G252" s="467"/>
      <c r="H252" s="467"/>
      <c r="I252" s="468"/>
      <c r="J252" s="467"/>
      <c r="K252" s="467"/>
    </row>
    <row r="253" spans="1:11" ht="12.75" customHeight="1">
      <c r="A253" s="493" t="s">
        <v>490</v>
      </c>
      <c r="B253" s="491">
        <v>4875</v>
      </c>
      <c r="C253" s="489"/>
      <c r="D253" s="467"/>
      <c r="E253" s="467"/>
      <c r="F253" s="467"/>
      <c r="G253" s="467"/>
      <c r="H253" s="467"/>
      <c r="I253" s="468"/>
      <c r="J253" s="467"/>
      <c r="K253" s="467"/>
    </row>
    <row r="254" spans="1:11" ht="12.75" customHeight="1">
      <c r="A254" s="493" t="s">
        <v>793</v>
      </c>
      <c r="B254" s="491">
        <v>4876</v>
      </c>
      <c r="C254" s="489"/>
      <c r="D254" s="467"/>
      <c r="E254" s="467"/>
      <c r="F254" s="467"/>
      <c r="G254" s="467"/>
      <c r="H254" s="467"/>
      <c r="I254" s="468"/>
      <c r="J254" s="467"/>
      <c r="K254" s="467"/>
    </row>
    <row r="255" spans="1:11" ht="12.75" customHeight="1">
      <c r="A255" s="493" t="s">
        <v>794</v>
      </c>
      <c r="B255" s="491">
        <v>4877</v>
      </c>
      <c r="C255" s="489"/>
      <c r="D255" s="467"/>
      <c r="E255" s="467"/>
      <c r="F255" s="467"/>
      <c r="G255" s="467"/>
      <c r="H255" s="467"/>
      <c r="I255" s="468"/>
      <c r="J255" s="467"/>
      <c r="K255" s="467"/>
    </row>
    <row r="256" spans="1:11" ht="12.75" customHeight="1">
      <c r="A256" s="493" t="s">
        <v>795</v>
      </c>
      <c r="B256" s="491">
        <v>4878</v>
      </c>
      <c r="C256" s="489"/>
      <c r="D256" s="467"/>
      <c r="E256" s="467"/>
      <c r="F256" s="467"/>
      <c r="G256" s="467"/>
      <c r="H256" s="467"/>
      <c r="I256" s="468"/>
      <c r="J256" s="467"/>
      <c r="K256" s="467"/>
    </row>
    <row r="257" spans="1:11" ht="12.75" customHeight="1">
      <c r="A257" s="493" t="s">
        <v>796</v>
      </c>
      <c r="B257" s="491">
        <v>4879</v>
      </c>
      <c r="C257" s="489"/>
      <c r="D257" s="467"/>
      <c r="E257" s="467"/>
      <c r="F257" s="467"/>
      <c r="G257" s="467"/>
      <c r="H257" s="467"/>
      <c r="I257" s="468"/>
      <c r="J257" s="467"/>
      <c r="K257" s="467"/>
    </row>
    <row r="258" spans="1:11" ht="12.75" customHeight="1">
      <c r="A258" s="225" t="s">
        <v>1529</v>
      </c>
      <c r="B258" s="587">
        <v>4880</v>
      </c>
      <c r="C258" s="489"/>
      <c r="D258" s="467"/>
      <c r="E258" s="467"/>
      <c r="F258" s="467"/>
      <c r="G258" s="467"/>
      <c r="H258" s="467"/>
      <c r="I258" s="468"/>
      <c r="J258" s="467"/>
      <c r="K258" s="467"/>
    </row>
    <row r="259" spans="1:11" ht="12.75" customHeight="1" thickBot="1">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c r="A260" s="1524" t="s">
        <v>1492</v>
      </c>
      <c r="B260" s="588">
        <v>4901</v>
      </c>
      <c r="C260" s="589"/>
      <c r="D260" s="469"/>
      <c r="E260" s="468"/>
      <c r="F260" s="468"/>
      <c r="G260" s="468"/>
      <c r="H260" s="468"/>
      <c r="I260" s="468"/>
      <c r="J260" s="468"/>
      <c r="K260" s="468"/>
    </row>
    <row r="261" spans="1:11" ht="12.75" customHeight="1" thickTop="1" thickBot="1">
      <c r="A261" s="1525" t="s">
        <v>1537</v>
      </c>
      <c r="B261" s="590">
        <v>4902</v>
      </c>
      <c r="C261" s="591"/>
      <c r="D261" s="592"/>
      <c r="E261" s="469"/>
      <c r="F261" s="592"/>
      <c r="G261" s="592"/>
      <c r="H261" s="469"/>
      <c r="I261" s="468"/>
      <c r="J261" s="469"/>
      <c r="K261" s="469"/>
    </row>
    <row r="262" spans="1:11" ht="12.75" customHeight="1" thickTop="1" thickBot="1">
      <c r="A262" s="493" t="s">
        <v>1145</v>
      </c>
      <c r="B262" s="491">
        <v>4904</v>
      </c>
      <c r="C262" s="593"/>
      <c r="D262" s="591"/>
      <c r="E262" s="469"/>
      <c r="F262" s="553"/>
      <c r="G262" s="591"/>
      <c r="H262" s="469"/>
      <c r="I262" s="468"/>
      <c r="J262" s="468"/>
      <c r="K262" s="468"/>
    </row>
    <row r="263" spans="1:11" ht="12.75" customHeight="1" thickTop="1" thickBot="1">
      <c r="A263" s="463" t="s">
        <v>1530</v>
      </c>
      <c r="B263" s="470">
        <v>4905</v>
      </c>
      <c r="C263" s="573"/>
      <c r="D263" s="468"/>
      <c r="E263" s="468"/>
      <c r="F263" s="578"/>
      <c r="G263" s="573"/>
      <c r="H263" s="468"/>
      <c r="I263" s="468"/>
      <c r="J263" s="468"/>
      <c r="K263" s="468"/>
    </row>
    <row r="264" spans="1:11" ht="12.75" customHeight="1" thickTop="1" thickBot="1">
      <c r="A264" s="463" t="s">
        <v>1531</v>
      </c>
      <c r="B264" s="470">
        <v>4909</v>
      </c>
      <c r="C264" s="576">
        <v>44599</v>
      </c>
      <c r="D264" s="468"/>
      <c r="E264" s="468"/>
      <c r="F264" s="576"/>
      <c r="G264" s="576"/>
      <c r="H264" s="468"/>
      <c r="I264" s="468"/>
      <c r="J264" s="468"/>
      <c r="K264" s="468"/>
    </row>
    <row r="265" spans="1:11" ht="12.75" customHeight="1" thickTop="1" thickBot="1">
      <c r="A265" s="463" t="s">
        <v>944</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440</v>
      </c>
      <c r="B267" s="470">
        <v>4930</v>
      </c>
      <c r="C267" s="576"/>
      <c r="D267" s="576"/>
      <c r="E267" s="468"/>
      <c r="F267" s="576"/>
      <c r="G267" s="576"/>
      <c r="H267" s="468"/>
      <c r="I267" s="468"/>
      <c r="J267" s="468"/>
      <c r="K267" s="468"/>
    </row>
    <row r="268" spans="1:11" ht="12.75" customHeight="1" thickTop="1" thickBot="1">
      <c r="A268" s="463" t="s">
        <v>781</v>
      </c>
      <c r="B268" s="470">
        <v>4932</v>
      </c>
      <c r="C268" s="576">
        <v>88949</v>
      </c>
      <c r="D268" s="576"/>
      <c r="E268" s="468"/>
      <c r="F268" s="576"/>
      <c r="G268" s="576"/>
      <c r="H268" s="468"/>
      <c r="I268" s="468"/>
      <c r="J268" s="468"/>
      <c r="K268" s="468"/>
    </row>
    <row r="269" spans="1:11" ht="12.75" customHeight="1" thickTop="1" thickBot="1">
      <c r="A269" s="463" t="s">
        <v>945</v>
      </c>
      <c r="B269" s="470">
        <v>4960</v>
      </c>
      <c r="C269" s="575"/>
      <c r="D269" s="576"/>
      <c r="E269" s="468"/>
      <c r="F269" s="576"/>
      <c r="G269" s="576"/>
      <c r="H269" s="468"/>
      <c r="I269" s="468"/>
      <c r="J269" s="468"/>
      <c r="K269" s="468"/>
    </row>
    <row r="270" spans="1:11" ht="12.75" customHeight="1" thickTop="1" thickBot="1">
      <c r="A270" s="463" t="s">
        <v>588</v>
      </c>
      <c r="B270" s="470">
        <v>4991</v>
      </c>
      <c r="C270" s="575">
        <v>311270</v>
      </c>
      <c r="D270" s="576"/>
      <c r="E270" s="468"/>
      <c r="F270" s="576"/>
      <c r="G270" s="576"/>
      <c r="H270" s="468"/>
      <c r="I270" s="468"/>
      <c r="J270" s="468"/>
      <c r="K270" s="468"/>
    </row>
    <row r="271" spans="1:11" ht="12.75" customHeight="1" thickTop="1" thickBot="1">
      <c r="A271" s="463" t="s">
        <v>394</v>
      </c>
      <c r="B271" s="470">
        <v>4992</v>
      </c>
      <c r="C271" s="575">
        <v>490056</v>
      </c>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729" t="s">
        <v>1764</v>
      </c>
      <c r="B273" s="1748"/>
      <c r="C273" s="1736">
        <f t="shared" ref="C273:H273" si="10">SUM(C191,C201,C211,C216,C224,C228,C229,C259:C272)</f>
        <v>5826369</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c r="A274" s="1749" t="s">
        <v>1146</v>
      </c>
      <c r="B274" s="1750" t="s">
        <v>914</v>
      </c>
      <c r="C274" s="1736">
        <f>SUM(C178,C184,C273)</f>
        <v>8380578</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c r="A275" s="1751" t="s">
        <v>269</v>
      </c>
      <c r="B275" s="1752"/>
      <c r="C275" s="1736">
        <f t="shared" ref="C275:K275" si="12">SUM(C109,C114,C173,C274)</f>
        <v>122756571</v>
      </c>
      <c r="D275" s="1736">
        <f t="shared" si="12"/>
        <v>8558744</v>
      </c>
      <c r="E275" s="1736">
        <f t="shared" si="12"/>
        <v>6159812</v>
      </c>
      <c r="F275" s="1736">
        <f t="shared" si="12"/>
        <v>4807193</v>
      </c>
      <c r="G275" s="1736">
        <f t="shared" si="12"/>
        <v>3348550</v>
      </c>
      <c r="H275" s="1736">
        <f t="shared" si="12"/>
        <v>5185</v>
      </c>
      <c r="I275" s="1736">
        <f t="shared" si="12"/>
        <v>189213</v>
      </c>
      <c r="J275" s="1736">
        <f t="shared" si="12"/>
        <v>1312670</v>
      </c>
      <c r="K275" s="1723">
        <f t="shared" si="12"/>
        <v>116467</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Normal="100" workbookViewId="0">
      <pane ySplit="2" topLeftCell="A102" activePane="bottomLeft" state="frozen"/>
      <selection activeCell="D30" sqref="D30"/>
      <selection pane="bottomLeft" activeCell="D30" sqref="D30"/>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261"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c r="A2" s="229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c r="A3" s="2301" t="s">
        <v>314</v>
      </c>
      <c r="B3" s="2302"/>
      <c r="C3" s="1570"/>
      <c r="D3" s="1570"/>
      <c r="E3" s="1570"/>
      <c r="F3" s="1570"/>
      <c r="G3" s="1570"/>
      <c r="H3" s="1570"/>
      <c r="I3" s="1570"/>
      <c r="J3" s="1570"/>
      <c r="K3" s="1571"/>
      <c r="L3" s="1572"/>
      <c r="M3" s="610"/>
      <c r="N3" s="610"/>
    </row>
    <row r="4" spans="1:14" s="259" customFormat="1" ht="15.75" customHeight="1">
      <c r="A4" s="1628" t="s">
        <v>46</v>
      </c>
      <c r="B4" s="1629" t="s">
        <v>590</v>
      </c>
      <c r="C4" s="611"/>
      <c r="D4" s="611"/>
      <c r="E4" s="611"/>
      <c r="F4" s="611"/>
      <c r="G4" s="611"/>
      <c r="H4" s="611"/>
      <c r="I4" s="612"/>
      <c r="J4" s="611"/>
      <c r="K4" s="613"/>
      <c r="L4" s="611"/>
      <c r="M4" s="614"/>
      <c r="N4" s="614"/>
    </row>
    <row r="5" spans="1:14">
      <c r="A5" s="1526" t="s">
        <v>1017</v>
      </c>
      <c r="B5" s="615">
        <v>1100</v>
      </c>
      <c r="C5" s="466">
        <v>39608428</v>
      </c>
      <c r="D5" s="466">
        <v>3882249</v>
      </c>
      <c r="E5" s="466">
        <v>279183</v>
      </c>
      <c r="F5" s="466">
        <v>1253502</v>
      </c>
      <c r="G5" s="466">
        <v>17630</v>
      </c>
      <c r="H5" s="466">
        <v>4428</v>
      </c>
      <c r="I5" s="467"/>
      <c r="J5" s="467"/>
      <c r="K5" s="1692">
        <f>SUM(C5:J5)</f>
        <v>45045420</v>
      </c>
      <c r="L5" s="466">
        <v>46468729</v>
      </c>
    </row>
    <row r="6" spans="1:14">
      <c r="A6" s="1526" t="s">
        <v>1507</v>
      </c>
      <c r="B6" s="615" t="s">
        <v>1505</v>
      </c>
      <c r="C6" s="477"/>
      <c r="D6" s="477"/>
      <c r="E6" s="466"/>
      <c r="F6" s="477"/>
      <c r="G6" s="477"/>
      <c r="H6" s="477"/>
      <c r="I6" s="477"/>
      <c r="J6" s="477"/>
      <c r="K6" s="1692">
        <f>SUM(C6,E6)</f>
        <v>0</v>
      </c>
      <c r="L6" s="466">
        <v>0</v>
      </c>
    </row>
    <row r="7" spans="1:14">
      <c r="A7" s="1526" t="s">
        <v>165</v>
      </c>
      <c r="B7" s="615" t="s">
        <v>1023</v>
      </c>
      <c r="C7" s="467">
        <v>682978</v>
      </c>
      <c r="D7" s="467">
        <v>100644</v>
      </c>
      <c r="E7" s="467">
        <v>6634</v>
      </c>
      <c r="F7" s="467">
        <v>14970</v>
      </c>
      <c r="G7" s="467"/>
      <c r="H7" s="467"/>
      <c r="I7" s="467"/>
      <c r="J7" s="467"/>
      <c r="K7" s="1692">
        <f t="shared" ref="K7:K32" si="0">SUM(C7:J7)</f>
        <v>805226</v>
      </c>
      <c r="L7" s="466">
        <v>661079</v>
      </c>
    </row>
    <row r="8" spans="1:14">
      <c r="A8" s="1526" t="s">
        <v>166</v>
      </c>
      <c r="B8" s="615">
        <v>1200</v>
      </c>
      <c r="C8" s="466">
        <v>9626854</v>
      </c>
      <c r="D8" s="466">
        <v>1294458</v>
      </c>
      <c r="E8" s="466">
        <v>703264</v>
      </c>
      <c r="F8" s="466">
        <v>64617</v>
      </c>
      <c r="G8" s="466"/>
      <c r="H8" s="466">
        <v>1223579</v>
      </c>
      <c r="I8" s="467"/>
      <c r="J8" s="467"/>
      <c r="K8" s="1692">
        <f t="shared" si="0"/>
        <v>12912772</v>
      </c>
      <c r="L8" s="466">
        <v>12408417</v>
      </c>
    </row>
    <row r="9" spans="1:14">
      <c r="A9" s="1526" t="s">
        <v>744</v>
      </c>
      <c r="B9" s="615" t="s">
        <v>1024</v>
      </c>
      <c r="C9" s="467">
        <v>823469</v>
      </c>
      <c r="D9" s="467">
        <v>115719</v>
      </c>
      <c r="E9" s="467"/>
      <c r="F9" s="467">
        <v>23620</v>
      </c>
      <c r="G9" s="467"/>
      <c r="H9" s="467"/>
      <c r="I9" s="467"/>
      <c r="J9" s="467"/>
      <c r="K9" s="1692">
        <f t="shared" si="0"/>
        <v>962808</v>
      </c>
      <c r="L9" s="466">
        <v>980953</v>
      </c>
    </row>
    <row r="10" spans="1:14">
      <c r="A10" s="1526" t="s">
        <v>745</v>
      </c>
      <c r="B10" s="615">
        <v>1250</v>
      </c>
      <c r="C10" s="466">
        <v>747525</v>
      </c>
      <c r="D10" s="466">
        <v>21852</v>
      </c>
      <c r="E10" s="466">
        <v>84708</v>
      </c>
      <c r="F10" s="466">
        <v>420391</v>
      </c>
      <c r="G10" s="466"/>
      <c r="H10" s="466"/>
      <c r="I10" s="467"/>
      <c r="J10" s="467"/>
      <c r="K10" s="1692">
        <f t="shared" si="0"/>
        <v>1274476</v>
      </c>
      <c r="L10" s="466">
        <v>1030271</v>
      </c>
    </row>
    <row r="11" spans="1:14">
      <c r="A11" s="1526" t="s">
        <v>1191</v>
      </c>
      <c r="B11" s="615" t="s">
        <v>163</v>
      </c>
      <c r="C11" s="467"/>
      <c r="D11" s="467"/>
      <c r="E11" s="467"/>
      <c r="F11" s="467"/>
      <c r="G11" s="467"/>
      <c r="H11" s="467"/>
      <c r="I11" s="467"/>
      <c r="J11" s="467"/>
      <c r="K11" s="1692">
        <f t="shared" si="0"/>
        <v>0</v>
      </c>
      <c r="L11" s="466">
        <v>339745</v>
      </c>
    </row>
    <row r="12" spans="1:14">
      <c r="A12" s="1526" t="s">
        <v>1018</v>
      </c>
      <c r="B12" s="615">
        <v>1300</v>
      </c>
      <c r="C12" s="466"/>
      <c r="D12" s="466"/>
      <c r="E12" s="466"/>
      <c r="F12" s="466"/>
      <c r="G12" s="466"/>
      <c r="H12" s="466"/>
      <c r="I12" s="467"/>
      <c r="J12" s="467"/>
      <c r="K12" s="1692">
        <f t="shared" si="0"/>
        <v>0</v>
      </c>
      <c r="L12" s="466">
        <v>0</v>
      </c>
    </row>
    <row r="13" spans="1:14">
      <c r="A13" s="1526" t="s">
        <v>746</v>
      </c>
      <c r="B13" s="615">
        <v>1400</v>
      </c>
      <c r="C13" s="466"/>
      <c r="D13" s="466"/>
      <c r="E13" s="466"/>
      <c r="F13" s="466"/>
      <c r="G13" s="466"/>
      <c r="H13" s="466"/>
      <c r="I13" s="467"/>
      <c r="J13" s="467"/>
      <c r="K13" s="1692">
        <f t="shared" si="0"/>
        <v>0</v>
      </c>
      <c r="L13" s="466">
        <v>0</v>
      </c>
    </row>
    <row r="14" spans="1:14">
      <c r="A14" s="1526" t="s">
        <v>1019</v>
      </c>
      <c r="B14" s="615">
        <v>1500</v>
      </c>
      <c r="C14" s="466">
        <v>145780</v>
      </c>
      <c r="D14" s="466"/>
      <c r="E14" s="466">
        <v>10105</v>
      </c>
      <c r="F14" s="466">
        <v>23325</v>
      </c>
      <c r="G14" s="466"/>
      <c r="H14" s="466"/>
      <c r="I14" s="467"/>
      <c r="J14" s="467"/>
      <c r="K14" s="1692">
        <f t="shared" si="0"/>
        <v>179210</v>
      </c>
      <c r="L14" s="466">
        <v>185350</v>
      </c>
    </row>
    <row r="15" spans="1:14">
      <c r="A15" s="1526" t="s">
        <v>1020</v>
      </c>
      <c r="B15" s="615">
        <v>1600</v>
      </c>
      <c r="C15" s="466">
        <v>281824</v>
      </c>
      <c r="D15" s="466">
        <v>141</v>
      </c>
      <c r="E15" s="466">
        <v>98500</v>
      </c>
      <c r="F15" s="466">
        <v>26286</v>
      </c>
      <c r="G15" s="466"/>
      <c r="H15" s="466"/>
      <c r="I15" s="467"/>
      <c r="J15" s="467"/>
      <c r="K15" s="1692">
        <f t="shared" si="0"/>
        <v>406751</v>
      </c>
      <c r="L15" s="466">
        <v>495439</v>
      </c>
    </row>
    <row r="16" spans="1:14">
      <c r="A16" s="1526" t="s">
        <v>1043</v>
      </c>
      <c r="B16" s="615" t="s">
        <v>443</v>
      </c>
      <c r="C16" s="466">
        <v>93626</v>
      </c>
      <c r="D16" s="466">
        <v>10913</v>
      </c>
      <c r="E16" s="466">
        <v>14235</v>
      </c>
      <c r="F16" s="466"/>
      <c r="G16" s="466"/>
      <c r="H16" s="466"/>
      <c r="I16" s="467"/>
      <c r="J16" s="467"/>
      <c r="K16" s="1692">
        <f t="shared" si="0"/>
        <v>118774</v>
      </c>
      <c r="L16" s="466">
        <v>112065</v>
      </c>
    </row>
    <row r="17" spans="1:12">
      <c r="A17" s="1526" t="s">
        <v>747</v>
      </c>
      <c r="B17" s="615" t="s">
        <v>164</v>
      </c>
      <c r="C17" s="467"/>
      <c r="D17" s="467"/>
      <c r="E17" s="467"/>
      <c r="F17" s="467"/>
      <c r="G17" s="467"/>
      <c r="H17" s="467"/>
      <c r="I17" s="467"/>
      <c r="J17" s="467"/>
      <c r="K17" s="1692">
        <f t="shared" si="0"/>
        <v>0</v>
      </c>
      <c r="L17" s="466">
        <v>0</v>
      </c>
    </row>
    <row r="18" spans="1:12">
      <c r="A18" s="1526" t="s">
        <v>1147</v>
      </c>
      <c r="B18" s="615">
        <v>1800</v>
      </c>
      <c r="C18" s="466">
        <v>2073569</v>
      </c>
      <c r="D18" s="466">
        <v>214807</v>
      </c>
      <c r="E18" s="466"/>
      <c r="F18" s="466">
        <v>27189</v>
      </c>
      <c r="G18" s="466"/>
      <c r="H18" s="466"/>
      <c r="I18" s="467"/>
      <c r="J18" s="467"/>
      <c r="K18" s="1692">
        <f t="shared" si="0"/>
        <v>2315565</v>
      </c>
      <c r="L18" s="466">
        <v>0</v>
      </c>
    </row>
    <row r="19" spans="1:12">
      <c r="A19" s="1526" t="s">
        <v>136</v>
      </c>
      <c r="B19" s="615">
        <v>1900</v>
      </c>
      <c r="C19" s="466"/>
      <c r="D19" s="466"/>
      <c r="E19" s="466"/>
      <c r="F19" s="466"/>
      <c r="G19" s="466"/>
      <c r="H19" s="466"/>
      <c r="I19" s="467"/>
      <c r="J19" s="467"/>
      <c r="K19" s="1692">
        <f t="shared" si="0"/>
        <v>0</v>
      </c>
      <c r="L19" s="466">
        <v>2385317</v>
      </c>
    </row>
    <row r="20" spans="1:12">
      <c r="A20" s="1527" t="s">
        <v>761</v>
      </c>
      <c r="B20" s="603" t="s">
        <v>748</v>
      </c>
      <c r="C20" s="477"/>
      <c r="D20" s="477"/>
      <c r="E20" s="477"/>
      <c r="F20" s="477"/>
      <c r="G20" s="477"/>
      <c r="H20" s="474"/>
      <c r="I20" s="617"/>
      <c r="J20" s="475"/>
      <c r="K20" s="1692">
        <f t="shared" si="0"/>
        <v>0</v>
      </c>
      <c r="L20" s="471">
        <v>0</v>
      </c>
    </row>
    <row r="21" spans="1:12">
      <c r="A21" s="1527" t="s">
        <v>762</v>
      </c>
      <c r="B21" s="603" t="s">
        <v>749</v>
      </c>
      <c r="C21" s="477"/>
      <c r="D21" s="477"/>
      <c r="E21" s="477"/>
      <c r="F21" s="477"/>
      <c r="G21" s="477"/>
      <c r="H21" s="474"/>
      <c r="I21" s="617"/>
      <c r="J21" s="477"/>
      <c r="K21" s="1692">
        <f t="shared" si="0"/>
        <v>0</v>
      </c>
      <c r="L21" s="471">
        <v>0</v>
      </c>
    </row>
    <row r="22" spans="1:12">
      <c r="A22" s="1527" t="s">
        <v>763</v>
      </c>
      <c r="B22" s="603" t="s">
        <v>750</v>
      </c>
      <c r="C22" s="477"/>
      <c r="D22" s="477"/>
      <c r="E22" s="477"/>
      <c r="F22" s="477"/>
      <c r="G22" s="477"/>
      <c r="H22" s="474"/>
      <c r="I22" s="617"/>
      <c r="J22" s="477"/>
      <c r="K22" s="1692">
        <f t="shared" si="0"/>
        <v>0</v>
      </c>
      <c r="L22" s="471">
        <v>0</v>
      </c>
    </row>
    <row r="23" spans="1:12">
      <c r="A23" s="1527" t="s">
        <v>764</v>
      </c>
      <c r="B23" s="603" t="s">
        <v>751</v>
      </c>
      <c r="C23" s="477"/>
      <c r="D23" s="477"/>
      <c r="E23" s="477"/>
      <c r="F23" s="477"/>
      <c r="G23" s="477"/>
      <c r="H23" s="474"/>
      <c r="I23" s="617"/>
      <c r="J23" s="477"/>
      <c r="K23" s="1692">
        <f t="shared" si="0"/>
        <v>0</v>
      </c>
      <c r="L23" s="471">
        <v>0</v>
      </c>
    </row>
    <row r="24" spans="1:12" ht="12.75" customHeight="1">
      <c r="A24" s="1527" t="s">
        <v>765</v>
      </c>
      <c r="B24" s="603" t="s">
        <v>752</v>
      </c>
      <c r="C24" s="477"/>
      <c r="D24" s="477"/>
      <c r="E24" s="477"/>
      <c r="F24" s="477"/>
      <c r="G24" s="477"/>
      <c r="H24" s="474"/>
      <c r="I24" s="617"/>
      <c r="J24" s="477"/>
      <c r="K24" s="1692">
        <f t="shared" si="0"/>
        <v>0</v>
      </c>
      <c r="L24" s="471">
        <v>0</v>
      </c>
    </row>
    <row r="25" spans="1:12" ht="12.75" customHeight="1">
      <c r="A25" s="1527" t="s">
        <v>834</v>
      </c>
      <c r="B25" s="603" t="s">
        <v>753</v>
      </c>
      <c r="C25" s="477"/>
      <c r="D25" s="477"/>
      <c r="E25" s="477"/>
      <c r="F25" s="477"/>
      <c r="G25" s="477"/>
      <c r="H25" s="474"/>
      <c r="I25" s="617"/>
      <c r="J25" s="477"/>
      <c r="K25" s="1692">
        <f t="shared" si="0"/>
        <v>0</v>
      </c>
      <c r="L25" s="471">
        <v>0</v>
      </c>
    </row>
    <row r="26" spans="1:12">
      <c r="A26" s="1527" t="s">
        <v>642</v>
      </c>
      <c r="B26" s="603" t="s">
        <v>754</v>
      </c>
      <c r="C26" s="477"/>
      <c r="D26" s="477"/>
      <c r="E26" s="477"/>
      <c r="F26" s="477"/>
      <c r="G26" s="477"/>
      <c r="H26" s="474"/>
      <c r="I26" s="617"/>
      <c r="J26" s="477"/>
      <c r="K26" s="1692">
        <f t="shared" si="0"/>
        <v>0</v>
      </c>
      <c r="L26" s="471">
        <v>0</v>
      </c>
    </row>
    <row r="27" spans="1:12">
      <c r="A27" s="1527" t="s">
        <v>643</v>
      </c>
      <c r="B27" s="603" t="s">
        <v>755</v>
      </c>
      <c r="C27" s="477"/>
      <c r="D27" s="477"/>
      <c r="E27" s="477"/>
      <c r="F27" s="477"/>
      <c r="G27" s="477"/>
      <c r="H27" s="474"/>
      <c r="I27" s="617"/>
      <c r="J27" s="477"/>
      <c r="K27" s="1692">
        <f t="shared" si="0"/>
        <v>0</v>
      </c>
      <c r="L27" s="471">
        <v>0</v>
      </c>
    </row>
    <row r="28" spans="1:12">
      <c r="A28" s="1527" t="s">
        <v>152</v>
      </c>
      <c r="B28" s="603" t="s">
        <v>756</v>
      </c>
      <c r="C28" s="477"/>
      <c r="D28" s="477"/>
      <c r="E28" s="477"/>
      <c r="F28" s="477"/>
      <c r="G28" s="477"/>
      <c r="H28" s="474"/>
      <c r="I28" s="617"/>
      <c r="J28" s="477"/>
      <c r="K28" s="1692">
        <f t="shared" si="0"/>
        <v>0</v>
      </c>
      <c r="L28" s="471">
        <v>0</v>
      </c>
    </row>
    <row r="29" spans="1:12">
      <c r="A29" s="1527" t="s">
        <v>153</v>
      </c>
      <c r="B29" s="603" t="s">
        <v>757</v>
      </c>
      <c r="C29" s="477"/>
      <c r="D29" s="477"/>
      <c r="E29" s="477"/>
      <c r="F29" s="477"/>
      <c r="G29" s="477"/>
      <c r="H29" s="474"/>
      <c r="I29" s="617"/>
      <c r="J29" s="477"/>
      <c r="K29" s="1692">
        <f t="shared" si="0"/>
        <v>0</v>
      </c>
      <c r="L29" s="471">
        <v>0</v>
      </c>
    </row>
    <row r="30" spans="1:12">
      <c r="A30" s="1527" t="s">
        <v>154</v>
      </c>
      <c r="B30" s="603" t="s">
        <v>758</v>
      </c>
      <c r="C30" s="477"/>
      <c r="D30" s="477"/>
      <c r="E30" s="477"/>
      <c r="F30" s="477"/>
      <c r="G30" s="477"/>
      <c r="H30" s="474"/>
      <c r="I30" s="617"/>
      <c r="J30" s="477"/>
      <c r="K30" s="1692">
        <f t="shared" si="0"/>
        <v>0</v>
      </c>
      <c r="L30" s="471">
        <v>0</v>
      </c>
    </row>
    <row r="31" spans="1:12">
      <c r="A31" s="1527" t="s">
        <v>155</v>
      </c>
      <c r="B31" s="603" t="s">
        <v>759</v>
      </c>
      <c r="C31" s="477"/>
      <c r="D31" s="477"/>
      <c r="E31" s="477"/>
      <c r="F31" s="477"/>
      <c r="G31" s="477"/>
      <c r="H31" s="474"/>
      <c r="I31" s="617"/>
      <c r="J31" s="477"/>
      <c r="K31" s="1692">
        <f t="shared" si="0"/>
        <v>0</v>
      </c>
      <c r="L31" s="471">
        <v>0</v>
      </c>
    </row>
    <row r="32" spans="1:12">
      <c r="A32" s="1528" t="s">
        <v>1190</v>
      </c>
      <c r="B32" s="615" t="s">
        <v>760</v>
      </c>
      <c r="C32" s="477"/>
      <c r="D32" s="477"/>
      <c r="E32" s="477"/>
      <c r="F32" s="477"/>
      <c r="G32" s="477"/>
      <c r="H32" s="474"/>
      <c r="I32" s="617"/>
      <c r="J32" s="480"/>
      <c r="K32" s="1692">
        <f t="shared" si="0"/>
        <v>0</v>
      </c>
      <c r="L32" s="471">
        <v>0</v>
      </c>
    </row>
    <row r="33" spans="1:14" ht="12.75" customHeight="1" thickBot="1">
      <c r="A33" s="1689" t="s">
        <v>1766</v>
      </c>
      <c r="B33" s="1690" t="s">
        <v>590</v>
      </c>
      <c r="C33" s="1691">
        <f>SUM(C5:C32)</f>
        <v>54084053</v>
      </c>
      <c r="D33" s="1691">
        <f t="shared" ref="D33:L33" si="1">SUM(D5:D32)</f>
        <v>5640783</v>
      </c>
      <c r="E33" s="1691">
        <f t="shared" si="1"/>
        <v>1196629</v>
      </c>
      <c r="F33" s="1691">
        <f t="shared" si="1"/>
        <v>1853900</v>
      </c>
      <c r="G33" s="1691">
        <f t="shared" si="1"/>
        <v>17630</v>
      </c>
      <c r="H33" s="1691">
        <f t="shared" si="1"/>
        <v>1228007</v>
      </c>
      <c r="I33" s="1691">
        <f t="shared" si="1"/>
        <v>0</v>
      </c>
      <c r="J33" s="1691">
        <f t="shared" si="1"/>
        <v>0</v>
      </c>
      <c r="K33" s="1691">
        <f t="shared" si="1"/>
        <v>64021002</v>
      </c>
      <c r="L33" s="1691">
        <f t="shared" si="1"/>
        <v>65067365</v>
      </c>
    </row>
    <row r="34" spans="1:14" s="621" customFormat="1" ht="15.75" customHeight="1" thickTop="1">
      <c r="A34" s="1630" t="s">
        <v>48</v>
      </c>
      <c r="B34" s="1631" t="s">
        <v>589</v>
      </c>
      <c r="C34" s="619"/>
      <c r="D34" s="619"/>
      <c r="E34" s="619"/>
      <c r="F34" s="619"/>
      <c r="G34" s="619"/>
      <c r="H34" s="619"/>
      <c r="I34" s="617"/>
      <c r="J34" s="617"/>
      <c r="K34" s="617"/>
      <c r="L34" s="617"/>
      <c r="M34" s="620"/>
      <c r="N34" s="620"/>
    </row>
    <row r="35" spans="1:14" s="621" customFormat="1" ht="15.75" customHeight="1">
      <c r="A35" s="622" t="s">
        <v>611</v>
      </c>
      <c r="B35" s="623"/>
      <c r="C35" s="624"/>
      <c r="D35" s="624"/>
      <c r="E35" s="624"/>
      <c r="F35" s="624"/>
      <c r="G35" s="624"/>
      <c r="H35" s="624"/>
      <c r="I35" s="617"/>
      <c r="J35" s="617"/>
      <c r="K35" s="617"/>
      <c r="L35" s="617"/>
      <c r="M35" s="620"/>
      <c r="N35" s="620"/>
    </row>
    <row r="36" spans="1:14">
      <c r="A36" s="1526" t="s">
        <v>1149</v>
      </c>
      <c r="B36" s="615">
        <v>2110</v>
      </c>
      <c r="C36" s="481">
        <v>2567746</v>
      </c>
      <c r="D36" s="481">
        <v>265721</v>
      </c>
      <c r="E36" s="481"/>
      <c r="F36" s="481">
        <v>8442</v>
      </c>
      <c r="G36" s="481"/>
      <c r="H36" s="481"/>
      <c r="I36" s="467"/>
      <c r="J36" s="467"/>
      <c r="K36" s="1692">
        <f t="shared" ref="K36:K41" si="2">SUM(C36:J36)</f>
        <v>2841909</v>
      </c>
      <c r="L36" s="466">
        <v>2748165</v>
      </c>
    </row>
    <row r="37" spans="1:14">
      <c r="A37" s="1526" t="s">
        <v>1150</v>
      </c>
      <c r="B37" s="615">
        <v>2120</v>
      </c>
      <c r="C37" s="466"/>
      <c r="D37" s="466"/>
      <c r="E37" s="466"/>
      <c r="F37" s="466"/>
      <c r="G37" s="466"/>
      <c r="H37" s="466"/>
      <c r="I37" s="467"/>
      <c r="J37" s="467"/>
      <c r="K37" s="1692">
        <f t="shared" si="2"/>
        <v>0</v>
      </c>
      <c r="L37" s="466">
        <v>0</v>
      </c>
    </row>
    <row r="38" spans="1:14">
      <c r="A38" s="1526" t="s">
        <v>207</v>
      </c>
      <c r="B38" s="615">
        <v>2130</v>
      </c>
      <c r="C38" s="466">
        <v>790753</v>
      </c>
      <c r="D38" s="466">
        <v>125391</v>
      </c>
      <c r="E38" s="466">
        <v>47049</v>
      </c>
      <c r="F38" s="466">
        <v>18962</v>
      </c>
      <c r="G38" s="466">
        <v>895</v>
      </c>
      <c r="H38" s="466"/>
      <c r="I38" s="467"/>
      <c r="J38" s="467"/>
      <c r="K38" s="1692">
        <f t="shared" si="2"/>
        <v>983050</v>
      </c>
      <c r="L38" s="466">
        <v>1027574</v>
      </c>
    </row>
    <row r="39" spans="1:14">
      <c r="A39" s="1526" t="s">
        <v>208</v>
      </c>
      <c r="B39" s="615">
        <v>2140</v>
      </c>
      <c r="C39" s="466">
        <v>1198173</v>
      </c>
      <c r="D39" s="466">
        <v>98290</v>
      </c>
      <c r="E39" s="466">
        <v>27796</v>
      </c>
      <c r="F39" s="466">
        <v>9867</v>
      </c>
      <c r="G39" s="466"/>
      <c r="H39" s="466"/>
      <c r="I39" s="467"/>
      <c r="J39" s="467"/>
      <c r="K39" s="1692">
        <f t="shared" si="2"/>
        <v>1334126</v>
      </c>
      <c r="L39" s="466">
        <v>1331509</v>
      </c>
    </row>
    <row r="40" spans="1:14">
      <c r="A40" s="1526" t="s">
        <v>209</v>
      </c>
      <c r="B40" s="615">
        <v>2150</v>
      </c>
      <c r="C40" s="466">
        <v>1540506</v>
      </c>
      <c r="D40" s="466">
        <v>134838</v>
      </c>
      <c r="E40" s="466">
        <v>14627</v>
      </c>
      <c r="F40" s="466">
        <v>4481</v>
      </c>
      <c r="G40" s="466"/>
      <c r="H40" s="466"/>
      <c r="I40" s="467"/>
      <c r="J40" s="467"/>
      <c r="K40" s="1692">
        <f t="shared" si="2"/>
        <v>1694452</v>
      </c>
      <c r="L40" s="466">
        <v>1789880</v>
      </c>
    </row>
    <row r="41" spans="1:14">
      <c r="A41" s="1526" t="s">
        <v>1767</v>
      </c>
      <c r="B41" s="615">
        <v>2190</v>
      </c>
      <c r="C41" s="466">
        <v>1444846</v>
      </c>
      <c r="D41" s="466">
        <v>85708</v>
      </c>
      <c r="E41" s="466">
        <v>21024</v>
      </c>
      <c r="F41" s="466"/>
      <c r="G41" s="466"/>
      <c r="H41" s="466"/>
      <c r="I41" s="467"/>
      <c r="J41" s="467"/>
      <c r="K41" s="1692">
        <f t="shared" si="2"/>
        <v>1551578</v>
      </c>
      <c r="L41" s="466">
        <v>1889464</v>
      </c>
    </row>
    <row r="42" spans="1:14" ht="12.75" customHeight="1" thickBot="1">
      <c r="A42" s="1689" t="s">
        <v>580</v>
      </c>
      <c r="B42" s="1690" t="s">
        <v>739</v>
      </c>
      <c r="C42" s="1691">
        <f>SUM(C36:C41)</f>
        <v>7542024</v>
      </c>
      <c r="D42" s="1691">
        <f t="shared" ref="D42:L42" si="3">SUM(D36:D41)</f>
        <v>709948</v>
      </c>
      <c r="E42" s="1691">
        <f t="shared" si="3"/>
        <v>110496</v>
      </c>
      <c r="F42" s="1691">
        <f t="shared" si="3"/>
        <v>41752</v>
      </c>
      <c r="G42" s="1691">
        <f t="shared" si="3"/>
        <v>895</v>
      </c>
      <c r="H42" s="1691">
        <f t="shared" si="3"/>
        <v>0</v>
      </c>
      <c r="I42" s="1691">
        <f t="shared" si="3"/>
        <v>0</v>
      </c>
      <c r="J42" s="1691">
        <f t="shared" si="3"/>
        <v>0</v>
      </c>
      <c r="K42" s="1691">
        <f t="shared" si="3"/>
        <v>8405115</v>
      </c>
      <c r="L42" s="1691">
        <f t="shared" si="3"/>
        <v>8786592</v>
      </c>
    </row>
    <row r="43" spans="1:14" ht="15.75" customHeight="1" thickTop="1">
      <c r="A43" s="625" t="s">
        <v>612</v>
      </c>
      <c r="B43" s="626"/>
      <c r="C43" s="627"/>
      <c r="D43" s="627"/>
      <c r="E43" s="627"/>
      <c r="F43" s="627"/>
      <c r="G43" s="627"/>
      <c r="H43" s="627"/>
      <c r="I43" s="617"/>
      <c r="J43" s="617"/>
      <c r="K43" s="627"/>
      <c r="L43" s="627"/>
    </row>
    <row r="44" spans="1:14">
      <c r="A44" s="1526" t="s">
        <v>867</v>
      </c>
      <c r="B44" s="615">
        <v>2210</v>
      </c>
      <c r="C44" s="481">
        <v>2245422</v>
      </c>
      <c r="D44" s="481">
        <v>210395</v>
      </c>
      <c r="E44" s="481">
        <v>363477</v>
      </c>
      <c r="F44" s="481">
        <v>54899</v>
      </c>
      <c r="G44" s="481"/>
      <c r="H44" s="481">
        <v>42432</v>
      </c>
      <c r="I44" s="467"/>
      <c r="J44" s="467"/>
      <c r="K44" s="1693">
        <f>SUM(C44:J44)</f>
        <v>2916625</v>
      </c>
      <c r="L44" s="481">
        <v>3182296</v>
      </c>
    </row>
    <row r="45" spans="1:14">
      <c r="A45" s="1526" t="s">
        <v>868</v>
      </c>
      <c r="B45" s="615">
        <v>2220</v>
      </c>
      <c r="C45" s="466">
        <v>1251755</v>
      </c>
      <c r="D45" s="466">
        <v>129332</v>
      </c>
      <c r="E45" s="466">
        <v>9915</v>
      </c>
      <c r="F45" s="466">
        <v>25943</v>
      </c>
      <c r="G45" s="466"/>
      <c r="H45" s="466"/>
      <c r="I45" s="467"/>
      <c r="J45" s="467"/>
      <c r="K45" s="1693">
        <f>SUM(C45:J45)</f>
        <v>1416945</v>
      </c>
      <c r="L45" s="466">
        <v>1376759</v>
      </c>
    </row>
    <row r="46" spans="1:14">
      <c r="A46" s="1526" t="s">
        <v>869</v>
      </c>
      <c r="B46" s="615">
        <v>2230</v>
      </c>
      <c r="C46" s="466">
        <v>91307</v>
      </c>
      <c r="D46" s="466"/>
      <c r="E46" s="466">
        <v>21490</v>
      </c>
      <c r="F46" s="466">
        <v>69553</v>
      </c>
      <c r="G46" s="466"/>
      <c r="H46" s="466"/>
      <c r="I46" s="467"/>
      <c r="J46" s="467"/>
      <c r="K46" s="1693">
        <f>SUM(C46:J46)</f>
        <v>182350</v>
      </c>
      <c r="L46" s="466">
        <v>240218</v>
      </c>
    </row>
    <row r="47" spans="1:14" ht="12.75" customHeight="1" thickBot="1">
      <c r="A47" s="1689" t="s">
        <v>581</v>
      </c>
      <c r="B47" s="1690" t="s">
        <v>32</v>
      </c>
      <c r="C47" s="1691">
        <f>SUM(C44:C46)</f>
        <v>3588484</v>
      </c>
      <c r="D47" s="1691">
        <f t="shared" ref="D47:K47" si="4">SUM(D44:D46)</f>
        <v>339727</v>
      </c>
      <c r="E47" s="1691">
        <f t="shared" si="4"/>
        <v>394882</v>
      </c>
      <c r="F47" s="1691">
        <f t="shared" si="4"/>
        <v>150395</v>
      </c>
      <c r="G47" s="1691">
        <f t="shared" si="4"/>
        <v>0</v>
      </c>
      <c r="H47" s="1691">
        <f t="shared" si="4"/>
        <v>42432</v>
      </c>
      <c r="I47" s="1691">
        <f t="shared" si="4"/>
        <v>0</v>
      </c>
      <c r="J47" s="1691">
        <f t="shared" si="4"/>
        <v>0</v>
      </c>
      <c r="K47" s="1691">
        <f t="shared" si="4"/>
        <v>4515920</v>
      </c>
      <c r="L47" s="1691">
        <f>SUM(L44:L46)</f>
        <v>4799273</v>
      </c>
    </row>
    <row r="48" spans="1:14" ht="15.75" customHeight="1" thickTop="1">
      <c r="A48" s="625" t="s">
        <v>630</v>
      </c>
      <c r="B48" s="626"/>
      <c r="C48" s="627"/>
      <c r="D48" s="627"/>
      <c r="E48" s="627"/>
      <c r="F48" s="627"/>
      <c r="G48" s="627"/>
      <c r="H48" s="627"/>
      <c r="I48" s="617"/>
      <c r="J48" s="617"/>
      <c r="K48" s="627"/>
      <c r="L48" s="627"/>
    </row>
    <row r="49" spans="1:14">
      <c r="A49" s="1526" t="s">
        <v>870</v>
      </c>
      <c r="B49" s="615">
        <v>2310</v>
      </c>
      <c r="C49" s="481">
        <v>63874</v>
      </c>
      <c r="D49" s="481">
        <v>21258</v>
      </c>
      <c r="E49" s="481">
        <v>59909</v>
      </c>
      <c r="F49" s="481">
        <v>5744</v>
      </c>
      <c r="G49" s="481"/>
      <c r="H49" s="481">
        <v>48253</v>
      </c>
      <c r="I49" s="467"/>
      <c r="J49" s="467"/>
      <c r="K49" s="1693">
        <f>SUM(C49:J49)</f>
        <v>199038</v>
      </c>
      <c r="L49" s="481">
        <v>211664</v>
      </c>
    </row>
    <row r="50" spans="1:14">
      <c r="A50" s="1526" t="s">
        <v>871</v>
      </c>
      <c r="B50" s="615">
        <v>2320</v>
      </c>
      <c r="C50" s="466">
        <v>370712</v>
      </c>
      <c r="D50" s="466">
        <v>72810</v>
      </c>
      <c r="E50" s="466">
        <v>5696</v>
      </c>
      <c r="F50" s="466">
        <v>5151</v>
      </c>
      <c r="G50" s="466"/>
      <c r="H50" s="466"/>
      <c r="I50" s="467"/>
      <c r="J50" s="467"/>
      <c r="K50" s="1693">
        <f>SUM(C50:J50)</f>
        <v>454369</v>
      </c>
      <c r="L50" s="466">
        <v>450166</v>
      </c>
    </row>
    <row r="51" spans="1:14">
      <c r="A51" s="1526" t="s">
        <v>44</v>
      </c>
      <c r="B51" s="615">
        <v>2330</v>
      </c>
      <c r="C51" s="466">
        <v>1964445</v>
      </c>
      <c r="D51" s="466">
        <v>229142</v>
      </c>
      <c r="E51" s="466">
        <v>23710</v>
      </c>
      <c r="F51" s="466">
        <v>264460</v>
      </c>
      <c r="G51" s="466"/>
      <c r="H51" s="466"/>
      <c r="I51" s="467"/>
      <c r="J51" s="467"/>
      <c r="K51" s="1693">
        <f>SUM(C51:J51)</f>
        <v>2481757</v>
      </c>
      <c r="L51" s="466">
        <v>2110699</v>
      </c>
    </row>
    <row r="52" spans="1:14" ht="22.5">
      <c r="A52" s="1527" t="s">
        <v>315</v>
      </c>
      <c r="B52" s="628" t="s">
        <v>383</v>
      </c>
      <c r="C52" s="474"/>
      <c r="D52" s="474"/>
      <c r="E52" s="474"/>
      <c r="F52" s="474"/>
      <c r="G52" s="474"/>
      <c r="H52" s="474"/>
      <c r="I52" s="474"/>
      <c r="J52" s="474"/>
      <c r="K52" s="1693">
        <f>SUM(C52:J52)</f>
        <v>0</v>
      </c>
      <c r="L52" s="474">
        <v>200000</v>
      </c>
    </row>
    <row r="53" spans="1:14" ht="12.75" customHeight="1" thickBot="1">
      <c r="A53" s="1689" t="s">
        <v>740</v>
      </c>
      <c r="B53" s="1690" t="s">
        <v>33</v>
      </c>
      <c r="C53" s="1691">
        <f>SUM(C49:C52)</f>
        <v>2399031</v>
      </c>
      <c r="D53" s="1691">
        <f t="shared" ref="D53:L53" si="5">SUM(D49:D52)</f>
        <v>323210</v>
      </c>
      <c r="E53" s="1691">
        <f t="shared" si="5"/>
        <v>89315</v>
      </c>
      <c r="F53" s="1691">
        <f t="shared" si="5"/>
        <v>275355</v>
      </c>
      <c r="G53" s="1691">
        <f t="shared" si="5"/>
        <v>0</v>
      </c>
      <c r="H53" s="1691">
        <f t="shared" si="5"/>
        <v>48253</v>
      </c>
      <c r="I53" s="1691">
        <f t="shared" si="5"/>
        <v>0</v>
      </c>
      <c r="J53" s="1691">
        <f t="shared" si="5"/>
        <v>0</v>
      </c>
      <c r="K53" s="1691">
        <f t="shared" si="5"/>
        <v>3135164</v>
      </c>
      <c r="L53" s="1691">
        <f t="shared" si="5"/>
        <v>2972529</v>
      </c>
    </row>
    <row r="54" spans="1:14" ht="15.75" customHeight="1" thickTop="1">
      <c r="A54" s="625" t="s">
        <v>631</v>
      </c>
      <c r="B54" s="626"/>
      <c r="C54" s="627"/>
      <c r="D54" s="627"/>
      <c r="E54" s="627"/>
      <c r="F54" s="627"/>
      <c r="G54" s="627"/>
      <c r="H54" s="627"/>
      <c r="I54" s="617"/>
      <c r="J54" s="617"/>
      <c r="K54" s="627"/>
      <c r="L54" s="627"/>
    </row>
    <row r="55" spans="1:14">
      <c r="A55" s="1526" t="s">
        <v>1126</v>
      </c>
      <c r="B55" s="615">
        <v>2410</v>
      </c>
      <c r="C55" s="481">
        <v>4507435</v>
      </c>
      <c r="D55" s="481">
        <v>490177</v>
      </c>
      <c r="E55" s="481">
        <v>49740</v>
      </c>
      <c r="F55" s="481"/>
      <c r="G55" s="481"/>
      <c r="H55" s="481"/>
      <c r="I55" s="467"/>
      <c r="J55" s="467"/>
      <c r="K55" s="1693">
        <f>SUM(C55:J55)</f>
        <v>5047352</v>
      </c>
      <c r="L55" s="481">
        <v>5155267</v>
      </c>
    </row>
    <row r="56" spans="1:14" ht="12.75" customHeight="1">
      <c r="A56" s="1530" t="s">
        <v>393</v>
      </c>
      <c r="B56" s="629">
        <v>2490</v>
      </c>
      <c r="C56" s="466">
        <v>80250</v>
      </c>
      <c r="D56" s="466">
        <v>1293</v>
      </c>
      <c r="E56" s="466"/>
      <c r="F56" s="466"/>
      <c r="G56" s="466"/>
      <c r="H56" s="466"/>
      <c r="I56" s="467"/>
      <c r="J56" s="467"/>
      <c r="K56" s="1693">
        <f>SUM(C56:J56)</f>
        <v>81543</v>
      </c>
      <c r="L56" s="466">
        <v>55500</v>
      </c>
    </row>
    <row r="57" spans="1:14" s="343" customFormat="1" ht="12.75" customHeight="1" thickBot="1">
      <c r="A57" s="1689" t="s">
        <v>281</v>
      </c>
      <c r="B57" s="1694" t="s">
        <v>34</v>
      </c>
      <c r="C57" s="1695">
        <f>SUM(C55:C56)</f>
        <v>4587685</v>
      </c>
      <c r="D57" s="1695">
        <f t="shared" ref="D57:K57" si="6">SUM(D55:D56)</f>
        <v>491470</v>
      </c>
      <c r="E57" s="1695">
        <f t="shared" si="6"/>
        <v>49740</v>
      </c>
      <c r="F57" s="1695">
        <f t="shared" si="6"/>
        <v>0</v>
      </c>
      <c r="G57" s="1695">
        <f t="shared" si="6"/>
        <v>0</v>
      </c>
      <c r="H57" s="1695">
        <f t="shared" si="6"/>
        <v>0</v>
      </c>
      <c r="I57" s="1695">
        <f t="shared" si="6"/>
        <v>0</v>
      </c>
      <c r="J57" s="1695">
        <f t="shared" si="6"/>
        <v>0</v>
      </c>
      <c r="K57" s="1695">
        <f t="shared" si="6"/>
        <v>5128895</v>
      </c>
      <c r="L57" s="1691">
        <f>SUM(L55:L56)</f>
        <v>5210767</v>
      </c>
      <c r="M57" s="610"/>
      <c r="N57" s="610"/>
    </row>
    <row r="58" spans="1:14" s="343" customFormat="1" ht="15.75" customHeight="1" thickTop="1">
      <c r="A58" s="625" t="s">
        <v>632</v>
      </c>
      <c r="B58" s="626"/>
      <c r="C58" s="630"/>
      <c r="D58" s="627"/>
      <c r="E58" s="627"/>
      <c r="F58" s="627"/>
      <c r="G58" s="627"/>
      <c r="H58" s="627"/>
      <c r="I58" s="617"/>
      <c r="J58" s="617"/>
      <c r="K58" s="627"/>
      <c r="L58" s="627"/>
      <c r="M58" s="610"/>
      <c r="N58" s="610"/>
    </row>
    <row r="59" spans="1:14" s="343" customFormat="1">
      <c r="A59" s="1526" t="s">
        <v>1127</v>
      </c>
      <c r="B59" s="615">
        <v>2510</v>
      </c>
      <c r="C59" s="481">
        <v>356039</v>
      </c>
      <c r="D59" s="481">
        <v>52536</v>
      </c>
      <c r="E59" s="481">
        <v>19617</v>
      </c>
      <c r="F59" s="481">
        <v>1702</v>
      </c>
      <c r="G59" s="481">
        <v>525</v>
      </c>
      <c r="H59" s="481"/>
      <c r="I59" s="467"/>
      <c r="J59" s="467"/>
      <c r="K59" s="1693">
        <f t="shared" ref="K59:K64" si="7">SUM(C59:J59)</f>
        <v>430419</v>
      </c>
      <c r="L59" s="481">
        <v>439030</v>
      </c>
      <c r="M59" s="610"/>
      <c r="N59" s="610"/>
    </row>
    <row r="60" spans="1:14" s="343" customFormat="1">
      <c r="A60" s="1526" t="s">
        <v>482</v>
      </c>
      <c r="B60" s="615">
        <v>2520</v>
      </c>
      <c r="C60" s="466">
        <v>436389</v>
      </c>
      <c r="D60" s="466">
        <v>77542</v>
      </c>
      <c r="E60" s="466">
        <v>5917</v>
      </c>
      <c r="F60" s="466">
        <v>2481</v>
      </c>
      <c r="G60" s="466">
        <v>601</v>
      </c>
      <c r="H60" s="466"/>
      <c r="I60" s="467"/>
      <c r="J60" s="467"/>
      <c r="K60" s="1693">
        <f t="shared" si="7"/>
        <v>522930</v>
      </c>
      <c r="L60" s="466">
        <v>533216</v>
      </c>
      <c r="M60" s="610"/>
      <c r="N60" s="610"/>
    </row>
    <row r="61" spans="1:14" s="343" customFormat="1">
      <c r="A61" s="1526" t="s">
        <v>206</v>
      </c>
      <c r="B61" s="615">
        <v>2540</v>
      </c>
      <c r="C61" s="466"/>
      <c r="D61" s="466"/>
      <c r="E61" s="466"/>
      <c r="F61" s="466"/>
      <c r="G61" s="466"/>
      <c r="H61" s="466"/>
      <c r="I61" s="467"/>
      <c r="J61" s="467"/>
      <c r="K61" s="1693">
        <f t="shared" si="7"/>
        <v>0</v>
      </c>
      <c r="L61" s="466">
        <v>0</v>
      </c>
      <c r="M61" s="610"/>
      <c r="N61" s="610"/>
    </row>
    <row r="62" spans="1:14" s="343" customFormat="1">
      <c r="A62" s="1526" t="s">
        <v>1009</v>
      </c>
      <c r="B62" s="615">
        <v>2550</v>
      </c>
      <c r="C62" s="466"/>
      <c r="D62" s="466"/>
      <c r="E62" s="466"/>
      <c r="F62" s="466"/>
      <c r="G62" s="466"/>
      <c r="H62" s="466"/>
      <c r="I62" s="467"/>
      <c r="J62" s="467"/>
      <c r="K62" s="1693">
        <f t="shared" si="7"/>
        <v>0</v>
      </c>
      <c r="L62" s="466">
        <v>0</v>
      </c>
      <c r="M62" s="610"/>
      <c r="N62" s="610"/>
    </row>
    <row r="63" spans="1:14" s="610" customFormat="1">
      <c r="A63" s="1526" t="s">
        <v>102</v>
      </c>
      <c r="B63" s="615">
        <v>2560</v>
      </c>
      <c r="C63" s="466">
        <v>791773</v>
      </c>
      <c r="D63" s="466">
        <v>98375</v>
      </c>
      <c r="E63" s="466">
        <v>55991</v>
      </c>
      <c r="F63" s="466">
        <v>1159187</v>
      </c>
      <c r="G63" s="466">
        <v>28472</v>
      </c>
      <c r="H63" s="466"/>
      <c r="I63" s="467"/>
      <c r="J63" s="467"/>
      <c r="K63" s="1693">
        <f t="shared" si="7"/>
        <v>2133798</v>
      </c>
      <c r="L63" s="466">
        <v>2227304</v>
      </c>
    </row>
    <row r="64" spans="1:14" s="610" customFormat="1">
      <c r="A64" s="1531" t="s">
        <v>103</v>
      </c>
      <c r="B64" s="631">
        <v>2570</v>
      </c>
      <c r="C64" s="481"/>
      <c r="D64" s="481"/>
      <c r="E64" s="481"/>
      <c r="F64" s="481"/>
      <c r="G64" s="481"/>
      <c r="H64" s="481"/>
      <c r="I64" s="467"/>
      <c r="J64" s="467"/>
      <c r="K64" s="1693">
        <f t="shared" si="7"/>
        <v>0</v>
      </c>
      <c r="L64" s="481"/>
    </row>
    <row r="65" spans="1:14" s="343" customFormat="1" ht="12.75" customHeight="1" thickBot="1">
      <c r="A65" s="1689" t="s">
        <v>742</v>
      </c>
      <c r="B65" s="1690" t="s">
        <v>35</v>
      </c>
      <c r="C65" s="1691">
        <f>SUM(C59:C64)</f>
        <v>1584201</v>
      </c>
      <c r="D65" s="1691">
        <f t="shared" ref="D65:L65" si="8">SUM(D59:D64)</f>
        <v>228453</v>
      </c>
      <c r="E65" s="1691">
        <f t="shared" si="8"/>
        <v>81525</v>
      </c>
      <c r="F65" s="1691">
        <f t="shared" si="8"/>
        <v>1163370</v>
      </c>
      <c r="G65" s="1691">
        <f t="shared" si="8"/>
        <v>29598</v>
      </c>
      <c r="H65" s="1691">
        <f t="shared" si="8"/>
        <v>0</v>
      </c>
      <c r="I65" s="1691">
        <f t="shared" si="8"/>
        <v>0</v>
      </c>
      <c r="J65" s="1691">
        <f t="shared" si="8"/>
        <v>0</v>
      </c>
      <c r="K65" s="1691">
        <f t="shared" si="8"/>
        <v>3087147</v>
      </c>
      <c r="L65" s="1691">
        <f t="shared" si="8"/>
        <v>3199550</v>
      </c>
      <c r="M65" s="610"/>
      <c r="N65" s="610"/>
    </row>
    <row r="66" spans="1:14" s="343" customFormat="1" ht="15.75" customHeight="1" thickTop="1">
      <c r="A66" s="625" t="s">
        <v>633</v>
      </c>
      <c r="B66" s="632"/>
      <c r="C66" s="617"/>
      <c r="D66" s="617"/>
      <c r="E66" s="617"/>
      <c r="F66" s="617"/>
      <c r="G66" s="617"/>
      <c r="H66" s="617"/>
      <c r="I66" s="617"/>
      <c r="J66" s="617"/>
      <c r="K66" s="627"/>
      <c r="L66" s="627"/>
      <c r="M66" s="610"/>
      <c r="N66" s="610"/>
    </row>
    <row r="67" spans="1:14" s="343" customFormat="1">
      <c r="A67" s="1526" t="s">
        <v>1119</v>
      </c>
      <c r="B67" s="615">
        <v>2610</v>
      </c>
      <c r="C67" s="466"/>
      <c r="D67" s="466"/>
      <c r="E67" s="466"/>
      <c r="F67" s="466"/>
      <c r="G67" s="466"/>
      <c r="H67" s="466"/>
      <c r="I67" s="467"/>
      <c r="J67" s="467"/>
      <c r="K67" s="1693">
        <f>SUM(C67:J67)</f>
        <v>0</v>
      </c>
      <c r="L67" s="481">
        <v>0</v>
      </c>
      <c r="M67" s="610"/>
      <c r="N67" s="610"/>
    </row>
    <row r="68" spans="1:14" s="343" customFormat="1">
      <c r="A68" s="1526" t="s">
        <v>627</v>
      </c>
      <c r="B68" s="615">
        <v>2620</v>
      </c>
      <c r="C68" s="466">
        <v>606717</v>
      </c>
      <c r="D68" s="466">
        <v>57510</v>
      </c>
      <c r="E68" s="466">
        <v>6044</v>
      </c>
      <c r="F68" s="466">
        <v>2002</v>
      </c>
      <c r="G68" s="466"/>
      <c r="H68" s="466"/>
      <c r="I68" s="467"/>
      <c r="J68" s="467"/>
      <c r="K68" s="1693">
        <f>SUM(C68:J68)</f>
        <v>672273</v>
      </c>
      <c r="L68" s="466">
        <v>702399</v>
      </c>
      <c r="M68" s="610"/>
      <c r="N68" s="610"/>
    </row>
    <row r="69" spans="1:14" s="343" customFormat="1">
      <c r="A69" s="1526" t="s">
        <v>1120</v>
      </c>
      <c r="B69" s="615">
        <v>2630</v>
      </c>
      <c r="C69" s="466">
        <v>107770</v>
      </c>
      <c r="D69" s="466">
        <v>22257</v>
      </c>
      <c r="E69" s="466">
        <v>36001</v>
      </c>
      <c r="F69" s="466">
        <v>1802</v>
      </c>
      <c r="G69" s="466"/>
      <c r="H69" s="466"/>
      <c r="I69" s="467"/>
      <c r="J69" s="467"/>
      <c r="K69" s="1693">
        <f>SUM(C69:J69)</f>
        <v>167830</v>
      </c>
      <c r="L69" s="466">
        <v>163041</v>
      </c>
      <c r="M69" s="610"/>
      <c r="N69" s="610"/>
    </row>
    <row r="70" spans="1:14" s="343" customFormat="1">
      <c r="A70" s="1526" t="s">
        <v>422</v>
      </c>
      <c r="B70" s="615">
        <v>2640</v>
      </c>
      <c r="C70" s="466">
        <v>536008</v>
      </c>
      <c r="D70" s="466">
        <v>150433</v>
      </c>
      <c r="E70" s="466">
        <v>130248</v>
      </c>
      <c r="F70" s="466">
        <v>8924</v>
      </c>
      <c r="G70" s="466">
        <v>525</v>
      </c>
      <c r="H70" s="466"/>
      <c r="I70" s="467"/>
      <c r="J70" s="467"/>
      <c r="K70" s="1693">
        <f>SUM(C70:J70)</f>
        <v>826138</v>
      </c>
      <c r="L70" s="466">
        <v>855278</v>
      </c>
      <c r="M70" s="610"/>
      <c r="N70" s="610"/>
    </row>
    <row r="71" spans="1:14" s="343" customFormat="1">
      <c r="A71" s="1526" t="s">
        <v>423</v>
      </c>
      <c r="B71" s="615">
        <v>2660</v>
      </c>
      <c r="C71" s="466">
        <v>888867</v>
      </c>
      <c r="D71" s="466">
        <v>155475</v>
      </c>
      <c r="E71" s="466">
        <v>2917324</v>
      </c>
      <c r="F71" s="466">
        <v>401859</v>
      </c>
      <c r="G71" s="466">
        <v>869825</v>
      </c>
      <c r="H71" s="466"/>
      <c r="I71" s="467"/>
      <c r="J71" s="467"/>
      <c r="K71" s="1693">
        <f>SUM(C71:J71)</f>
        <v>5233350</v>
      </c>
      <c r="L71" s="466">
        <v>5229659</v>
      </c>
      <c r="M71" s="610"/>
      <c r="N71" s="610"/>
    </row>
    <row r="72" spans="1:14" s="343" customFormat="1" ht="12.75" customHeight="1" thickBot="1">
      <c r="A72" s="1689" t="s">
        <v>37</v>
      </c>
      <c r="B72" s="1696" t="s">
        <v>36</v>
      </c>
      <c r="C72" s="1691">
        <f>SUM(C67:C71)</f>
        <v>2139362</v>
      </c>
      <c r="D72" s="1691">
        <f t="shared" ref="D72:K72" si="9">SUM(D67:D71)</f>
        <v>385675</v>
      </c>
      <c r="E72" s="1691">
        <f t="shared" si="9"/>
        <v>3089617</v>
      </c>
      <c r="F72" s="1691">
        <f t="shared" si="9"/>
        <v>414587</v>
      </c>
      <c r="G72" s="1691">
        <f t="shared" si="9"/>
        <v>870350</v>
      </c>
      <c r="H72" s="1691">
        <f t="shared" si="9"/>
        <v>0</v>
      </c>
      <c r="I72" s="1691">
        <f t="shared" si="9"/>
        <v>0</v>
      </c>
      <c r="J72" s="1691">
        <f t="shared" si="9"/>
        <v>0</v>
      </c>
      <c r="K72" s="1691">
        <f t="shared" si="9"/>
        <v>6899591</v>
      </c>
      <c r="L72" s="1691">
        <f>SUM(L67:L71)</f>
        <v>6950377</v>
      </c>
      <c r="M72" s="610"/>
      <c r="N72" s="610"/>
    </row>
    <row r="73" spans="1:14" s="343" customFormat="1" ht="14.25" thickTop="1" thickBot="1">
      <c r="A73" s="1532" t="s">
        <v>1036</v>
      </c>
      <c r="B73" s="633" t="s">
        <v>594</v>
      </c>
      <c r="C73" s="573"/>
      <c r="D73" s="573">
        <v>1377587</v>
      </c>
      <c r="E73" s="573">
        <v>161844</v>
      </c>
      <c r="F73" s="573"/>
      <c r="G73" s="573"/>
      <c r="H73" s="573">
        <v>-588</v>
      </c>
      <c r="I73" s="531"/>
      <c r="J73" s="531">
        <v>76359</v>
      </c>
      <c r="K73" s="1691">
        <f>SUM(C73:J73)</f>
        <v>1615202</v>
      </c>
      <c r="L73" s="576">
        <v>1925604</v>
      </c>
      <c r="M73" s="610"/>
      <c r="N73" s="610"/>
    </row>
    <row r="74" spans="1:14" ht="12.75" customHeight="1" thickTop="1" thickBot="1">
      <c r="A74" s="1689" t="s">
        <v>864</v>
      </c>
      <c r="B74" s="1697">
        <v>2000</v>
      </c>
      <c r="C74" s="1698">
        <f>SUM(C42,C47,C53,C57,C65,C72,C73)</f>
        <v>21840787</v>
      </c>
      <c r="D74" s="1698">
        <f t="shared" ref="D74:K74" si="10">SUM(D42,D47,D53,D57,D65,D72,D73)</f>
        <v>3856070</v>
      </c>
      <c r="E74" s="1698">
        <f t="shared" si="10"/>
        <v>3977419</v>
      </c>
      <c r="F74" s="1698">
        <f t="shared" si="10"/>
        <v>2045459</v>
      </c>
      <c r="G74" s="1698">
        <f t="shared" si="10"/>
        <v>900843</v>
      </c>
      <c r="H74" s="1698">
        <f t="shared" si="10"/>
        <v>90097</v>
      </c>
      <c r="I74" s="1698">
        <f t="shared" si="10"/>
        <v>0</v>
      </c>
      <c r="J74" s="1698">
        <f t="shared" si="10"/>
        <v>76359</v>
      </c>
      <c r="K74" s="1698">
        <f t="shared" si="10"/>
        <v>32787034</v>
      </c>
      <c r="L74" s="1698">
        <f>SUM(L42,L47,L53,L57,L65,L72,L73)</f>
        <v>33844692</v>
      </c>
    </row>
    <row r="75" spans="1:14" s="259" customFormat="1" ht="15.75" customHeight="1" thickTop="1" thickBot="1">
      <c r="A75" s="1632" t="s">
        <v>49</v>
      </c>
      <c r="B75" s="1633" t="s">
        <v>595</v>
      </c>
      <c r="C75" s="573">
        <v>3567414</v>
      </c>
      <c r="D75" s="573">
        <v>554880</v>
      </c>
      <c r="E75" s="573">
        <v>1042682</v>
      </c>
      <c r="F75" s="573">
        <v>122288</v>
      </c>
      <c r="G75" s="573">
        <v>19688</v>
      </c>
      <c r="H75" s="573">
        <v>2510</v>
      </c>
      <c r="I75" s="531"/>
      <c r="J75" s="531"/>
      <c r="K75" s="1691">
        <f>SUM(C75:J75)</f>
        <v>5309462</v>
      </c>
      <c r="L75" s="576">
        <v>5636463</v>
      </c>
      <c r="M75" s="614"/>
      <c r="N75" s="614"/>
    </row>
    <row r="76" spans="1:14" s="634" customFormat="1" ht="15.75" customHeight="1" thickTop="1">
      <c r="A76" s="1634" t="s">
        <v>382</v>
      </c>
      <c r="B76" s="1631" t="s">
        <v>914</v>
      </c>
      <c r="C76" s="619"/>
      <c r="D76" s="619"/>
      <c r="E76" s="617"/>
      <c r="F76" s="619"/>
      <c r="G76" s="619"/>
      <c r="H76" s="617"/>
      <c r="I76" s="617"/>
      <c r="J76" s="617"/>
      <c r="K76" s="617"/>
      <c r="L76" s="617"/>
      <c r="M76" s="184"/>
      <c r="N76" s="184"/>
    </row>
    <row r="77" spans="1:14" s="259" customFormat="1" ht="15.75" customHeight="1">
      <c r="A77" s="622" t="s">
        <v>634</v>
      </c>
      <c r="B77" s="623"/>
      <c r="C77" s="617"/>
      <c r="D77" s="617"/>
      <c r="E77" s="624"/>
      <c r="F77" s="617"/>
      <c r="G77" s="617"/>
      <c r="H77" s="624"/>
      <c r="I77" s="617"/>
      <c r="J77" s="617"/>
      <c r="K77" s="624"/>
      <c r="L77" s="624"/>
      <c r="M77" s="614"/>
      <c r="N77" s="614"/>
    </row>
    <row r="78" spans="1:14">
      <c r="A78" s="1526" t="s">
        <v>516</v>
      </c>
      <c r="B78" s="615">
        <v>4110</v>
      </c>
      <c r="C78" s="617"/>
      <c r="D78" s="617"/>
      <c r="E78" s="481"/>
      <c r="F78" s="617"/>
      <c r="G78" s="617"/>
      <c r="H78" s="635"/>
      <c r="I78" s="477"/>
      <c r="J78" s="477"/>
      <c r="K78" s="1692">
        <f t="shared" ref="K78:K83" si="11">SUM(C78:J78)</f>
        <v>0</v>
      </c>
      <c r="L78" s="481">
        <v>0</v>
      </c>
    </row>
    <row r="79" spans="1:14">
      <c r="A79" s="1526" t="s">
        <v>321</v>
      </c>
      <c r="B79" s="615">
        <v>4120</v>
      </c>
      <c r="C79" s="617"/>
      <c r="D79" s="617"/>
      <c r="E79" s="466"/>
      <c r="F79" s="617"/>
      <c r="G79" s="617"/>
      <c r="H79" s="466">
        <v>2831056</v>
      </c>
      <c r="I79" s="477"/>
      <c r="J79" s="477"/>
      <c r="K79" s="1692">
        <f t="shared" si="11"/>
        <v>2831056</v>
      </c>
      <c r="L79" s="466">
        <v>0</v>
      </c>
    </row>
    <row r="80" spans="1:14">
      <c r="A80" s="1526" t="s">
        <v>322</v>
      </c>
      <c r="B80" s="615">
        <v>4130</v>
      </c>
      <c r="C80" s="617"/>
      <c r="D80" s="617"/>
      <c r="E80" s="466"/>
      <c r="F80" s="617"/>
      <c r="G80" s="617"/>
      <c r="H80" s="466"/>
      <c r="I80" s="477"/>
      <c r="J80" s="477"/>
      <c r="K80" s="1692">
        <f t="shared" si="11"/>
        <v>0</v>
      </c>
      <c r="L80" s="466">
        <v>0</v>
      </c>
    </row>
    <row r="81" spans="1:12">
      <c r="A81" s="1526" t="s">
        <v>720</v>
      </c>
      <c r="B81" s="615">
        <v>4140</v>
      </c>
      <c r="C81" s="617"/>
      <c r="D81" s="617"/>
      <c r="E81" s="466"/>
      <c r="F81" s="617"/>
      <c r="G81" s="617"/>
      <c r="H81" s="466"/>
      <c r="I81" s="477"/>
      <c r="J81" s="477"/>
      <c r="K81" s="1692">
        <f t="shared" si="11"/>
        <v>0</v>
      </c>
      <c r="L81" s="466">
        <v>0</v>
      </c>
    </row>
    <row r="82" spans="1:12">
      <c r="A82" s="1526" t="s">
        <v>88</v>
      </c>
      <c r="B82" s="615">
        <v>4170</v>
      </c>
      <c r="C82" s="617"/>
      <c r="D82" s="617"/>
      <c r="E82" s="466"/>
      <c r="F82" s="617"/>
      <c r="G82" s="617"/>
      <c r="H82" s="466"/>
      <c r="I82" s="477"/>
      <c r="J82" s="477"/>
      <c r="K82" s="1692">
        <f t="shared" si="11"/>
        <v>0</v>
      </c>
      <c r="L82" s="466">
        <v>0</v>
      </c>
    </row>
    <row r="83" spans="1:12">
      <c r="A83" s="1530" t="s">
        <v>721</v>
      </c>
      <c r="B83" s="629">
        <v>4190</v>
      </c>
      <c r="C83" s="617"/>
      <c r="D83" s="617"/>
      <c r="E83" s="466"/>
      <c r="F83" s="617"/>
      <c r="G83" s="617"/>
      <c r="H83" s="466"/>
      <c r="I83" s="477"/>
      <c r="J83" s="477"/>
      <c r="K83" s="1692">
        <f t="shared" si="11"/>
        <v>0</v>
      </c>
      <c r="L83" s="466">
        <v>0</v>
      </c>
    </row>
    <row r="84" spans="1:12" ht="13.5" thickBot="1">
      <c r="A84" s="1689" t="s">
        <v>1564</v>
      </c>
      <c r="B84" s="1699">
        <v>4100</v>
      </c>
      <c r="C84" s="617"/>
      <c r="D84" s="617"/>
      <c r="E84" s="1691">
        <f>SUM(E78:E83)</f>
        <v>0</v>
      </c>
      <c r="F84" s="617"/>
      <c r="G84" s="617"/>
      <c r="H84" s="1691">
        <f>SUM(H78:H83)</f>
        <v>2831056</v>
      </c>
      <c r="I84" s="477"/>
      <c r="J84" s="477"/>
      <c r="K84" s="1691">
        <f>SUM(K78:K83)</f>
        <v>2831056</v>
      </c>
      <c r="L84" s="1691">
        <f>SUM(L78:L83)</f>
        <v>0</v>
      </c>
    </row>
    <row r="85" spans="1:12" ht="12.75" customHeight="1" thickTop="1" thickBot="1">
      <c r="A85" s="1533" t="s">
        <v>273</v>
      </c>
      <c r="B85" s="636">
        <v>4210</v>
      </c>
      <c r="C85" s="617"/>
      <c r="D85" s="617"/>
      <c r="E85" s="637"/>
      <c r="F85" s="617"/>
      <c r="G85" s="617"/>
      <c r="H85" s="535"/>
      <c r="I85" s="477"/>
      <c r="J85" s="477"/>
      <c r="K85" s="1698">
        <f>H85</f>
        <v>0</v>
      </c>
      <c r="L85" s="530">
        <v>0</v>
      </c>
    </row>
    <row r="86" spans="1:12" ht="12.75" customHeight="1" thickTop="1" thickBot="1">
      <c r="A86" s="1534" t="s">
        <v>722</v>
      </c>
      <c r="B86" s="638">
        <v>4220</v>
      </c>
      <c r="C86" s="617"/>
      <c r="D86" s="617"/>
      <c r="E86" s="639"/>
      <c r="F86" s="617"/>
      <c r="G86" s="617"/>
      <c r="H86" s="467">
        <v>242138</v>
      </c>
      <c r="I86" s="477"/>
      <c r="J86" s="477"/>
      <c r="K86" s="1698">
        <f t="shared" ref="K86:K98" si="12">H86</f>
        <v>242138</v>
      </c>
      <c r="L86" s="530">
        <v>197746</v>
      </c>
    </row>
    <row r="87" spans="1:12" ht="14.25" thickTop="1" thickBot="1">
      <c r="A87" s="1535" t="s">
        <v>723</v>
      </c>
      <c r="B87" s="640">
        <v>4230</v>
      </c>
      <c r="C87" s="617"/>
      <c r="D87" s="617"/>
      <c r="E87" s="639"/>
      <c r="F87" s="617"/>
      <c r="G87" s="617"/>
      <c r="H87" s="467"/>
      <c r="I87" s="477"/>
      <c r="J87" s="477"/>
      <c r="K87" s="1698">
        <f t="shared" si="12"/>
        <v>0</v>
      </c>
      <c r="L87" s="530">
        <v>0</v>
      </c>
    </row>
    <row r="88" spans="1:12" ht="12.75" customHeight="1" thickTop="1" thickBot="1">
      <c r="A88" s="1535" t="s">
        <v>788</v>
      </c>
      <c r="B88" s="640">
        <v>4240</v>
      </c>
      <c r="C88" s="617"/>
      <c r="D88" s="617"/>
      <c r="E88" s="639"/>
      <c r="F88" s="617"/>
      <c r="G88" s="617"/>
      <c r="H88" s="467"/>
      <c r="I88" s="477"/>
      <c r="J88" s="477"/>
      <c r="K88" s="1698">
        <f t="shared" si="12"/>
        <v>0</v>
      </c>
      <c r="L88" s="530">
        <v>0</v>
      </c>
    </row>
    <row r="89" spans="1:12" ht="12.75" customHeight="1" thickTop="1" thickBot="1">
      <c r="A89" s="1535" t="s">
        <v>724</v>
      </c>
      <c r="B89" s="640">
        <v>4270</v>
      </c>
      <c r="C89" s="617"/>
      <c r="D89" s="617"/>
      <c r="E89" s="639"/>
      <c r="F89" s="617"/>
      <c r="G89" s="617"/>
      <c r="H89" s="467"/>
      <c r="I89" s="477"/>
      <c r="J89" s="477"/>
      <c r="K89" s="1698">
        <f t="shared" si="12"/>
        <v>0</v>
      </c>
      <c r="L89" s="530">
        <v>0</v>
      </c>
    </row>
    <row r="90" spans="1:12" ht="12.75" customHeight="1" thickTop="1" thickBot="1">
      <c r="A90" s="1535" t="s">
        <v>709</v>
      </c>
      <c r="B90" s="640">
        <v>4280</v>
      </c>
      <c r="C90" s="617"/>
      <c r="D90" s="617"/>
      <c r="E90" s="639"/>
      <c r="F90" s="617"/>
      <c r="G90" s="617"/>
      <c r="H90" s="467"/>
      <c r="I90" s="477"/>
      <c r="J90" s="477"/>
      <c r="K90" s="1698">
        <f t="shared" si="12"/>
        <v>0</v>
      </c>
      <c r="L90" s="530">
        <v>0</v>
      </c>
    </row>
    <row r="91" spans="1:12" ht="12.75" customHeight="1" thickTop="1" thickBot="1">
      <c r="A91" s="1535" t="s">
        <v>710</v>
      </c>
      <c r="B91" s="640">
        <v>4290</v>
      </c>
      <c r="C91" s="617"/>
      <c r="D91" s="617"/>
      <c r="E91" s="639"/>
      <c r="F91" s="617"/>
      <c r="G91" s="617"/>
      <c r="H91" s="467"/>
      <c r="I91" s="477"/>
      <c r="J91" s="477"/>
      <c r="K91" s="1698">
        <f t="shared" si="12"/>
        <v>0</v>
      </c>
      <c r="L91" s="530">
        <v>0</v>
      </c>
    </row>
    <row r="92" spans="1:12" ht="14.25" thickTop="1" thickBot="1">
      <c r="A92" s="1701" t="s">
        <v>1640</v>
      </c>
      <c r="B92" s="1699">
        <v>4200</v>
      </c>
      <c r="C92" s="617"/>
      <c r="D92" s="617"/>
      <c r="E92" s="639"/>
      <c r="F92" s="617"/>
      <c r="G92" s="617"/>
      <c r="H92" s="1691">
        <f>SUM(H85:H91)</f>
        <v>242138</v>
      </c>
      <c r="I92" s="477"/>
      <c r="J92" s="477"/>
      <c r="K92" s="1698">
        <f t="shared" si="12"/>
        <v>242138</v>
      </c>
      <c r="L92" s="1691">
        <f>SUM(L85:L91)</f>
        <v>197746</v>
      </c>
    </row>
    <row r="93" spans="1:12" ht="14.25" thickTop="1" thickBot="1">
      <c r="A93" s="1534" t="s">
        <v>711</v>
      </c>
      <c r="B93" s="641">
        <v>4310</v>
      </c>
      <c r="C93" s="617"/>
      <c r="D93" s="617"/>
      <c r="E93" s="639"/>
      <c r="F93" s="617"/>
      <c r="G93" s="617"/>
      <c r="H93" s="642"/>
      <c r="I93" s="477"/>
      <c r="J93" s="477"/>
      <c r="K93" s="1698">
        <f t="shared" si="12"/>
        <v>0</v>
      </c>
      <c r="L93" s="532">
        <v>0</v>
      </c>
    </row>
    <row r="94" spans="1:12" ht="12.75" customHeight="1" thickTop="1" thickBot="1">
      <c r="A94" s="1535" t="s">
        <v>712</v>
      </c>
      <c r="B94" s="640">
        <v>4320</v>
      </c>
      <c r="C94" s="617"/>
      <c r="D94" s="617"/>
      <c r="E94" s="639"/>
      <c r="F94" s="617"/>
      <c r="G94" s="617"/>
      <c r="H94" s="467"/>
      <c r="I94" s="477"/>
      <c r="J94" s="477"/>
      <c r="K94" s="1698">
        <f t="shared" si="12"/>
        <v>0</v>
      </c>
      <c r="L94" s="530">
        <v>0</v>
      </c>
    </row>
    <row r="95" spans="1:12" ht="15" customHeight="1" thickTop="1" thickBot="1">
      <c r="A95" s="1535" t="s">
        <v>1567</v>
      </c>
      <c r="B95" s="640">
        <v>4330</v>
      </c>
      <c r="C95" s="617"/>
      <c r="D95" s="617"/>
      <c r="E95" s="639"/>
      <c r="F95" s="617"/>
      <c r="G95" s="617"/>
      <c r="H95" s="467"/>
      <c r="I95" s="477"/>
      <c r="J95" s="477"/>
      <c r="K95" s="1698">
        <f t="shared" si="12"/>
        <v>0</v>
      </c>
      <c r="L95" s="530">
        <v>0</v>
      </c>
    </row>
    <row r="96" spans="1:12" ht="14.25" thickTop="1" thickBot="1">
      <c r="A96" s="1535" t="s">
        <v>713</v>
      </c>
      <c r="B96" s="640">
        <v>4340</v>
      </c>
      <c r="C96" s="617"/>
      <c r="D96" s="617"/>
      <c r="E96" s="639"/>
      <c r="F96" s="617"/>
      <c r="G96" s="617"/>
      <c r="H96" s="467"/>
      <c r="I96" s="477"/>
      <c r="J96" s="477"/>
      <c r="K96" s="1698">
        <f t="shared" si="12"/>
        <v>0</v>
      </c>
      <c r="L96" s="530">
        <v>0</v>
      </c>
    </row>
    <row r="97" spans="1:14" ht="12.75" customHeight="1" thickTop="1" thickBot="1">
      <c r="A97" s="1535" t="s">
        <v>786</v>
      </c>
      <c r="B97" s="640">
        <v>4370</v>
      </c>
      <c r="C97" s="617"/>
      <c r="D97" s="617"/>
      <c r="E97" s="639"/>
      <c r="F97" s="617"/>
      <c r="G97" s="617"/>
      <c r="H97" s="467"/>
      <c r="I97" s="477"/>
      <c r="J97" s="477"/>
      <c r="K97" s="1698">
        <f t="shared" si="12"/>
        <v>0</v>
      </c>
      <c r="L97" s="530">
        <v>0</v>
      </c>
    </row>
    <row r="98" spans="1:14" ht="14.25" thickTop="1" thickBot="1">
      <c r="A98" s="1535" t="s">
        <v>787</v>
      </c>
      <c r="B98" s="640">
        <v>4380</v>
      </c>
      <c r="C98" s="617"/>
      <c r="D98" s="617"/>
      <c r="E98" s="643"/>
      <c r="F98" s="617"/>
      <c r="G98" s="617"/>
      <c r="H98" s="467"/>
      <c r="I98" s="477"/>
      <c r="J98" s="477"/>
      <c r="K98" s="1698">
        <f t="shared" si="12"/>
        <v>0</v>
      </c>
      <c r="L98" s="530">
        <v>0</v>
      </c>
    </row>
    <row r="99" spans="1:14" ht="14.25" thickTop="1" thickBot="1">
      <c r="A99" s="1535" t="s">
        <v>384</v>
      </c>
      <c r="B99" s="640">
        <v>4390</v>
      </c>
      <c r="C99" s="617"/>
      <c r="D99" s="617"/>
      <c r="E99" s="532"/>
      <c r="F99" s="617"/>
      <c r="G99" s="617"/>
      <c r="H99" s="467"/>
      <c r="I99" s="477"/>
      <c r="J99" s="477"/>
      <c r="K99" s="1698">
        <f>SUM(E99,H99)</f>
        <v>0</v>
      </c>
      <c r="L99" s="530">
        <v>0</v>
      </c>
    </row>
    <row r="100" spans="1:14" ht="14.25" thickTop="1" thickBot="1">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c r="A101" s="1532" t="s">
        <v>1568</v>
      </c>
      <c r="B101" s="644" t="s">
        <v>987</v>
      </c>
      <c r="C101" s="617"/>
      <c r="D101" s="617"/>
      <c r="E101" s="531"/>
      <c r="F101" s="617"/>
      <c r="G101" s="617"/>
      <c r="H101" s="531"/>
      <c r="I101" s="477"/>
      <c r="J101" s="477"/>
      <c r="K101" s="1700">
        <f>SUM(C101:J101)</f>
        <v>0</v>
      </c>
      <c r="L101" s="530">
        <v>0</v>
      </c>
    </row>
    <row r="102" spans="1:14" ht="12.75" customHeight="1" thickTop="1" thickBot="1">
      <c r="A102" s="1689" t="s">
        <v>1566</v>
      </c>
      <c r="B102" s="1699">
        <v>4000</v>
      </c>
      <c r="C102" s="617"/>
      <c r="D102" s="617"/>
      <c r="E102" s="1698">
        <f>SUM(E84,E92,E100,E101)</f>
        <v>0</v>
      </c>
      <c r="F102" s="617"/>
      <c r="G102" s="617"/>
      <c r="H102" s="1698">
        <f>SUM(H84,H92,H100,H101)</f>
        <v>3073194</v>
      </c>
      <c r="I102" s="477"/>
      <c r="J102" s="477"/>
      <c r="K102" s="1698">
        <f>SUM(K84,K92,K100,K101)</f>
        <v>3073194</v>
      </c>
      <c r="L102" s="1698">
        <f>SUM(L84,L92,L100,L101)</f>
        <v>197746</v>
      </c>
    </row>
    <row r="103" spans="1:14" s="634" customFormat="1" ht="15.75" customHeight="1" thickTop="1">
      <c r="A103" s="1634" t="s">
        <v>533</v>
      </c>
      <c r="B103" s="1631" t="s">
        <v>512</v>
      </c>
      <c r="C103" s="617"/>
      <c r="D103" s="617"/>
      <c r="E103" s="617"/>
      <c r="F103" s="617"/>
      <c r="G103" s="617"/>
      <c r="H103" s="619"/>
      <c r="I103" s="468"/>
      <c r="J103" s="468"/>
      <c r="K103" s="619"/>
      <c r="L103" s="619"/>
      <c r="M103" s="184"/>
      <c r="N103" s="184"/>
    </row>
    <row r="104" spans="1:14" s="647" customFormat="1" ht="15.75" customHeight="1">
      <c r="A104" s="645" t="s">
        <v>635</v>
      </c>
      <c r="B104" s="646"/>
      <c r="C104" s="617"/>
      <c r="D104" s="617"/>
      <c r="E104" s="617"/>
      <c r="F104" s="617"/>
      <c r="G104" s="617"/>
      <c r="H104" s="624"/>
      <c r="I104" s="468"/>
      <c r="J104" s="468"/>
      <c r="K104" s="624"/>
      <c r="L104" s="624"/>
      <c r="M104" s="614"/>
      <c r="N104" s="614"/>
    </row>
    <row r="105" spans="1:14" s="598" customFormat="1">
      <c r="A105" s="1526" t="s">
        <v>89</v>
      </c>
      <c r="B105" s="615">
        <v>5110</v>
      </c>
      <c r="C105" s="617"/>
      <c r="D105" s="617"/>
      <c r="E105" s="617"/>
      <c r="F105" s="617"/>
      <c r="G105" s="617"/>
      <c r="H105" s="481"/>
      <c r="I105" s="468"/>
      <c r="J105" s="468"/>
      <c r="K105" s="1692">
        <f>H105</f>
        <v>0</v>
      </c>
      <c r="L105" s="481">
        <v>0</v>
      </c>
      <c r="M105" s="210"/>
      <c r="N105" s="210"/>
    </row>
    <row r="106" spans="1:14" s="598" customFormat="1">
      <c r="A106" s="1526" t="s">
        <v>90</v>
      </c>
      <c r="B106" s="615">
        <v>5120</v>
      </c>
      <c r="C106" s="617"/>
      <c r="D106" s="617"/>
      <c r="E106" s="617"/>
      <c r="F106" s="617"/>
      <c r="G106" s="617"/>
      <c r="H106" s="466"/>
      <c r="I106" s="468"/>
      <c r="J106" s="468"/>
      <c r="K106" s="1692">
        <f>H106</f>
        <v>0</v>
      </c>
      <c r="L106" s="466">
        <v>0</v>
      </c>
      <c r="M106" s="210"/>
      <c r="N106" s="210"/>
    </row>
    <row r="107" spans="1:14" s="598" customFormat="1" ht="12.75" customHeight="1">
      <c r="A107" s="1526" t="s">
        <v>1231</v>
      </c>
      <c r="B107" s="615">
        <v>5130</v>
      </c>
      <c r="C107" s="617"/>
      <c r="D107" s="617"/>
      <c r="E107" s="617"/>
      <c r="F107" s="617"/>
      <c r="G107" s="617"/>
      <c r="H107" s="466"/>
      <c r="I107" s="468"/>
      <c r="J107" s="468"/>
      <c r="K107" s="1692">
        <f>H107</f>
        <v>0</v>
      </c>
      <c r="L107" s="466">
        <v>0</v>
      </c>
      <c r="M107" s="210"/>
      <c r="N107" s="210"/>
    </row>
    <row r="108" spans="1:14" s="598" customFormat="1">
      <c r="A108" s="1526" t="s">
        <v>91</v>
      </c>
      <c r="B108" s="615" t="s">
        <v>609</v>
      </c>
      <c r="C108" s="617"/>
      <c r="D108" s="617"/>
      <c r="E108" s="617"/>
      <c r="F108" s="617"/>
      <c r="G108" s="617"/>
      <c r="H108" s="466"/>
      <c r="I108" s="468"/>
      <c r="J108" s="468"/>
      <c r="K108" s="1692">
        <f>H108</f>
        <v>0</v>
      </c>
      <c r="L108" s="466">
        <v>0</v>
      </c>
      <c r="M108" s="210"/>
      <c r="N108" s="210"/>
    </row>
    <row r="109" spans="1:14" s="598" customFormat="1">
      <c r="A109" s="1526" t="s">
        <v>272</v>
      </c>
      <c r="B109" s="629">
        <v>5150</v>
      </c>
      <c r="C109" s="617"/>
      <c r="D109" s="617"/>
      <c r="E109" s="617"/>
      <c r="F109" s="617"/>
      <c r="G109" s="617"/>
      <c r="H109" s="466"/>
      <c r="I109" s="468"/>
      <c r="J109" s="468"/>
      <c r="K109" s="1692">
        <f>H109</f>
        <v>0</v>
      </c>
      <c r="L109" s="466">
        <v>0</v>
      </c>
      <c r="M109" s="210"/>
      <c r="N109" s="210"/>
    </row>
    <row r="110" spans="1:14" s="598" customFormat="1" ht="12.75" customHeight="1" thickBot="1">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c r="A111" s="1536" t="s">
        <v>385</v>
      </c>
      <c r="B111" s="648" t="s">
        <v>38</v>
      </c>
      <c r="C111" s="617"/>
      <c r="D111" s="617"/>
      <c r="E111" s="617"/>
      <c r="F111" s="617"/>
      <c r="G111" s="617"/>
      <c r="H111" s="535"/>
      <c r="I111" s="468"/>
      <c r="J111" s="468"/>
      <c r="K111" s="1704">
        <f>H111</f>
        <v>0</v>
      </c>
      <c r="L111" s="532">
        <v>0</v>
      </c>
      <c r="M111" s="210"/>
      <c r="N111" s="210"/>
    </row>
    <row r="112" spans="1:14" s="598" customFormat="1" ht="12.75" customHeight="1" thickTop="1" thickBot="1">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c r="A113" s="1628" t="s">
        <v>534</v>
      </c>
      <c r="B113" s="1635" t="s">
        <v>915</v>
      </c>
      <c r="C113" s="624"/>
      <c r="D113" s="624"/>
      <c r="E113" s="617"/>
      <c r="F113" s="617"/>
      <c r="G113" s="617"/>
      <c r="H113" s="624"/>
      <c r="I113" s="468"/>
      <c r="J113" s="468"/>
      <c r="K113" s="624"/>
      <c r="L113" s="531">
        <v>0</v>
      </c>
      <c r="M113" s="614"/>
      <c r="N113" s="614"/>
    </row>
    <row r="114" spans="1:14" ht="12.75" customHeight="1" thickTop="1" thickBot="1">
      <c r="A114" s="1689" t="s">
        <v>50</v>
      </c>
      <c r="B114" s="1703"/>
      <c r="C114" s="1691">
        <f>SUM(C33,C74,C75,C102,C112,C113)</f>
        <v>79492254</v>
      </c>
      <c r="D114" s="1691">
        <f t="shared" ref="D114:K114" si="13">SUM(D33,D74,D75,D102,D112,D113)</f>
        <v>10051733</v>
      </c>
      <c r="E114" s="1691">
        <f t="shared" si="13"/>
        <v>6216730</v>
      </c>
      <c r="F114" s="1691">
        <f t="shared" si="13"/>
        <v>4021647</v>
      </c>
      <c r="G114" s="1691">
        <f t="shared" si="13"/>
        <v>938161</v>
      </c>
      <c r="H114" s="1691">
        <f>SUM(H33,H74,H75,H102,H112,H113)</f>
        <v>4393808</v>
      </c>
      <c r="I114" s="1691">
        <f t="shared" si="13"/>
        <v>0</v>
      </c>
      <c r="J114" s="1691">
        <f t="shared" si="13"/>
        <v>76359</v>
      </c>
      <c r="K114" s="1691">
        <f t="shared" si="13"/>
        <v>105190692</v>
      </c>
      <c r="L114" s="1691">
        <f>SUM(L33,L74,L75,L102,L112,L113)</f>
        <v>104746266</v>
      </c>
    </row>
    <row r="115" spans="1:14" ht="13.5" thickTop="1">
      <c r="A115" s="2293" t="s">
        <v>1052</v>
      </c>
      <c r="B115" s="2294"/>
      <c r="C115" s="619"/>
      <c r="D115" s="619"/>
      <c r="E115" s="619"/>
      <c r="F115" s="619"/>
      <c r="G115" s="619"/>
      <c r="H115" s="619"/>
      <c r="I115" s="619"/>
      <c r="J115" s="619"/>
      <c r="K115" s="1705">
        <f>'Revenues 9-14'!C275-'Expenditures 15-22'!K114</f>
        <v>17565879</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98" t="s">
        <v>313</v>
      </c>
      <c r="B117" s="2299"/>
      <c r="C117" s="1648"/>
      <c r="D117" s="1649"/>
      <c r="E117" s="1649"/>
      <c r="F117" s="1649"/>
      <c r="G117" s="1649"/>
      <c r="H117" s="1649"/>
      <c r="I117" s="1649"/>
      <c r="J117" s="1649"/>
      <c r="K117" s="1649"/>
      <c r="L117" s="1650"/>
      <c r="M117" s="175"/>
      <c r="N117" s="175"/>
    </row>
    <row r="118" spans="1:14" ht="15.75" customHeight="1">
      <c r="A118" s="1636" t="s">
        <v>1094</v>
      </c>
      <c r="B118" s="1637" t="s">
        <v>589</v>
      </c>
      <c r="C118" s="617"/>
      <c r="D118" s="617"/>
      <c r="E118" s="617"/>
      <c r="F118" s="617"/>
      <c r="G118" s="617"/>
      <c r="H118" s="617"/>
      <c r="I118" s="617"/>
      <c r="J118" s="617"/>
      <c r="K118" s="617"/>
      <c r="L118" s="617"/>
    </row>
    <row r="119" spans="1:14" ht="15.75" customHeight="1">
      <c r="A119" s="653" t="s">
        <v>611</v>
      </c>
      <c r="B119" s="623"/>
      <c r="C119" s="624"/>
      <c r="D119" s="624"/>
      <c r="E119" s="624"/>
      <c r="F119" s="617"/>
      <c r="G119" s="617"/>
      <c r="H119" s="624"/>
      <c r="I119" s="617"/>
      <c r="J119" s="617"/>
      <c r="K119" s="624"/>
      <c r="L119" s="624"/>
    </row>
    <row r="120" spans="1:14" ht="12.75" customHeight="1">
      <c r="A120" s="1530" t="s">
        <v>167</v>
      </c>
      <c r="B120" s="629">
        <v>2190</v>
      </c>
      <c r="C120" s="466"/>
      <c r="D120" s="466"/>
      <c r="E120" s="466"/>
      <c r="F120" s="466"/>
      <c r="G120" s="466"/>
      <c r="H120" s="466"/>
      <c r="I120" s="467"/>
      <c r="J120" s="467"/>
      <c r="K120" s="1692">
        <f>SUM(C120:J120)</f>
        <v>0</v>
      </c>
      <c r="L120" s="466">
        <v>0</v>
      </c>
    </row>
    <row r="121" spans="1:14" ht="15.75" customHeight="1">
      <c r="A121" s="654" t="s">
        <v>632</v>
      </c>
      <c r="B121" s="623"/>
      <c r="C121" s="521"/>
      <c r="D121" s="521"/>
      <c r="E121" s="521"/>
      <c r="F121" s="521"/>
      <c r="G121" s="521"/>
      <c r="H121" s="521"/>
      <c r="I121" s="617"/>
      <c r="J121" s="617"/>
      <c r="K121" s="624"/>
      <c r="L121" s="521"/>
    </row>
    <row r="122" spans="1:14" ht="13.5" thickBot="1">
      <c r="A122" s="1526" t="s">
        <v>1127</v>
      </c>
      <c r="B122" s="615">
        <v>2510</v>
      </c>
      <c r="C122" s="466"/>
      <c r="D122" s="466"/>
      <c r="E122" s="466"/>
      <c r="F122" s="466"/>
      <c r="G122" s="466"/>
      <c r="H122" s="466"/>
      <c r="I122" s="467"/>
      <c r="J122" s="467"/>
      <c r="K122" s="1691">
        <f>SUM(C122:J122)</f>
        <v>0</v>
      </c>
      <c r="L122" s="466">
        <v>0</v>
      </c>
    </row>
    <row r="123" spans="1:14" ht="14.25" thickTop="1" thickBot="1">
      <c r="A123" s="1526" t="s">
        <v>4</v>
      </c>
      <c r="B123" s="615">
        <v>2530</v>
      </c>
      <c r="C123" s="466"/>
      <c r="D123" s="466"/>
      <c r="E123" s="466"/>
      <c r="F123" s="466"/>
      <c r="G123" s="466"/>
      <c r="H123" s="466"/>
      <c r="I123" s="467"/>
      <c r="J123" s="467"/>
      <c r="K123" s="1691">
        <f>SUM(C123:J123)</f>
        <v>0</v>
      </c>
      <c r="L123" s="466">
        <v>0</v>
      </c>
    </row>
    <row r="124" spans="1:14" ht="14.25" thickTop="1" thickBot="1">
      <c r="A124" s="1526" t="s">
        <v>206</v>
      </c>
      <c r="B124" s="615">
        <v>2540</v>
      </c>
      <c r="C124" s="466">
        <v>3296646</v>
      </c>
      <c r="D124" s="466">
        <v>410801</v>
      </c>
      <c r="E124" s="466">
        <v>1663300</v>
      </c>
      <c r="F124" s="466">
        <v>1449583</v>
      </c>
      <c r="G124" s="466">
        <v>60460</v>
      </c>
      <c r="H124" s="466">
        <v>90859</v>
      </c>
      <c r="I124" s="467"/>
      <c r="J124" s="467"/>
      <c r="K124" s="1691">
        <f>SUM(C124:J124)</f>
        <v>6971649</v>
      </c>
      <c r="L124" s="466">
        <v>8050480</v>
      </c>
    </row>
    <row r="125" spans="1:14" ht="14.25" thickTop="1" thickBot="1">
      <c r="A125" s="1526" t="s">
        <v>1009</v>
      </c>
      <c r="B125" s="615">
        <v>2550</v>
      </c>
      <c r="C125" s="466"/>
      <c r="D125" s="466"/>
      <c r="E125" s="466"/>
      <c r="F125" s="466"/>
      <c r="G125" s="466"/>
      <c r="H125" s="466"/>
      <c r="I125" s="467"/>
      <c r="J125" s="467"/>
      <c r="K125" s="1691">
        <f>SUM(C125:J125)</f>
        <v>0</v>
      </c>
      <c r="L125" s="466">
        <v>0</v>
      </c>
    </row>
    <row r="126" spans="1:14" ht="14.25" thickTop="1" thickBot="1">
      <c r="A126" s="1526" t="s">
        <v>102</v>
      </c>
      <c r="B126" s="615">
        <v>2560</v>
      </c>
      <c r="C126" s="655"/>
      <c r="D126" s="655"/>
      <c r="E126" s="655"/>
      <c r="F126" s="655"/>
      <c r="G126" s="466"/>
      <c r="H126" s="655"/>
      <c r="I126" s="474"/>
      <c r="J126" s="617"/>
      <c r="K126" s="1691">
        <f>SUM(C126:J126)</f>
        <v>0</v>
      </c>
      <c r="L126" s="466">
        <v>0</v>
      </c>
    </row>
    <row r="127" spans="1:14" ht="12.75" customHeight="1" thickTop="1" thickBot="1">
      <c r="A127" s="1689" t="s">
        <v>742</v>
      </c>
      <c r="B127" s="1690" t="s">
        <v>35</v>
      </c>
      <c r="C127" s="1691">
        <f>SUM(C122:C126)</f>
        <v>3296646</v>
      </c>
      <c r="D127" s="1691">
        <f t="shared" ref="D127:L127" si="14">SUM(D122:D126)</f>
        <v>410801</v>
      </c>
      <c r="E127" s="1691">
        <f t="shared" si="14"/>
        <v>1663300</v>
      </c>
      <c r="F127" s="1691">
        <f t="shared" si="14"/>
        <v>1449583</v>
      </c>
      <c r="G127" s="1691">
        <f t="shared" si="14"/>
        <v>60460</v>
      </c>
      <c r="H127" s="1691">
        <f t="shared" si="14"/>
        <v>90859</v>
      </c>
      <c r="I127" s="1691">
        <f t="shared" si="14"/>
        <v>0</v>
      </c>
      <c r="J127" s="1691">
        <f t="shared" si="14"/>
        <v>0</v>
      </c>
      <c r="K127" s="1691">
        <f t="shared" si="14"/>
        <v>6971649</v>
      </c>
      <c r="L127" s="1691">
        <f t="shared" si="14"/>
        <v>8050480</v>
      </c>
    </row>
    <row r="128" spans="1:14" ht="12.75" customHeight="1" thickTop="1">
      <c r="A128" s="1533" t="s">
        <v>1036</v>
      </c>
      <c r="B128" s="656" t="s">
        <v>594</v>
      </c>
      <c r="C128" s="657"/>
      <c r="D128" s="657">
        <v>311</v>
      </c>
      <c r="E128" s="657"/>
      <c r="F128" s="657"/>
      <c r="G128" s="657"/>
      <c r="H128" s="657"/>
      <c r="I128" s="535"/>
      <c r="J128" s="535"/>
      <c r="K128" s="1706">
        <f>SUM(C128:J128)</f>
        <v>311</v>
      </c>
      <c r="L128" s="657">
        <v>0</v>
      </c>
    </row>
    <row r="129" spans="1:14" ht="12.75" customHeight="1" thickBot="1">
      <c r="A129" s="1707" t="s">
        <v>864</v>
      </c>
      <c r="B129" s="1708" t="s">
        <v>589</v>
      </c>
      <c r="C129" s="1698">
        <f>SUM(C120,C127,C128)</f>
        <v>3296646</v>
      </c>
      <c r="D129" s="1698">
        <f t="shared" ref="D129:L129" si="15">SUM(D120,D127,D128)</f>
        <v>411112</v>
      </c>
      <c r="E129" s="1698">
        <f t="shared" si="15"/>
        <v>1663300</v>
      </c>
      <c r="F129" s="1698">
        <f t="shared" si="15"/>
        <v>1449583</v>
      </c>
      <c r="G129" s="1698">
        <f t="shared" si="15"/>
        <v>60460</v>
      </c>
      <c r="H129" s="1698">
        <f t="shared" si="15"/>
        <v>90859</v>
      </c>
      <c r="I129" s="1698">
        <f t="shared" si="15"/>
        <v>0</v>
      </c>
      <c r="J129" s="1698">
        <f t="shared" si="15"/>
        <v>0</v>
      </c>
      <c r="K129" s="1698">
        <f t="shared" si="15"/>
        <v>6971960</v>
      </c>
      <c r="L129" s="1698">
        <f t="shared" si="15"/>
        <v>8050480</v>
      </c>
    </row>
    <row r="130" spans="1:14" ht="15.75" customHeight="1" thickTop="1" thickBot="1">
      <c r="A130" s="1632" t="s">
        <v>1095</v>
      </c>
      <c r="B130" s="1633" t="s">
        <v>595</v>
      </c>
      <c r="C130" s="576"/>
      <c r="D130" s="576"/>
      <c r="E130" s="576"/>
      <c r="F130" s="576"/>
      <c r="G130" s="576"/>
      <c r="H130" s="576"/>
      <c r="I130" s="531"/>
      <c r="J130" s="531"/>
      <c r="K130" s="1691">
        <f>SUM(C130:J130)</f>
        <v>0</v>
      </c>
      <c r="L130" s="576">
        <v>0</v>
      </c>
    </row>
    <row r="131" spans="1:14" ht="15.75" customHeight="1" thickTop="1">
      <c r="A131" s="1638" t="s">
        <v>636</v>
      </c>
      <c r="B131" s="1631" t="s">
        <v>914</v>
      </c>
      <c r="C131" s="468"/>
      <c r="D131" s="468"/>
      <c r="E131" s="566"/>
      <c r="F131" s="468"/>
      <c r="G131" s="468"/>
      <c r="H131" s="566"/>
      <c r="I131" s="468"/>
      <c r="J131" s="468"/>
      <c r="K131" s="566"/>
      <c r="L131" s="566"/>
    </row>
    <row r="132" spans="1:14" s="384" customFormat="1" ht="13.5" customHeight="1">
      <c r="A132" s="658" t="s">
        <v>634</v>
      </c>
      <c r="B132" s="659"/>
      <c r="C132" s="468"/>
      <c r="D132" s="468"/>
      <c r="E132" s="521"/>
      <c r="F132" s="468"/>
      <c r="G132" s="468"/>
      <c r="H132" s="521"/>
      <c r="I132" s="468"/>
      <c r="J132" s="468"/>
      <c r="K132" s="521"/>
      <c r="L132" s="521"/>
      <c r="M132" s="206"/>
      <c r="N132" s="206"/>
    </row>
    <row r="133" spans="1:14" s="384" customFormat="1" ht="13.5" customHeight="1">
      <c r="A133" s="1512" t="s">
        <v>516</v>
      </c>
      <c r="B133" s="1862" t="s">
        <v>1952</v>
      </c>
      <c r="C133" s="468"/>
      <c r="D133" s="468"/>
      <c r="E133" s="642"/>
      <c r="F133" s="468"/>
      <c r="G133" s="468"/>
      <c r="H133" s="642"/>
      <c r="I133" s="468"/>
      <c r="J133" s="468"/>
      <c r="K133" s="1843">
        <f>SUM(E133,H133)</f>
        <v>0</v>
      </c>
      <c r="L133" s="642">
        <v>0</v>
      </c>
      <c r="M133" s="206"/>
      <c r="N133" s="206"/>
    </row>
    <row r="134" spans="1:14">
      <c r="A134" s="1526" t="s">
        <v>321</v>
      </c>
      <c r="B134" s="615">
        <v>4120</v>
      </c>
      <c r="C134" s="617"/>
      <c r="D134" s="617"/>
      <c r="E134" s="478"/>
      <c r="F134" s="617"/>
      <c r="G134" s="617"/>
      <c r="H134" s="481"/>
      <c r="I134" s="477"/>
      <c r="J134" s="617"/>
      <c r="K134" s="1693">
        <f>SUM(E134,H134)</f>
        <v>0</v>
      </c>
      <c r="L134" s="481">
        <v>0</v>
      </c>
    </row>
    <row r="135" spans="1:14">
      <c r="A135" s="1526" t="s">
        <v>720</v>
      </c>
      <c r="B135" s="615">
        <v>4140</v>
      </c>
      <c r="C135" s="617"/>
      <c r="D135" s="617"/>
      <c r="E135" s="467"/>
      <c r="F135" s="617"/>
      <c r="G135" s="617"/>
      <c r="H135" s="466"/>
      <c r="I135" s="477"/>
      <c r="J135" s="617"/>
      <c r="K135" s="1693">
        <f>SUM(E135,H135)</f>
        <v>0</v>
      </c>
      <c r="L135" s="466">
        <v>0</v>
      </c>
    </row>
    <row r="136" spans="1:14">
      <c r="A136" s="1530" t="s">
        <v>721</v>
      </c>
      <c r="B136" s="629">
        <v>4190</v>
      </c>
      <c r="C136" s="617"/>
      <c r="D136" s="617"/>
      <c r="E136" s="467"/>
      <c r="F136" s="617"/>
      <c r="G136" s="617"/>
      <c r="H136" s="466"/>
      <c r="I136" s="477"/>
      <c r="J136" s="617"/>
      <c r="K136" s="1693">
        <f>SUM(E136,H136)</f>
        <v>0</v>
      </c>
      <c r="L136" s="466">
        <v>0</v>
      </c>
    </row>
    <row r="137" spans="1:14" ht="12.75" customHeight="1" thickBot="1">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c r="A138" s="1532" t="s">
        <v>98</v>
      </c>
      <c r="B138" s="644" t="s">
        <v>987</v>
      </c>
      <c r="C138" s="617"/>
      <c r="D138" s="617"/>
      <c r="E138" s="479"/>
      <c r="F138" s="617"/>
      <c r="G138" s="617"/>
      <c r="H138" s="576"/>
      <c r="I138" s="477"/>
      <c r="J138" s="617"/>
      <c r="K138" s="1693">
        <f>SUM(E138,H138)</f>
        <v>0</v>
      </c>
      <c r="L138" s="576">
        <v>0</v>
      </c>
    </row>
    <row r="139" spans="1:14" ht="12.75" customHeight="1" thickTop="1" thickBot="1">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c r="A140" s="1634" t="s">
        <v>1096</v>
      </c>
      <c r="B140" s="1635" t="s">
        <v>512</v>
      </c>
      <c r="C140" s="617"/>
      <c r="D140" s="617"/>
      <c r="E140" s="639"/>
      <c r="F140" s="639"/>
      <c r="G140" s="639"/>
      <c r="H140" s="637"/>
      <c r="I140" s="477"/>
      <c r="J140" s="639"/>
      <c r="K140" s="637"/>
      <c r="L140" s="637"/>
    </row>
    <row r="141" spans="1:14" ht="15.75" customHeight="1">
      <c r="A141" s="654" t="s">
        <v>635</v>
      </c>
      <c r="B141" s="623"/>
      <c r="C141" s="617"/>
      <c r="D141" s="617"/>
      <c r="E141" s="617"/>
      <c r="F141" s="617"/>
      <c r="G141" s="617"/>
      <c r="H141" s="624"/>
      <c r="I141" s="468"/>
      <c r="J141" s="617"/>
      <c r="K141" s="624"/>
      <c r="L141" s="624"/>
    </row>
    <row r="142" spans="1:14">
      <c r="A142" s="1526" t="s">
        <v>89</v>
      </c>
      <c r="B142" s="615">
        <v>5110</v>
      </c>
      <c r="C142" s="617"/>
      <c r="D142" s="617"/>
      <c r="E142" s="617"/>
      <c r="F142" s="617"/>
      <c r="G142" s="617"/>
      <c r="H142" s="481"/>
      <c r="I142" s="468"/>
      <c r="J142" s="617"/>
      <c r="K142" s="1693">
        <f>SUM(H142)</f>
        <v>0</v>
      </c>
      <c r="L142" s="481">
        <v>0</v>
      </c>
    </row>
    <row r="143" spans="1:14">
      <c r="A143" s="1526" t="s">
        <v>90</v>
      </c>
      <c r="B143" s="615">
        <v>5120</v>
      </c>
      <c r="C143" s="617"/>
      <c r="D143" s="617"/>
      <c r="E143" s="617"/>
      <c r="F143" s="617"/>
      <c r="G143" s="617"/>
      <c r="H143" s="466"/>
      <c r="I143" s="468"/>
      <c r="J143" s="617"/>
      <c r="K143" s="1693">
        <f>SUM(H143)</f>
        <v>0</v>
      </c>
      <c r="L143" s="466">
        <v>0</v>
      </c>
    </row>
    <row r="144" spans="1:14" ht="12.75" customHeight="1">
      <c r="A144" s="1526" t="s">
        <v>1231</v>
      </c>
      <c r="B144" s="629" t="s">
        <v>637</v>
      </c>
      <c r="C144" s="617"/>
      <c r="D144" s="617"/>
      <c r="E144" s="617"/>
      <c r="F144" s="617"/>
      <c r="G144" s="617"/>
      <c r="H144" s="466"/>
      <c r="I144" s="468"/>
      <c r="J144" s="617"/>
      <c r="K144" s="1693">
        <f>SUM(H144)</f>
        <v>0</v>
      </c>
      <c r="L144" s="466">
        <v>0</v>
      </c>
    </row>
    <row r="145" spans="1:14">
      <c r="A145" s="1526" t="s">
        <v>91</v>
      </c>
      <c r="B145" s="615" t="s">
        <v>609</v>
      </c>
      <c r="C145" s="617"/>
      <c r="D145" s="617"/>
      <c r="E145" s="617"/>
      <c r="F145" s="617"/>
      <c r="G145" s="617"/>
      <c r="H145" s="466"/>
      <c r="I145" s="468"/>
      <c r="J145" s="617"/>
      <c r="K145" s="1693">
        <f>SUM(H145)</f>
        <v>0</v>
      </c>
      <c r="L145" s="466">
        <v>0</v>
      </c>
    </row>
    <row r="146" spans="1:14" ht="12.75" customHeight="1">
      <c r="A146" s="1526" t="s">
        <v>639</v>
      </c>
      <c r="B146" s="615" t="s">
        <v>638</v>
      </c>
      <c r="C146" s="617"/>
      <c r="D146" s="617"/>
      <c r="E146" s="617"/>
      <c r="F146" s="617"/>
      <c r="G146" s="617"/>
      <c r="H146" s="466"/>
      <c r="I146" s="468"/>
      <c r="J146" s="617"/>
      <c r="K146" s="1693">
        <f>SUM(H146)</f>
        <v>0</v>
      </c>
      <c r="L146" s="466">
        <v>0</v>
      </c>
    </row>
    <row r="147" spans="1:14" ht="12.75" customHeight="1" thickBot="1">
      <c r="A147" s="1537"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c r="A148" s="661" t="s">
        <v>1164</v>
      </c>
      <c r="B148" s="662" t="s">
        <v>38</v>
      </c>
      <c r="C148" s="617"/>
      <c r="D148" s="617"/>
      <c r="E148" s="617"/>
      <c r="F148" s="617"/>
      <c r="G148" s="617"/>
      <c r="H148" s="479"/>
      <c r="I148" s="468"/>
      <c r="J148" s="617"/>
      <c r="K148" s="1693">
        <f>SUM(H148)</f>
        <v>0</v>
      </c>
      <c r="L148" s="492">
        <v>0</v>
      </c>
    </row>
    <row r="149" spans="1:14" ht="12.75" customHeight="1" thickBot="1">
      <c r="A149" s="1529"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c r="A150" s="1628" t="s">
        <v>1097</v>
      </c>
      <c r="B150" s="1635" t="s">
        <v>915</v>
      </c>
      <c r="C150" s="617"/>
      <c r="D150" s="617"/>
      <c r="E150" s="617"/>
      <c r="F150" s="617"/>
      <c r="G150" s="617"/>
      <c r="H150" s="663"/>
      <c r="I150" s="521"/>
      <c r="J150" s="617"/>
      <c r="K150" s="624"/>
      <c r="L150" s="573">
        <v>0</v>
      </c>
    </row>
    <row r="151" spans="1:14" ht="12.75" customHeight="1" thickTop="1" thickBot="1">
      <c r="A151" s="2310" t="s">
        <v>640</v>
      </c>
      <c r="B151" s="2290"/>
      <c r="C151" s="1691">
        <f>SUM(C129,C130,C139,C149,C150)</f>
        <v>3296646</v>
      </c>
      <c r="D151" s="1691">
        <f t="shared" ref="D151:K151" si="16">SUM(D129,D130,D139,D149,D150)</f>
        <v>411112</v>
      </c>
      <c r="E151" s="1691">
        <f t="shared" si="16"/>
        <v>1663300</v>
      </c>
      <c r="F151" s="1691">
        <f t="shared" si="16"/>
        <v>1449583</v>
      </c>
      <c r="G151" s="1691">
        <f t="shared" si="16"/>
        <v>60460</v>
      </c>
      <c r="H151" s="1691">
        <f t="shared" si="16"/>
        <v>90859</v>
      </c>
      <c r="I151" s="1691">
        <f t="shared" si="16"/>
        <v>0</v>
      </c>
      <c r="J151" s="1691">
        <f t="shared" si="16"/>
        <v>0</v>
      </c>
      <c r="K151" s="1691">
        <f t="shared" si="16"/>
        <v>6971960</v>
      </c>
      <c r="L151" s="1691">
        <f>SUM(L129,L130,L139,L149,L150)</f>
        <v>8050480</v>
      </c>
    </row>
    <row r="152" spans="1:14" ht="12.75" customHeight="1" thickTop="1">
      <c r="A152" s="2313" t="s">
        <v>1239</v>
      </c>
      <c r="B152" s="2314"/>
      <c r="C152" s="619"/>
      <c r="D152" s="619"/>
      <c r="E152" s="619"/>
      <c r="F152" s="619"/>
      <c r="G152" s="619"/>
      <c r="H152" s="619"/>
      <c r="I152" s="619"/>
      <c r="J152" s="617"/>
      <c r="K152" s="1705">
        <f>'Revenues 9-14'!D275-'Expenditures 15-22'!K151</f>
        <v>1586784</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98" t="s">
        <v>641</v>
      </c>
      <c r="B154" s="2300"/>
      <c r="C154" s="1648"/>
      <c r="D154" s="1649"/>
      <c r="E154" s="1649"/>
      <c r="F154" s="1649"/>
      <c r="G154" s="1649"/>
      <c r="H154" s="1649"/>
      <c r="I154" s="1649"/>
      <c r="J154" s="1649"/>
      <c r="K154" s="1649"/>
      <c r="L154" s="1650"/>
      <c r="M154" s="668"/>
      <c r="N154" s="668"/>
    </row>
    <row r="155" spans="1:14" s="621" customFormat="1" ht="15.75" customHeight="1" thickBot="1">
      <c r="A155" s="1639" t="s">
        <v>83</v>
      </c>
      <c r="B155" s="1640" t="s">
        <v>914</v>
      </c>
      <c r="C155" s="617"/>
      <c r="D155" s="617"/>
      <c r="E155" s="617"/>
      <c r="F155" s="617"/>
      <c r="G155" s="617"/>
      <c r="H155" s="1863"/>
      <c r="I155" s="617"/>
      <c r="J155" s="617"/>
      <c r="K155" s="1847"/>
      <c r="L155" s="1863"/>
      <c r="M155" s="620"/>
      <c r="N155" s="620"/>
    </row>
    <row r="156" spans="1:14" s="621" customFormat="1" ht="15.75" customHeight="1" thickTop="1">
      <c r="A156" s="1844" t="s">
        <v>1953</v>
      </c>
      <c r="B156" s="1845"/>
      <c r="C156" s="617"/>
      <c r="D156" s="617"/>
      <c r="E156" s="617"/>
      <c r="F156" s="617"/>
      <c r="G156" s="617"/>
      <c r="H156" s="1864"/>
      <c r="I156" s="617"/>
      <c r="J156" s="617"/>
      <c r="K156" s="1846"/>
      <c r="L156" s="1864"/>
      <c r="M156" s="620"/>
      <c r="N156" s="620"/>
    </row>
    <row r="157" spans="1:14" s="621" customFormat="1" ht="12">
      <c r="A157" s="1848" t="s">
        <v>516</v>
      </c>
      <c r="B157" s="1849" t="s">
        <v>1952</v>
      </c>
      <c r="C157" s="617"/>
      <c r="D157" s="617"/>
      <c r="E157" s="617"/>
      <c r="F157" s="617"/>
      <c r="G157" s="617"/>
      <c r="H157" s="642"/>
      <c r="I157" s="617"/>
      <c r="J157" s="617"/>
      <c r="K157" s="1692">
        <f>H157</f>
        <v>0</v>
      </c>
      <c r="L157" s="467">
        <v>0</v>
      </c>
      <c r="M157" s="620"/>
      <c r="N157" s="620"/>
    </row>
    <row r="158" spans="1:14" s="621" customFormat="1" ht="12">
      <c r="A158" s="1848" t="s">
        <v>321</v>
      </c>
      <c r="B158" s="1849" t="s">
        <v>1954</v>
      </c>
      <c r="C158" s="617"/>
      <c r="D158" s="617"/>
      <c r="E158" s="617"/>
      <c r="F158" s="617"/>
      <c r="G158" s="617"/>
      <c r="H158" s="467"/>
      <c r="I158" s="617"/>
      <c r="J158" s="617"/>
      <c r="K158" s="1692">
        <f>H158</f>
        <v>0</v>
      </c>
      <c r="L158" s="467">
        <v>0</v>
      </c>
      <c r="M158" s="620"/>
      <c r="N158" s="620"/>
    </row>
    <row r="159" spans="1:14" s="621" customFormat="1" ht="12">
      <c r="A159" s="1848" t="s">
        <v>1955</v>
      </c>
      <c r="B159" s="1849" t="s">
        <v>578</v>
      </c>
      <c r="C159" s="617"/>
      <c r="D159" s="617"/>
      <c r="E159" s="617"/>
      <c r="F159" s="617"/>
      <c r="G159" s="617"/>
      <c r="H159" s="467"/>
      <c r="I159" s="617"/>
      <c r="J159" s="617"/>
      <c r="K159" s="1692">
        <f>H159</f>
        <v>0</v>
      </c>
      <c r="L159" s="467">
        <v>0</v>
      </c>
      <c r="M159" s="620"/>
      <c r="N159" s="620"/>
    </row>
    <row r="160" spans="1:14" s="621" customFormat="1" ht="15.75" customHeight="1" thickBot="1">
      <c r="A160" s="1850" t="s">
        <v>1956</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c r="A161" s="1634" t="s">
        <v>84</v>
      </c>
      <c r="B161" s="1635" t="s">
        <v>512</v>
      </c>
      <c r="C161" s="617"/>
      <c r="D161" s="617"/>
      <c r="E161" s="617"/>
      <c r="F161" s="617"/>
      <c r="G161" s="617"/>
      <c r="H161" s="617"/>
      <c r="I161" s="617"/>
      <c r="J161" s="617"/>
      <c r="K161" s="617"/>
      <c r="L161" s="617"/>
      <c r="M161" s="614"/>
      <c r="N161" s="614"/>
    </row>
    <row r="162" spans="1:14" s="259" customFormat="1" ht="15.75" customHeight="1">
      <c r="A162" s="654" t="s">
        <v>635</v>
      </c>
      <c r="B162" s="623"/>
      <c r="C162" s="617"/>
      <c r="D162" s="617"/>
      <c r="E162" s="617"/>
      <c r="F162" s="617"/>
      <c r="G162" s="617"/>
      <c r="H162" s="617"/>
      <c r="I162" s="617"/>
      <c r="J162" s="617"/>
      <c r="K162" s="624"/>
      <c r="L162" s="624"/>
      <c r="M162" s="614"/>
      <c r="N162" s="614"/>
    </row>
    <row r="163" spans="1:14">
      <c r="A163" s="1526" t="s">
        <v>89</v>
      </c>
      <c r="B163" s="615">
        <v>5110</v>
      </c>
      <c r="C163" s="617"/>
      <c r="D163" s="617"/>
      <c r="E163" s="617"/>
      <c r="F163" s="617"/>
      <c r="G163" s="617"/>
      <c r="H163" s="466"/>
      <c r="I163" s="617"/>
      <c r="J163" s="617"/>
      <c r="K163" s="1692">
        <f>SUM(C163:J163)</f>
        <v>0</v>
      </c>
      <c r="L163" s="466">
        <v>0</v>
      </c>
    </row>
    <row r="164" spans="1:14">
      <c r="A164" s="1526" t="s">
        <v>90</v>
      </c>
      <c r="B164" s="615">
        <v>5120</v>
      </c>
      <c r="C164" s="617"/>
      <c r="D164" s="617"/>
      <c r="E164" s="617"/>
      <c r="F164" s="617"/>
      <c r="G164" s="617"/>
      <c r="H164" s="466"/>
      <c r="I164" s="617"/>
      <c r="J164" s="617"/>
      <c r="K164" s="1692">
        <f>SUM(C164:J164)</f>
        <v>0</v>
      </c>
      <c r="L164" s="466">
        <v>0</v>
      </c>
    </row>
    <row r="165" spans="1:14" ht="12.75" customHeight="1">
      <c r="A165" s="1526" t="s">
        <v>1231</v>
      </c>
      <c r="B165" s="615" t="s">
        <v>637</v>
      </c>
      <c r="C165" s="617"/>
      <c r="D165" s="617"/>
      <c r="E165" s="617"/>
      <c r="F165" s="617"/>
      <c r="G165" s="617"/>
      <c r="H165" s="466"/>
      <c r="I165" s="617"/>
      <c r="J165" s="617"/>
      <c r="K165" s="1692">
        <f>SUM(C165:J165)</f>
        <v>0</v>
      </c>
      <c r="L165" s="466">
        <v>0</v>
      </c>
    </row>
    <row r="166" spans="1:14">
      <c r="A166" s="1526" t="s">
        <v>91</v>
      </c>
      <c r="B166" s="629" t="s">
        <v>609</v>
      </c>
      <c r="C166" s="617"/>
      <c r="D166" s="617"/>
      <c r="E166" s="617"/>
      <c r="F166" s="617"/>
      <c r="G166" s="617"/>
      <c r="H166" s="466"/>
      <c r="I166" s="617"/>
      <c r="J166" s="617"/>
      <c r="K166" s="1692">
        <f>SUM(C166:J166)</f>
        <v>0</v>
      </c>
      <c r="L166" s="466">
        <v>0</v>
      </c>
    </row>
    <row r="167" spans="1:14" ht="12.75" customHeight="1">
      <c r="A167" s="1526" t="s">
        <v>639</v>
      </c>
      <c r="B167" s="615" t="s">
        <v>638</v>
      </c>
      <c r="C167" s="617"/>
      <c r="D167" s="617"/>
      <c r="E167" s="617"/>
      <c r="F167" s="617"/>
      <c r="G167" s="617"/>
      <c r="H167" s="466"/>
      <c r="I167" s="617"/>
      <c r="J167" s="617"/>
      <c r="K167" s="1692">
        <f>SUM(C167:J167)</f>
        <v>0</v>
      </c>
      <c r="L167" s="466">
        <v>0</v>
      </c>
    </row>
    <row r="168" spans="1:14" ht="13.5" thickBot="1">
      <c r="A168" s="1689" t="s">
        <v>293</v>
      </c>
      <c r="B168" s="1696" t="s">
        <v>741</v>
      </c>
      <c r="C168" s="617"/>
      <c r="D168" s="617"/>
      <c r="E168" s="617"/>
      <c r="F168" s="617"/>
      <c r="G168" s="617"/>
      <c r="H168" s="1691">
        <f>SUM(H163:H167)</f>
        <v>0</v>
      </c>
      <c r="I168" s="617"/>
      <c r="J168" s="617"/>
      <c r="K168" s="1691">
        <f>SUM(K163:K167)</f>
        <v>0</v>
      </c>
      <c r="L168" s="1691">
        <f>SUM(L163:L167)</f>
        <v>0</v>
      </c>
    </row>
    <row r="169" spans="1:14" ht="15.75" customHeight="1" thickTop="1">
      <c r="A169" s="670" t="s">
        <v>85</v>
      </c>
      <c r="B169" s="671" t="s">
        <v>38</v>
      </c>
      <c r="C169" s="617"/>
      <c r="D169" s="617"/>
      <c r="E169" s="617"/>
      <c r="F169" s="617"/>
      <c r="G169" s="617"/>
      <c r="H169" s="657">
        <v>2954686</v>
      </c>
      <c r="I169" s="617"/>
      <c r="J169" s="617"/>
      <c r="K169" s="1692">
        <f>SUM(C169:H169)</f>
        <v>2954686</v>
      </c>
      <c r="L169" s="657">
        <v>2954686</v>
      </c>
    </row>
    <row r="170" spans="1:14" ht="33.75" customHeight="1">
      <c r="A170" s="670" t="s">
        <v>1768</v>
      </c>
      <c r="B170" s="672" t="s">
        <v>31</v>
      </c>
      <c r="C170" s="617"/>
      <c r="D170" s="617"/>
      <c r="E170" s="617"/>
      <c r="F170" s="617"/>
      <c r="G170" s="617"/>
      <c r="H170" s="569">
        <v>2663729</v>
      </c>
      <c r="I170" s="617"/>
      <c r="J170" s="617"/>
      <c r="K170" s="1692">
        <f>SUM(C170:J170)</f>
        <v>2663729</v>
      </c>
      <c r="L170" s="569">
        <v>2663729</v>
      </c>
    </row>
    <row r="171" spans="1:14" ht="15.75" customHeight="1">
      <c r="A171" s="622" t="s">
        <v>789</v>
      </c>
      <c r="B171" s="673" t="s">
        <v>86</v>
      </c>
      <c r="C171" s="617"/>
      <c r="D171" s="617"/>
      <c r="E171" s="466"/>
      <c r="F171" s="617"/>
      <c r="G171" s="617"/>
      <c r="H171" s="569">
        <v>10927</v>
      </c>
      <c r="I171" s="477"/>
      <c r="J171" s="617"/>
      <c r="K171" s="1692">
        <f>SUM(C171:J171)</f>
        <v>10927</v>
      </c>
      <c r="L171" s="569">
        <v>41630</v>
      </c>
    </row>
    <row r="172" spans="1:14" ht="12.75" customHeight="1" thickBot="1">
      <c r="A172" s="1689" t="s">
        <v>658</v>
      </c>
      <c r="B172" s="1690" t="s">
        <v>512</v>
      </c>
      <c r="C172" s="617"/>
      <c r="D172" s="617"/>
      <c r="E172" s="1698">
        <f>SUM(E168,E169,E170,E171)</f>
        <v>0</v>
      </c>
      <c r="F172" s="617"/>
      <c r="G172" s="617"/>
      <c r="H172" s="1698">
        <f>SUM(H168,H169,H170,H171)</f>
        <v>5629342</v>
      </c>
      <c r="I172" s="639"/>
      <c r="J172" s="617"/>
      <c r="K172" s="1698">
        <f>SUM(K168,K169,K170,K171)</f>
        <v>5629342</v>
      </c>
      <c r="L172" s="1698">
        <f>SUM(L168,L169,L170,L171)</f>
        <v>5660045</v>
      </c>
    </row>
    <row r="173" spans="1:14" ht="15.75" customHeight="1" thickTop="1" thickBot="1">
      <c r="A173" s="1641" t="s">
        <v>87</v>
      </c>
      <c r="B173" s="1633" t="s">
        <v>915</v>
      </c>
      <c r="C173" s="617"/>
      <c r="D173" s="617"/>
      <c r="E173" s="624"/>
      <c r="F173" s="617"/>
      <c r="G173" s="617"/>
      <c r="H173" s="627"/>
      <c r="I173" s="639"/>
      <c r="J173" s="617"/>
      <c r="K173" s="624"/>
      <c r="L173" s="576">
        <v>0</v>
      </c>
    </row>
    <row r="174" spans="1:14" ht="12.75" customHeight="1" thickTop="1" thickBot="1">
      <c r="A174" s="1710" t="s">
        <v>92</v>
      </c>
      <c r="B174" s="1711"/>
      <c r="C174" s="617"/>
      <c r="D174" s="617"/>
      <c r="E174" s="1698">
        <f>SUM(E155,E172,E173)</f>
        <v>0</v>
      </c>
      <c r="F174" s="617"/>
      <c r="G174" s="617"/>
      <c r="H174" s="1698">
        <f>SUM(H160,H172,H173)</f>
        <v>5629342</v>
      </c>
      <c r="I174" s="639"/>
      <c r="J174" s="617"/>
      <c r="K174" s="1698">
        <f>SUM(K160,K172,K173)</f>
        <v>5629342</v>
      </c>
      <c r="L174" s="1698">
        <f>SUM(L160,L172,L173)</f>
        <v>5660045</v>
      </c>
    </row>
    <row r="175" spans="1:14" ht="13.5" thickTop="1">
      <c r="A175" s="2293" t="s">
        <v>1052</v>
      </c>
      <c r="B175" s="2294"/>
      <c r="C175" s="617"/>
      <c r="D175" s="617"/>
      <c r="E175" s="617"/>
      <c r="F175" s="617"/>
      <c r="G175" s="617"/>
      <c r="H175" s="619"/>
      <c r="I175" s="617"/>
      <c r="J175" s="617"/>
      <c r="K175" s="1705">
        <f>'Revenues 9-14'!E275-'Expenditures 15-22'!K174</f>
        <v>530470</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6" t="s">
        <v>993</v>
      </c>
      <c r="B177" s="1577"/>
      <c r="C177" s="1573"/>
      <c r="D177" s="1574"/>
      <c r="E177" s="1574"/>
      <c r="F177" s="1574"/>
      <c r="G177" s="1574"/>
      <c r="H177" s="1574"/>
      <c r="I177" s="1574"/>
      <c r="J177" s="1574"/>
      <c r="K177" s="1574"/>
      <c r="L177" s="1575"/>
      <c r="M177" s="610"/>
      <c r="N177" s="610"/>
    </row>
    <row r="178" spans="1:14" s="675" customFormat="1" ht="15.75" customHeight="1">
      <c r="A178" s="1642" t="s">
        <v>994</v>
      </c>
      <c r="B178" s="1643"/>
      <c r="C178" s="617"/>
      <c r="D178" s="617"/>
      <c r="E178" s="617"/>
      <c r="F178" s="617"/>
      <c r="G178" s="617"/>
      <c r="H178" s="617"/>
      <c r="I178" s="617"/>
      <c r="J178" s="617"/>
      <c r="K178" s="617"/>
      <c r="L178" s="617"/>
      <c r="M178" s="666"/>
      <c r="N178" s="666"/>
    </row>
    <row r="179" spans="1:14" s="675" customFormat="1" ht="15.75" customHeight="1">
      <c r="A179" s="676" t="s">
        <v>611</v>
      </c>
      <c r="B179" s="623"/>
      <c r="C179" s="624"/>
      <c r="D179" s="624"/>
      <c r="E179" s="624"/>
      <c r="F179" s="617"/>
      <c r="G179" s="617"/>
      <c r="H179" s="624"/>
      <c r="I179" s="617"/>
      <c r="J179" s="617"/>
      <c r="K179" s="624"/>
      <c r="L179" s="624"/>
      <c r="M179" s="666"/>
      <c r="N179" s="666"/>
    </row>
    <row r="180" spans="1:14" ht="12.75" customHeight="1">
      <c r="A180" s="1526" t="s">
        <v>167</v>
      </c>
      <c r="B180" s="615">
        <v>2190</v>
      </c>
      <c r="C180" s="466"/>
      <c r="D180" s="466"/>
      <c r="E180" s="466"/>
      <c r="F180" s="466"/>
      <c r="G180" s="466"/>
      <c r="H180" s="466"/>
      <c r="I180" s="467"/>
      <c r="J180" s="467"/>
      <c r="K180" s="1692">
        <f>SUM(C180:J180)</f>
        <v>0</v>
      </c>
      <c r="L180" s="466">
        <v>0</v>
      </c>
    </row>
    <row r="181" spans="1:14" ht="15.75" customHeight="1">
      <c r="A181" s="625" t="s">
        <v>632</v>
      </c>
      <c r="B181" s="677"/>
      <c r="C181" s="570"/>
      <c r="D181" s="570"/>
      <c r="E181" s="570"/>
      <c r="F181" s="570"/>
      <c r="G181" s="570"/>
      <c r="H181" s="570"/>
      <c r="I181" s="468"/>
      <c r="J181" s="468"/>
      <c r="K181" s="570"/>
      <c r="L181" s="570"/>
    </row>
    <row r="182" spans="1:14" ht="12.75" customHeight="1">
      <c r="A182" s="1526" t="s">
        <v>1009</v>
      </c>
      <c r="B182" s="615">
        <v>2550</v>
      </c>
      <c r="C182" s="466">
        <v>424303</v>
      </c>
      <c r="D182" s="466">
        <v>33009</v>
      </c>
      <c r="E182" s="466">
        <v>3794784</v>
      </c>
      <c r="F182" s="466">
        <v>521</v>
      </c>
      <c r="G182" s="466"/>
      <c r="H182" s="466">
        <v>18371</v>
      </c>
      <c r="I182" s="467"/>
      <c r="J182" s="467"/>
      <c r="K182" s="1692">
        <f>SUM(C182:J182)</f>
        <v>4270988</v>
      </c>
      <c r="L182" s="466">
        <v>3886252</v>
      </c>
    </row>
    <row r="183" spans="1:14" ht="12.75" customHeight="1" thickBot="1">
      <c r="A183" s="1531" t="s">
        <v>1036</v>
      </c>
      <c r="B183" s="678">
        <v>2900</v>
      </c>
      <c r="C183" s="573"/>
      <c r="D183" s="573"/>
      <c r="E183" s="573"/>
      <c r="F183" s="573"/>
      <c r="G183" s="573"/>
      <c r="H183" s="573"/>
      <c r="I183" s="532"/>
      <c r="J183" s="532"/>
      <c r="K183" s="1698">
        <f>SUM(C183:J183)</f>
        <v>0</v>
      </c>
      <c r="L183" s="573">
        <v>3785</v>
      </c>
    </row>
    <row r="184" spans="1:14" ht="12.75" customHeight="1" thickTop="1" thickBot="1">
      <c r="A184" s="1712" t="s">
        <v>864</v>
      </c>
      <c r="B184" s="1690" t="s">
        <v>589</v>
      </c>
      <c r="C184" s="1698">
        <f>SUM(C180,C182,C183)</f>
        <v>424303</v>
      </c>
      <c r="D184" s="1698">
        <f t="shared" ref="D184:J184" si="17">SUM(D180,D182,D183)</f>
        <v>33009</v>
      </c>
      <c r="E184" s="1698">
        <f t="shared" si="17"/>
        <v>3794784</v>
      </c>
      <c r="F184" s="1698">
        <f t="shared" si="17"/>
        <v>521</v>
      </c>
      <c r="G184" s="1698">
        <f t="shared" si="17"/>
        <v>0</v>
      </c>
      <c r="H184" s="1698">
        <f t="shared" si="17"/>
        <v>18371</v>
      </c>
      <c r="I184" s="1698">
        <f t="shared" si="17"/>
        <v>0</v>
      </c>
      <c r="J184" s="1698">
        <f t="shared" si="17"/>
        <v>0</v>
      </c>
      <c r="K184" s="1698">
        <f>SUM(K180,K182,K183)</f>
        <v>4270988</v>
      </c>
      <c r="L184" s="1698">
        <f>SUM(L180, L182:L183)</f>
        <v>3890037</v>
      </c>
    </row>
    <row r="185" spans="1:14" ht="15.75" customHeight="1" thickTop="1" thickBot="1">
      <c r="A185" s="1644" t="s">
        <v>995</v>
      </c>
      <c r="B185" s="1633">
        <v>3000</v>
      </c>
      <c r="C185" s="576"/>
      <c r="D185" s="576"/>
      <c r="E185" s="576"/>
      <c r="F185" s="576"/>
      <c r="G185" s="576"/>
      <c r="H185" s="576"/>
      <c r="I185" s="531"/>
      <c r="J185" s="531"/>
      <c r="K185" s="1691">
        <f>SUM(C185:J185)</f>
        <v>0</v>
      </c>
      <c r="L185" s="576">
        <v>0</v>
      </c>
    </row>
    <row r="186" spans="1:14" s="675" customFormat="1" ht="15.75" customHeight="1" thickTop="1">
      <c r="A186" s="1628" t="s">
        <v>93</v>
      </c>
      <c r="B186" s="1631" t="s">
        <v>914</v>
      </c>
      <c r="C186" s="617"/>
      <c r="D186" s="617"/>
      <c r="E186" s="617"/>
      <c r="F186" s="617"/>
      <c r="G186" s="617"/>
      <c r="H186" s="617"/>
      <c r="I186" s="617"/>
      <c r="J186" s="617"/>
      <c r="K186" s="617"/>
      <c r="L186" s="617"/>
      <c r="M186" s="666"/>
      <c r="N186" s="666"/>
    </row>
    <row r="187" spans="1:14" s="675" customFormat="1" ht="15.75" customHeight="1">
      <c r="A187" s="622" t="s">
        <v>1192</v>
      </c>
      <c r="B187" s="623"/>
      <c r="C187" s="617"/>
      <c r="D187" s="617"/>
      <c r="E187" s="617"/>
      <c r="F187" s="617"/>
      <c r="G187" s="617"/>
      <c r="H187" s="617"/>
      <c r="I187" s="617"/>
      <c r="J187" s="617"/>
      <c r="K187" s="617"/>
      <c r="L187" s="617"/>
      <c r="M187" s="666"/>
      <c r="N187" s="666"/>
    </row>
    <row r="188" spans="1:14">
      <c r="A188" s="1526" t="s">
        <v>516</v>
      </c>
      <c r="B188" s="615">
        <v>4110</v>
      </c>
      <c r="C188" s="617"/>
      <c r="D188" s="617"/>
      <c r="E188" s="466"/>
      <c r="F188" s="617"/>
      <c r="G188" s="617"/>
      <c r="H188" s="466"/>
      <c r="I188" s="477"/>
      <c r="J188" s="617"/>
      <c r="K188" s="1692">
        <f t="shared" ref="K188:K193" si="18">SUM(E188,H188)</f>
        <v>0</v>
      </c>
      <c r="L188" s="466">
        <v>0</v>
      </c>
    </row>
    <row r="189" spans="1:14">
      <c r="A189" s="1526" t="s">
        <v>321</v>
      </c>
      <c r="B189" s="615">
        <v>4120</v>
      </c>
      <c r="C189" s="617"/>
      <c r="D189" s="617"/>
      <c r="E189" s="466"/>
      <c r="F189" s="617"/>
      <c r="G189" s="617"/>
      <c r="H189" s="466"/>
      <c r="I189" s="477"/>
      <c r="J189" s="617"/>
      <c r="K189" s="1692">
        <f t="shared" si="18"/>
        <v>0</v>
      </c>
      <c r="L189" s="466">
        <v>0</v>
      </c>
    </row>
    <row r="190" spans="1:14">
      <c r="A190" s="1526" t="s">
        <v>322</v>
      </c>
      <c r="B190" s="629">
        <v>4130</v>
      </c>
      <c r="C190" s="617"/>
      <c r="D190" s="617"/>
      <c r="E190" s="466"/>
      <c r="F190" s="617"/>
      <c r="G190" s="617"/>
      <c r="H190" s="466"/>
      <c r="I190" s="477"/>
      <c r="J190" s="617"/>
      <c r="K190" s="1692">
        <f t="shared" si="18"/>
        <v>0</v>
      </c>
      <c r="L190" s="466">
        <v>0</v>
      </c>
    </row>
    <row r="191" spans="1:14">
      <c r="A191" s="1526" t="s">
        <v>720</v>
      </c>
      <c r="B191" s="615">
        <v>4140</v>
      </c>
      <c r="C191" s="617"/>
      <c r="D191" s="617"/>
      <c r="E191" s="466"/>
      <c r="F191" s="617"/>
      <c r="G191" s="617"/>
      <c r="H191" s="466"/>
      <c r="I191" s="477"/>
      <c r="J191" s="617"/>
      <c r="K191" s="1692">
        <f t="shared" si="18"/>
        <v>0</v>
      </c>
      <c r="L191" s="466">
        <v>0</v>
      </c>
    </row>
    <row r="192" spans="1:14">
      <c r="A192" s="1526" t="s">
        <v>88</v>
      </c>
      <c r="B192" s="615">
        <v>4170</v>
      </c>
      <c r="C192" s="617"/>
      <c r="D192" s="617"/>
      <c r="E192" s="466"/>
      <c r="F192" s="617"/>
      <c r="G192" s="617"/>
      <c r="H192" s="466"/>
      <c r="I192" s="477"/>
      <c r="J192" s="617"/>
      <c r="K192" s="1692">
        <f t="shared" si="18"/>
        <v>0</v>
      </c>
      <c r="L192" s="466">
        <v>0</v>
      </c>
    </row>
    <row r="193" spans="1:14">
      <c r="A193" s="1530" t="s">
        <v>721</v>
      </c>
      <c r="B193" s="629">
        <v>4190</v>
      </c>
      <c r="C193" s="617"/>
      <c r="D193" s="617"/>
      <c r="E193" s="466"/>
      <c r="F193" s="617"/>
      <c r="G193" s="617"/>
      <c r="H193" s="466"/>
      <c r="I193" s="477"/>
      <c r="J193" s="617"/>
      <c r="K193" s="1692">
        <f t="shared" si="18"/>
        <v>0</v>
      </c>
      <c r="L193" s="466">
        <v>0</v>
      </c>
    </row>
    <row r="194" spans="1:14" ht="12.75" customHeight="1" thickBot="1">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c r="A195" s="670" t="s">
        <v>94</v>
      </c>
      <c r="B195" s="679" t="s">
        <v>987</v>
      </c>
      <c r="C195" s="617"/>
      <c r="D195" s="617"/>
      <c r="E195" s="657"/>
      <c r="F195" s="617"/>
      <c r="G195" s="617"/>
      <c r="H195" s="657"/>
      <c r="I195" s="477"/>
      <c r="J195" s="617"/>
      <c r="K195" s="1706">
        <f>SUM(E195,H195)</f>
        <v>0</v>
      </c>
      <c r="L195" s="657">
        <v>0</v>
      </c>
    </row>
    <row r="196" spans="1:14" ht="12.75" customHeight="1" thickBot="1">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c r="A197" s="1634" t="s">
        <v>996</v>
      </c>
      <c r="B197" s="1631" t="s">
        <v>512</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6" t="s">
        <v>89</v>
      </c>
      <c r="B199" s="615">
        <v>5110</v>
      </c>
      <c r="C199" s="617"/>
      <c r="D199" s="617"/>
      <c r="E199" s="617"/>
      <c r="F199" s="617"/>
      <c r="G199" s="617"/>
      <c r="H199" s="466"/>
      <c r="I199" s="617"/>
      <c r="J199" s="617"/>
      <c r="K199" s="1692">
        <f>SUM(H199)</f>
        <v>0</v>
      </c>
      <c r="L199" s="466">
        <v>0</v>
      </c>
    </row>
    <row r="200" spans="1:14">
      <c r="A200" s="1526" t="s">
        <v>90</v>
      </c>
      <c r="B200" s="615">
        <v>5120</v>
      </c>
      <c r="C200" s="617"/>
      <c r="D200" s="617"/>
      <c r="E200" s="617"/>
      <c r="F200" s="617"/>
      <c r="G200" s="617"/>
      <c r="H200" s="466"/>
      <c r="I200" s="617"/>
      <c r="J200" s="617"/>
      <c r="K200" s="1692">
        <f>SUM(H200)</f>
        <v>0</v>
      </c>
      <c r="L200" s="466">
        <v>0</v>
      </c>
    </row>
    <row r="201" spans="1:14" ht="12.75" customHeight="1">
      <c r="A201" s="1526" t="s">
        <v>1231</v>
      </c>
      <c r="B201" s="629" t="s">
        <v>637</v>
      </c>
      <c r="C201" s="617"/>
      <c r="D201" s="617"/>
      <c r="E201" s="617"/>
      <c r="F201" s="617"/>
      <c r="G201" s="617"/>
      <c r="H201" s="466"/>
      <c r="I201" s="617"/>
      <c r="J201" s="617"/>
      <c r="K201" s="1692">
        <f>SUM(H201)</f>
        <v>0</v>
      </c>
      <c r="L201" s="466">
        <v>0</v>
      </c>
    </row>
    <row r="202" spans="1:14">
      <c r="A202" s="1526" t="s">
        <v>91</v>
      </c>
      <c r="B202" s="615" t="s">
        <v>609</v>
      </c>
      <c r="C202" s="617"/>
      <c r="D202" s="617"/>
      <c r="E202" s="617"/>
      <c r="F202" s="617"/>
      <c r="G202" s="617"/>
      <c r="H202" s="466"/>
      <c r="I202" s="617"/>
      <c r="J202" s="617"/>
      <c r="K202" s="1692">
        <f>SUM(H202)</f>
        <v>0</v>
      </c>
      <c r="L202" s="466">
        <v>0</v>
      </c>
    </row>
    <row r="203" spans="1:14">
      <c r="A203" s="1538" t="s">
        <v>639</v>
      </c>
      <c r="B203" s="615" t="s">
        <v>638</v>
      </c>
      <c r="C203" s="617"/>
      <c r="D203" s="617"/>
      <c r="E203" s="617"/>
      <c r="F203" s="617"/>
      <c r="G203" s="617"/>
      <c r="H203" s="471"/>
      <c r="I203" s="617"/>
      <c r="J203" s="617"/>
      <c r="K203" s="1692">
        <f>SUM(H203)</f>
        <v>0</v>
      </c>
      <c r="L203" s="471">
        <v>0</v>
      </c>
    </row>
    <row r="204" spans="1:14" ht="13.5" thickBot="1">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c r="A205" s="680" t="s">
        <v>85</v>
      </c>
      <c r="B205" s="681" t="s">
        <v>38</v>
      </c>
      <c r="C205" s="617"/>
      <c r="D205" s="617"/>
      <c r="E205" s="617"/>
      <c r="F205" s="617"/>
      <c r="G205" s="617"/>
      <c r="H205" s="535"/>
      <c r="I205" s="617"/>
      <c r="J205" s="617"/>
      <c r="K205" s="1706">
        <f>SUM(H205)</f>
        <v>0</v>
      </c>
      <c r="L205" s="535">
        <v>0</v>
      </c>
    </row>
    <row r="206" spans="1:14" ht="30" customHeight="1">
      <c r="A206" s="682" t="s">
        <v>1769</v>
      </c>
      <c r="B206" s="673" t="s">
        <v>31</v>
      </c>
      <c r="C206" s="617"/>
      <c r="D206" s="617"/>
      <c r="E206" s="617"/>
      <c r="F206" s="617"/>
      <c r="G206" s="617"/>
      <c r="H206" s="466"/>
      <c r="I206" s="617"/>
      <c r="J206" s="617"/>
      <c r="K206" s="1692">
        <f>SUM(H206)</f>
        <v>0</v>
      </c>
      <c r="L206" s="466">
        <v>0</v>
      </c>
    </row>
    <row r="207" spans="1:14" ht="15.75" customHeight="1">
      <c r="A207" s="622" t="s">
        <v>789</v>
      </c>
      <c r="B207" s="673" t="s">
        <v>86</v>
      </c>
      <c r="C207" s="617"/>
      <c r="D207" s="617"/>
      <c r="E207" s="617"/>
      <c r="F207" s="617"/>
      <c r="G207" s="617"/>
      <c r="H207" s="467"/>
      <c r="I207" s="617"/>
      <c r="J207" s="617"/>
      <c r="K207" s="1692">
        <f>H207</f>
        <v>0</v>
      </c>
      <c r="L207" s="466">
        <v>0</v>
      </c>
    </row>
    <row r="208" spans="1:14" ht="12.75" customHeight="1" thickBot="1">
      <c r="A208" s="1707" t="s">
        <v>658</v>
      </c>
      <c r="B208" s="1708" t="s">
        <v>512</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c r="A209" s="1628" t="s">
        <v>926</v>
      </c>
      <c r="B209" s="1635" t="s">
        <v>915</v>
      </c>
      <c r="C209" s="624"/>
      <c r="D209" s="624"/>
      <c r="E209" s="624"/>
      <c r="F209" s="624"/>
      <c r="G209" s="624"/>
      <c r="H209" s="624"/>
      <c r="I209" s="617"/>
      <c r="J209" s="617"/>
      <c r="K209" s="624"/>
      <c r="L209" s="576"/>
    </row>
    <row r="210" spans="1:14" ht="12.75" customHeight="1" thickTop="1" thickBot="1">
      <c r="A210" s="1713" t="s">
        <v>294</v>
      </c>
      <c r="B210" s="1714"/>
      <c r="C210" s="1691">
        <f>SUM(C184,C185)</f>
        <v>424303</v>
      </c>
      <c r="D210" s="1691">
        <f>SUM(D184,D185)</f>
        <v>33009</v>
      </c>
      <c r="E210" s="1691">
        <f>SUM(E184,E185,E196)</f>
        <v>3794784</v>
      </c>
      <c r="F210" s="1691">
        <f>SUM(F184,F185)</f>
        <v>521</v>
      </c>
      <c r="G210" s="1691">
        <f>SUM(G184,G185)</f>
        <v>0</v>
      </c>
      <c r="H210" s="1691">
        <f>SUM(H184,H185,H196,H208,H209)</f>
        <v>18371</v>
      </c>
      <c r="I210" s="1691">
        <f>SUM(I184,I185)</f>
        <v>0</v>
      </c>
      <c r="J210" s="1691">
        <f>SUM(J184,J185)</f>
        <v>0</v>
      </c>
      <c r="K210" s="1692">
        <f>SUM(K184,K185,K196,K208,K209)</f>
        <v>4270988</v>
      </c>
      <c r="L210" s="1691">
        <f>SUM(L184,L185,L196,L208,L209)</f>
        <v>3890037</v>
      </c>
    </row>
    <row r="211" spans="1:14" ht="13.5" thickTop="1">
      <c r="A211" s="2293" t="s">
        <v>1052</v>
      </c>
      <c r="B211" s="2294"/>
      <c r="C211" s="619"/>
      <c r="D211" s="619"/>
      <c r="E211" s="619"/>
      <c r="F211" s="619"/>
      <c r="G211" s="619"/>
      <c r="H211" s="619"/>
      <c r="I211" s="617"/>
      <c r="J211" s="617"/>
      <c r="K211" s="1705">
        <f>'Revenues 9-14'!F275-'Expenditures 15-22'!K210</f>
        <v>536205</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315" t="s">
        <v>1021</v>
      </c>
      <c r="B213" s="2316"/>
      <c r="C213" s="1573"/>
      <c r="D213" s="1574"/>
      <c r="E213" s="1574"/>
      <c r="F213" s="1574"/>
      <c r="G213" s="1574"/>
      <c r="H213" s="1574"/>
      <c r="I213" s="1574"/>
      <c r="J213" s="1574"/>
      <c r="K213" s="1574"/>
      <c r="L213" s="1575"/>
      <c r="M213" s="610"/>
      <c r="N213" s="610"/>
    </row>
    <row r="214" spans="1:14" s="675" customFormat="1" ht="15.75" customHeight="1">
      <c r="A214" s="1645" t="s">
        <v>927</v>
      </c>
      <c r="B214" s="1637" t="s">
        <v>590</v>
      </c>
      <c r="C214" s="617"/>
      <c r="D214" s="624"/>
      <c r="E214" s="617"/>
      <c r="F214" s="617"/>
      <c r="G214" s="617"/>
      <c r="H214" s="617"/>
      <c r="I214" s="617"/>
      <c r="J214" s="617"/>
      <c r="K214" s="624"/>
      <c r="L214" s="624"/>
      <c r="M214" s="666"/>
      <c r="N214" s="666"/>
    </row>
    <row r="215" spans="1:14">
      <c r="A215" s="1526" t="s">
        <v>1017</v>
      </c>
      <c r="B215" s="615">
        <v>1100</v>
      </c>
      <c r="C215" s="617"/>
      <c r="D215" s="466">
        <v>581609</v>
      </c>
      <c r="E215" s="617"/>
      <c r="F215" s="617"/>
      <c r="G215" s="617"/>
      <c r="H215" s="617"/>
      <c r="I215" s="617"/>
      <c r="J215" s="617"/>
      <c r="K215" s="1692">
        <f>D215</f>
        <v>581609</v>
      </c>
      <c r="L215" s="466">
        <v>581710</v>
      </c>
    </row>
    <row r="216" spans="1:14">
      <c r="A216" s="1526" t="s">
        <v>165</v>
      </c>
      <c r="B216" s="615" t="s">
        <v>1023</v>
      </c>
      <c r="C216" s="617"/>
      <c r="D216" s="467">
        <v>29407</v>
      </c>
      <c r="E216" s="617"/>
      <c r="F216" s="617"/>
      <c r="G216" s="617"/>
      <c r="H216" s="617"/>
      <c r="I216" s="617"/>
      <c r="J216" s="617"/>
      <c r="K216" s="1692">
        <f t="shared" ref="K216:K228" si="19">D216</f>
        <v>29407</v>
      </c>
      <c r="L216" s="466">
        <v>23519</v>
      </c>
    </row>
    <row r="217" spans="1:14">
      <c r="A217" s="1526" t="s">
        <v>166</v>
      </c>
      <c r="B217" s="615">
        <v>1200</v>
      </c>
      <c r="C217" s="617"/>
      <c r="D217" s="466">
        <v>648253</v>
      </c>
      <c r="E217" s="617"/>
      <c r="F217" s="617"/>
      <c r="G217" s="617"/>
      <c r="H217" s="617"/>
      <c r="I217" s="617"/>
      <c r="J217" s="617"/>
      <c r="K217" s="1692">
        <f t="shared" si="19"/>
        <v>648253</v>
      </c>
      <c r="L217" s="466">
        <v>623234</v>
      </c>
    </row>
    <row r="218" spans="1:14">
      <c r="A218" s="1526" t="s">
        <v>295</v>
      </c>
      <c r="B218" s="615" t="s">
        <v>1024</v>
      </c>
      <c r="C218" s="617"/>
      <c r="D218" s="467">
        <v>34928</v>
      </c>
      <c r="E218" s="617"/>
      <c r="F218" s="617"/>
      <c r="G218" s="617"/>
      <c r="H218" s="617"/>
      <c r="I218" s="617"/>
      <c r="J218" s="617"/>
      <c r="K218" s="1692">
        <f t="shared" si="19"/>
        <v>34928</v>
      </c>
      <c r="L218" s="466">
        <v>35395</v>
      </c>
    </row>
    <row r="219" spans="1:14">
      <c r="A219" s="1526" t="s">
        <v>296</v>
      </c>
      <c r="B219" s="615">
        <v>1250</v>
      </c>
      <c r="C219" s="617"/>
      <c r="D219" s="466">
        <v>14971</v>
      </c>
      <c r="E219" s="617"/>
      <c r="F219" s="617"/>
      <c r="G219" s="617"/>
      <c r="H219" s="617"/>
      <c r="I219" s="617"/>
      <c r="J219" s="617"/>
      <c r="K219" s="1692">
        <f t="shared" si="19"/>
        <v>14971</v>
      </c>
      <c r="L219" s="466">
        <v>7601</v>
      </c>
    </row>
    <row r="220" spans="1:14">
      <c r="A220" s="1526" t="s">
        <v>297</v>
      </c>
      <c r="B220" s="615" t="s">
        <v>163</v>
      </c>
      <c r="C220" s="617"/>
      <c r="D220" s="467"/>
      <c r="E220" s="617"/>
      <c r="F220" s="617"/>
      <c r="G220" s="617"/>
      <c r="H220" s="617"/>
      <c r="I220" s="617"/>
      <c r="J220" s="617"/>
      <c r="K220" s="1692">
        <f t="shared" si="19"/>
        <v>0</v>
      </c>
      <c r="L220" s="466">
        <v>0</v>
      </c>
    </row>
    <row r="221" spans="1:14">
      <c r="A221" s="1526" t="s">
        <v>1018</v>
      </c>
      <c r="B221" s="615">
        <v>1300</v>
      </c>
      <c r="C221" s="617"/>
      <c r="D221" s="466"/>
      <c r="E221" s="617"/>
      <c r="F221" s="617"/>
      <c r="G221" s="617"/>
      <c r="H221" s="617"/>
      <c r="I221" s="617"/>
      <c r="J221" s="617"/>
      <c r="K221" s="1692">
        <f t="shared" si="19"/>
        <v>0</v>
      </c>
      <c r="L221" s="466">
        <v>0</v>
      </c>
    </row>
    <row r="222" spans="1:14">
      <c r="A222" s="1526" t="s">
        <v>746</v>
      </c>
      <c r="B222" s="615">
        <v>1400</v>
      </c>
      <c r="C222" s="617"/>
      <c r="D222" s="466">
        <v>2216</v>
      </c>
      <c r="E222" s="617"/>
      <c r="F222" s="617"/>
      <c r="G222" s="617"/>
      <c r="H222" s="617"/>
      <c r="I222" s="617"/>
      <c r="J222" s="617"/>
      <c r="K222" s="1692">
        <f t="shared" si="19"/>
        <v>2216</v>
      </c>
      <c r="L222" s="466">
        <v>2244</v>
      </c>
    </row>
    <row r="223" spans="1:14">
      <c r="A223" s="1526" t="s">
        <v>1019</v>
      </c>
      <c r="B223" s="615">
        <v>1500</v>
      </c>
      <c r="C223" s="617"/>
      <c r="D223" s="466">
        <v>6210</v>
      </c>
      <c r="E223" s="617"/>
      <c r="F223" s="617"/>
      <c r="G223" s="617"/>
      <c r="H223" s="617"/>
      <c r="I223" s="617"/>
      <c r="J223" s="617"/>
      <c r="K223" s="1692">
        <f t="shared" si="19"/>
        <v>6210</v>
      </c>
      <c r="L223" s="466">
        <v>5040</v>
      </c>
    </row>
    <row r="224" spans="1:14">
      <c r="A224" s="1526" t="s">
        <v>1020</v>
      </c>
      <c r="B224" s="615">
        <v>1600</v>
      </c>
      <c r="C224" s="617"/>
      <c r="D224" s="466">
        <v>31355</v>
      </c>
      <c r="E224" s="617"/>
      <c r="F224" s="617"/>
      <c r="G224" s="617"/>
      <c r="H224" s="617"/>
      <c r="I224" s="617"/>
      <c r="J224" s="617"/>
      <c r="K224" s="1692">
        <f t="shared" si="19"/>
        <v>31355</v>
      </c>
      <c r="L224" s="466">
        <v>34418</v>
      </c>
    </row>
    <row r="225" spans="1:12">
      <c r="A225" s="1526" t="s">
        <v>1043</v>
      </c>
      <c r="B225" s="615">
        <v>1650</v>
      </c>
      <c r="C225" s="617"/>
      <c r="D225" s="466">
        <v>1367</v>
      </c>
      <c r="E225" s="617"/>
      <c r="F225" s="617"/>
      <c r="G225" s="617"/>
      <c r="H225" s="617"/>
      <c r="I225" s="617"/>
      <c r="J225" s="617"/>
      <c r="K225" s="1692">
        <f t="shared" si="19"/>
        <v>1367</v>
      </c>
      <c r="L225" s="466">
        <v>1554</v>
      </c>
    </row>
    <row r="226" spans="1:12">
      <c r="A226" s="1526" t="s">
        <v>747</v>
      </c>
      <c r="B226" s="615" t="s">
        <v>164</v>
      </c>
      <c r="C226" s="617"/>
      <c r="D226" s="467"/>
      <c r="E226" s="617"/>
      <c r="F226" s="617"/>
      <c r="G226" s="617"/>
      <c r="H226" s="617"/>
      <c r="I226" s="617"/>
      <c r="J226" s="617"/>
      <c r="K226" s="1692">
        <f t="shared" si="19"/>
        <v>0</v>
      </c>
      <c r="L226" s="466">
        <v>0</v>
      </c>
    </row>
    <row r="227" spans="1:12">
      <c r="A227" s="1526" t="s">
        <v>1147</v>
      </c>
      <c r="B227" s="615">
        <v>1800</v>
      </c>
      <c r="C227" s="617"/>
      <c r="D227" s="466">
        <v>78214</v>
      </c>
      <c r="E227" s="617"/>
      <c r="F227" s="617"/>
      <c r="G227" s="617"/>
      <c r="H227" s="617"/>
      <c r="I227" s="617"/>
      <c r="J227" s="617"/>
      <c r="K227" s="1692">
        <f t="shared" si="19"/>
        <v>78214</v>
      </c>
      <c r="L227" s="466">
        <v>71956</v>
      </c>
    </row>
    <row r="228" spans="1:12">
      <c r="A228" s="1526" t="s">
        <v>1148</v>
      </c>
      <c r="B228" s="615">
        <v>1900</v>
      </c>
      <c r="C228" s="617"/>
      <c r="D228" s="466"/>
      <c r="E228" s="617"/>
      <c r="F228" s="617"/>
      <c r="G228" s="617"/>
      <c r="H228" s="617"/>
      <c r="I228" s="617"/>
      <c r="J228" s="617"/>
      <c r="K228" s="1692">
        <f t="shared" si="19"/>
        <v>0</v>
      </c>
      <c r="L228" s="466">
        <v>0</v>
      </c>
    </row>
    <row r="229" spans="1:12" ht="12.75" customHeight="1" thickBot="1">
      <c r="A229" s="1689" t="s">
        <v>738</v>
      </c>
      <c r="B229" s="1696" t="s">
        <v>590</v>
      </c>
      <c r="C229" s="617"/>
      <c r="D229" s="1691">
        <f>SUM(D215:D228)</f>
        <v>1428530</v>
      </c>
      <c r="E229" s="617"/>
      <c r="F229" s="617"/>
      <c r="G229" s="617"/>
      <c r="H229" s="617"/>
      <c r="I229" s="617"/>
      <c r="J229" s="617"/>
      <c r="K229" s="1691">
        <f>SUM(K215:K228)</f>
        <v>1428530</v>
      </c>
      <c r="L229" s="1691">
        <f>SUM(L215:L228)</f>
        <v>1386671</v>
      </c>
    </row>
    <row r="230" spans="1:12" ht="15.75" customHeight="1" thickTop="1">
      <c r="A230" s="1634" t="s">
        <v>928</v>
      </c>
      <c r="B230" s="1635" t="s">
        <v>589</v>
      </c>
      <c r="C230" s="617"/>
      <c r="D230" s="617"/>
      <c r="E230" s="617"/>
      <c r="F230" s="617"/>
      <c r="G230" s="617"/>
      <c r="H230" s="617"/>
      <c r="I230" s="617"/>
      <c r="J230" s="617"/>
      <c r="K230" s="617"/>
      <c r="L230" s="617"/>
    </row>
    <row r="231" spans="1:12" ht="15.75" customHeight="1">
      <c r="A231" s="654" t="s">
        <v>611</v>
      </c>
      <c r="B231" s="623"/>
      <c r="C231" s="617"/>
      <c r="D231" s="617"/>
      <c r="E231" s="617"/>
      <c r="F231" s="617"/>
      <c r="G231" s="617"/>
      <c r="H231" s="617"/>
      <c r="I231" s="617"/>
      <c r="J231" s="617"/>
      <c r="K231" s="617"/>
      <c r="L231" s="617"/>
    </row>
    <row r="232" spans="1:12">
      <c r="A232" s="1526" t="s">
        <v>1149</v>
      </c>
      <c r="B232" s="615">
        <v>2110</v>
      </c>
      <c r="C232" s="617"/>
      <c r="D232" s="466">
        <v>48331</v>
      </c>
      <c r="E232" s="617"/>
      <c r="F232" s="617"/>
      <c r="G232" s="617"/>
      <c r="H232" s="617"/>
      <c r="I232" s="617"/>
      <c r="J232" s="617"/>
      <c r="K232" s="1692">
        <f t="shared" ref="K232:K237" si="20">D232</f>
        <v>48331</v>
      </c>
      <c r="L232" s="466">
        <v>43021</v>
      </c>
    </row>
    <row r="233" spans="1:12">
      <c r="A233" s="1526" t="s">
        <v>1150</v>
      </c>
      <c r="B233" s="615">
        <v>2120</v>
      </c>
      <c r="C233" s="617"/>
      <c r="D233" s="466"/>
      <c r="E233" s="617"/>
      <c r="F233" s="617"/>
      <c r="G233" s="617"/>
      <c r="H233" s="617"/>
      <c r="I233" s="617"/>
      <c r="J233" s="617"/>
      <c r="K233" s="1692">
        <f t="shared" si="20"/>
        <v>0</v>
      </c>
      <c r="L233" s="466">
        <v>0</v>
      </c>
    </row>
    <row r="234" spans="1:12">
      <c r="A234" s="1526" t="s">
        <v>207</v>
      </c>
      <c r="B234" s="615">
        <v>2130</v>
      </c>
      <c r="C234" s="617"/>
      <c r="D234" s="466">
        <v>103098</v>
      </c>
      <c r="E234" s="617"/>
      <c r="F234" s="617"/>
      <c r="G234" s="617"/>
      <c r="H234" s="617"/>
      <c r="I234" s="617"/>
      <c r="J234" s="617"/>
      <c r="K234" s="1692">
        <f t="shared" si="20"/>
        <v>103098</v>
      </c>
      <c r="L234" s="466">
        <v>106355</v>
      </c>
    </row>
    <row r="235" spans="1:12">
      <c r="A235" s="1526" t="s">
        <v>208</v>
      </c>
      <c r="B235" s="615">
        <v>2140</v>
      </c>
      <c r="C235" s="617"/>
      <c r="D235" s="466">
        <v>17983</v>
      </c>
      <c r="E235" s="617"/>
      <c r="F235" s="617"/>
      <c r="G235" s="617"/>
      <c r="H235" s="617"/>
      <c r="I235" s="617"/>
      <c r="J235" s="617"/>
      <c r="K235" s="1692">
        <f t="shared" si="20"/>
        <v>17983</v>
      </c>
      <c r="L235" s="466">
        <v>18000</v>
      </c>
    </row>
    <row r="236" spans="1:12">
      <c r="A236" s="1526" t="s">
        <v>209</v>
      </c>
      <c r="B236" s="615">
        <v>2150</v>
      </c>
      <c r="C236" s="617"/>
      <c r="D236" s="466">
        <v>24560</v>
      </c>
      <c r="E236" s="617"/>
      <c r="F236" s="617"/>
      <c r="G236" s="617"/>
      <c r="H236" s="617"/>
      <c r="I236" s="617"/>
      <c r="J236" s="617"/>
      <c r="K236" s="1692">
        <f t="shared" si="20"/>
        <v>24560</v>
      </c>
      <c r="L236" s="466">
        <v>24627</v>
      </c>
    </row>
    <row r="237" spans="1:12">
      <c r="A237" s="1526" t="s">
        <v>167</v>
      </c>
      <c r="B237" s="615">
        <v>2190</v>
      </c>
      <c r="C237" s="617"/>
      <c r="D237" s="466">
        <v>230045</v>
      </c>
      <c r="E237" s="617"/>
      <c r="F237" s="617"/>
      <c r="G237" s="617"/>
      <c r="H237" s="617"/>
      <c r="I237" s="617"/>
      <c r="J237" s="617"/>
      <c r="K237" s="1692">
        <f t="shared" si="20"/>
        <v>230045</v>
      </c>
      <c r="L237" s="466">
        <v>236082</v>
      </c>
    </row>
    <row r="238" spans="1:12" ht="12.75" customHeight="1" thickBot="1">
      <c r="A238" s="1689" t="s">
        <v>580</v>
      </c>
      <c r="B238" s="1696" t="s">
        <v>739</v>
      </c>
      <c r="C238" s="617"/>
      <c r="D238" s="1691">
        <f>SUM(D232:D237)</f>
        <v>424017</v>
      </c>
      <c r="E238" s="617"/>
      <c r="F238" s="617"/>
      <c r="G238" s="617"/>
      <c r="H238" s="617"/>
      <c r="I238" s="617"/>
      <c r="J238" s="617"/>
      <c r="K238" s="1691">
        <f>SUM(K232:K237)</f>
        <v>424017</v>
      </c>
      <c r="L238" s="1691">
        <f>SUM(L232:L237)</f>
        <v>428085</v>
      </c>
    </row>
    <row r="239" spans="1:12" ht="15.75" customHeight="1" thickTop="1">
      <c r="A239" s="625" t="s">
        <v>612</v>
      </c>
      <c r="B239" s="632"/>
      <c r="C239" s="617"/>
      <c r="D239" s="627"/>
      <c r="E239" s="617"/>
      <c r="F239" s="617"/>
      <c r="G239" s="617"/>
      <c r="H239" s="617"/>
      <c r="I239" s="617"/>
      <c r="J239" s="617"/>
      <c r="K239" s="627"/>
      <c r="L239" s="627"/>
    </row>
    <row r="240" spans="1:12">
      <c r="A240" s="1526" t="s">
        <v>867</v>
      </c>
      <c r="B240" s="615">
        <v>2210</v>
      </c>
      <c r="C240" s="617"/>
      <c r="D240" s="481">
        <v>51897</v>
      </c>
      <c r="E240" s="617"/>
      <c r="F240" s="617"/>
      <c r="G240" s="617"/>
      <c r="H240" s="617"/>
      <c r="I240" s="617"/>
      <c r="J240" s="617"/>
      <c r="K240" s="1693">
        <f>D240</f>
        <v>51897</v>
      </c>
      <c r="L240" s="481">
        <v>51498</v>
      </c>
    </row>
    <row r="241" spans="1:12">
      <c r="A241" s="1526" t="s">
        <v>868</v>
      </c>
      <c r="B241" s="615">
        <v>2220</v>
      </c>
      <c r="C241" s="617"/>
      <c r="D241" s="466">
        <v>20454</v>
      </c>
      <c r="E241" s="617"/>
      <c r="F241" s="617"/>
      <c r="G241" s="617"/>
      <c r="H241" s="617"/>
      <c r="I241" s="617"/>
      <c r="J241" s="617"/>
      <c r="K241" s="1693">
        <f>D241</f>
        <v>20454</v>
      </c>
      <c r="L241" s="466">
        <v>17079</v>
      </c>
    </row>
    <row r="242" spans="1:12">
      <c r="A242" s="1526" t="s">
        <v>869</v>
      </c>
      <c r="B242" s="615">
        <v>2230</v>
      </c>
      <c r="C242" s="617"/>
      <c r="D242" s="466">
        <v>1314</v>
      </c>
      <c r="E242" s="617"/>
      <c r="F242" s="617"/>
      <c r="G242" s="617"/>
      <c r="H242" s="617"/>
      <c r="I242" s="617"/>
      <c r="J242" s="617"/>
      <c r="K242" s="1693">
        <f>D242</f>
        <v>1314</v>
      </c>
      <c r="L242" s="466">
        <v>1275</v>
      </c>
    </row>
    <row r="243" spans="1:12" ht="12.75" customHeight="1" thickBot="1">
      <c r="A243" s="1715" t="s">
        <v>581</v>
      </c>
      <c r="B243" s="1716">
        <v>2200</v>
      </c>
      <c r="C243" s="617"/>
      <c r="D243" s="1691">
        <f>SUM(D240:D242)</f>
        <v>73665</v>
      </c>
      <c r="E243" s="617"/>
      <c r="F243" s="617"/>
      <c r="G243" s="617"/>
      <c r="H243" s="617"/>
      <c r="I243" s="617"/>
      <c r="J243" s="617"/>
      <c r="K243" s="1691">
        <f>SUM(K240:K242)</f>
        <v>73665</v>
      </c>
      <c r="L243" s="1691">
        <f>SUM(L240:L242)</f>
        <v>69852</v>
      </c>
    </row>
    <row r="244" spans="1:12" ht="15.75" customHeight="1" thickTop="1">
      <c r="A244" s="625" t="s">
        <v>630</v>
      </c>
      <c r="B244" s="683"/>
      <c r="C244" s="617"/>
      <c r="D244" s="627"/>
      <c r="E244" s="617"/>
      <c r="F244" s="617"/>
      <c r="G244" s="617"/>
      <c r="H244" s="617"/>
      <c r="I244" s="617"/>
      <c r="J244" s="617"/>
      <c r="K244" s="627"/>
      <c r="L244" s="627"/>
    </row>
    <row r="245" spans="1:12">
      <c r="A245" s="1526" t="s">
        <v>870</v>
      </c>
      <c r="B245" s="615">
        <v>2310</v>
      </c>
      <c r="C245" s="617"/>
      <c r="D245" s="481">
        <v>10394</v>
      </c>
      <c r="E245" s="617"/>
      <c r="F245" s="617"/>
      <c r="G245" s="617"/>
      <c r="H245" s="617"/>
      <c r="I245" s="617"/>
      <c r="J245" s="617"/>
      <c r="K245" s="1693">
        <f>D245</f>
        <v>10394</v>
      </c>
      <c r="L245" s="481">
        <v>10901</v>
      </c>
    </row>
    <row r="246" spans="1:12">
      <c r="A246" s="1526" t="s">
        <v>871</v>
      </c>
      <c r="B246" s="615">
        <v>2320</v>
      </c>
      <c r="C246" s="617"/>
      <c r="D246" s="466">
        <v>22793</v>
      </c>
      <c r="E246" s="617"/>
      <c r="F246" s="617"/>
      <c r="G246" s="617"/>
      <c r="H246" s="617"/>
      <c r="I246" s="617"/>
      <c r="J246" s="617"/>
      <c r="K246" s="1693">
        <f t="shared" ref="K246:K256" si="21">D246</f>
        <v>22793</v>
      </c>
      <c r="L246" s="466">
        <v>23508</v>
      </c>
    </row>
    <row r="247" spans="1:12">
      <c r="A247" s="1526" t="s">
        <v>872</v>
      </c>
      <c r="B247" s="615">
        <v>2330</v>
      </c>
      <c r="C247" s="617"/>
      <c r="D247" s="466">
        <v>115454</v>
      </c>
      <c r="E247" s="617"/>
      <c r="F247" s="617"/>
      <c r="G247" s="617"/>
      <c r="H247" s="617"/>
      <c r="I247" s="617"/>
      <c r="J247" s="617"/>
      <c r="K247" s="1693">
        <f t="shared" si="21"/>
        <v>115454</v>
      </c>
      <c r="L247" s="466">
        <v>121329</v>
      </c>
    </row>
    <row r="248" spans="1:12">
      <c r="A248" s="1527" t="s">
        <v>316</v>
      </c>
      <c r="B248" s="603" t="s">
        <v>298</v>
      </c>
      <c r="C248" s="617"/>
      <c r="D248" s="474"/>
      <c r="E248" s="617"/>
      <c r="F248" s="617"/>
      <c r="G248" s="617"/>
      <c r="H248" s="617"/>
      <c r="I248" s="617"/>
      <c r="J248" s="617"/>
      <c r="K248" s="1693">
        <f t="shared" si="21"/>
        <v>0</v>
      </c>
      <c r="L248" s="466">
        <v>0</v>
      </c>
    </row>
    <row r="249" spans="1:12">
      <c r="A249" s="1528" t="s">
        <v>1904</v>
      </c>
      <c r="B249" s="684" t="s">
        <v>299</v>
      </c>
      <c r="C249" s="617"/>
      <c r="D249" s="474"/>
      <c r="E249" s="617"/>
      <c r="F249" s="617"/>
      <c r="G249" s="617"/>
      <c r="H249" s="617"/>
      <c r="I249" s="617"/>
      <c r="J249" s="617"/>
      <c r="K249" s="1693">
        <f t="shared" si="21"/>
        <v>0</v>
      </c>
      <c r="L249" s="466">
        <v>0</v>
      </c>
    </row>
    <row r="250" spans="1:12">
      <c r="A250" s="1527" t="s">
        <v>1905</v>
      </c>
      <c r="B250" s="603" t="s">
        <v>300</v>
      </c>
      <c r="C250" s="617"/>
      <c r="D250" s="474"/>
      <c r="E250" s="617"/>
      <c r="F250" s="617"/>
      <c r="G250" s="617"/>
      <c r="H250" s="617"/>
      <c r="I250" s="617"/>
      <c r="J250" s="617"/>
      <c r="K250" s="1693">
        <f t="shared" si="21"/>
        <v>0</v>
      </c>
      <c r="L250" s="466">
        <v>0</v>
      </c>
    </row>
    <row r="251" spans="1:12">
      <c r="A251" s="1527" t="s">
        <v>256</v>
      </c>
      <c r="B251" s="603" t="s">
        <v>301</v>
      </c>
      <c r="C251" s="617"/>
      <c r="D251" s="474"/>
      <c r="E251" s="617"/>
      <c r="F251" s="617"/>
      <c r="G251" s="617"/>
      <c r="H251" s="617"/>
      <c r="I251" s="617"/>
      <c r="J251" s="617"/>
      <c r="K251" s="1693">
        <f t="shared" si="21"/>
        <v>0</v>
      </c>
      <c r="L251" s="466">
        <v>0</v>
      </c>
    </row>
    <row r="252" spans="1:12">
      <c r="A252" s="1527" t="s">
        <v>725</v>
      </c>
      <c r="B252" s="603" t="s">
        <v>302</v>
      </c>
      <c r="C252" s="617"/>
      <c r="D252" s="474"/>
      <c r="E252" s="617"/>
      <c r="F252" s="617"/>
      <c r="G252" s="617"/>
      <c r="H252" s="617"/>
      <c r="I252" s="617"/>
      <c r="J252" s="617"/>
      <c r="K252" s="1693">
        <f t="shared" si="21"/>
        <v>0</v>
      </c>
      <c r="L252" s="466">
        <v>0</v>
      </c>
    </row>
    <row r="253" spans="1:12">
      <c r="A253" s="1527" t="s">
        <v>257</v>
      </c>
      <c r="B253" s="603" t="s">
        <v>303</v>
      </c>
      <c r="C253" s="617"/>
      <c r="D253" s="474"/>
      <c r="E253" s="617"/>
      <c r="F253" s="617"/>
      <c r="G253" s="617"/>
      <c r="H253" s="617"/>
      <c r="I253" s="617"/>
      <c r="J253" s="617"/>
      <c r="K253" s="1693">
        <f t="shared" si="21"/>
        <v>0</v>
      </c>
      <c r="L253" s="466">
        <v>0</v>
      </c>
    </row>
    <row r="254" spans="1:12" ht="22.5">
      <c r="A254" s="1527" t="s">
        <v>1086</v>
      </c>
      <c r="B254" s="684" t="s">
        <v>304</v>
      </c>
      <c r="C254" s="617"/>
      <c r="D254" s="474">
        <v>229</v>
      </c>
      <c r="E254" s="617"/>
      <c r="F254" s="617"/>
      <c r="G254" s="617"/>
      <c r="H254" s="617"/>
      <c r="I254" s="617"/>
      <c r="J254" s="617"/>
      <c r="K254" s="1693">
        <f t="shared" si="21"/>
        <v>229</v>
      </c>
      <c r="L254" s="466">
        <v>0</v>
      </c>
    </row>
    <row r="255" spans="1:12">
      <c r="A255" s="1527" t="s">
        <v>1087</v>
      </c>
      <c r="B255" s="603" t="s">
        <v>305</v>
      </c>
      <c r="C255" s="617"/>
      <c r="D255" s="474"/>
      <c r="E255" s="617"/>
      <c r="F255" s="617"/>
      <c r="G255" s="617"/>
      <c r="H255" s="617"/>
      <c r="I255" s="617"/>
      <c r="J255" s="617"/>
      <c r="K255" s="1693">
        <f t="shared" si="21"/>
        <v>0</v>
      </c>
      <c r="L255" s="466">
        <v>0</v>
      </c>
    </row>
    <row r="256" spans="1:12">
      <c r="A256" s="1527" t="s">
        <v>1027</v>
      </c>
      <c r="B256" s="615" t="s">
        <v>306</v>
      </c>
      <c r="C256" s="617"/>
      <c r="D256" s="474"/>
      <c r="E256" s="617"/>
      <c r="F256" s="617"/>
      <c r="G256" s="617"/>
      <c r="H256" s="617"/>
      <c r="I256" s="617"/>
      <c r="J256" s="617"/>
      <c r="K256" s="1693">
        <f t="shared" si="21"/>
        <v>0</v>
      </c>
      <c r="L256" s="466">
        <v>0</v>
      </c>
    </row>
    <row r="257" spans="1:14" ht="12.75" customHeight="1" thickBot="1">
      <c r="A257" s="1689" t="s">
        <v>740</v>
      </c>
      <c r="B257" s="1717">
        <v>2300</v>
      </c>
      <c r="C257" s="617"/>
      <c r="D257" s="1691">
        <f>SUM(D245:D256)</f>
        <v>148870</v>
      </c>
      <c r="E257" s="617"/>
      <c r="F257" s="617"/>
      <c r="G257" s="617"/>
      <c r="H257" s="617"/>
      <c r="I257" s="617"/>
      <c r="J257" s="617"/>
      <c r="K257" s="1691">
        <f>SUM(K245:K256)</f>
        <v>148870</v>
      </c>
      <c r="L257" s="1691">
        <f>SUM(L245:L256)</f>
        <v>155738</v>
      </c>
    </row>
    <row r="258" spans="1:14" ht="15.75" customHeight="1" thickTop="1">
      <c r="A258" s="625" t="s">
        <v>631</v>
      </c>
      <c r="B258" s="685"/>
      <c r="C258" s="617"/>
      <c r="D258" s="627"/>
      <c r="E258" s="617"/>
      <c r="F258" s="617"/>
      <c r="G258" s="617"/>
      <c r="H258" s="617"/>
      <c r="I258" s="617"/>
      <c r="J258" s="617"/>
      <c r="K258" s="627"/>
      <c r="L258" s="627"/>
    </row>
    <row r="259" spans="1:14">
      <c r="A259" s="1526" t="s">
        <v>1126</v>
      </c>
      <c r="B259" s="686">
        <v>2410</v>
      </c>
      <c r="C259" s="617"/>
      <c r="D259" s="481">
        <v>181762</v>
      </c>
      <c r="E259" s="617"/>
      <c r="F259" s="617"/>
      <c r="G259" s="617"/>
      <c r="H259" s="617"/>
      <c r="I259" s="617"/>
      <c r="J259" s="617"/>
      <c r="K259" s="1693">
        <f>D259</f>
        <v>181762</v>
      </c>
      <c r="L259" s="481">
        <v>184160</v>
      </c>
    </row>
    <row r="260" spans="1:14" s="598" customFormat="1">
      <c r="A260" s="1544" t="s">
        <v>1903</v>
      </c>
      <c r="B260" s="629">
        <v>2490</v>
      </c>
      <c r="C260" s="617"/>
      <c r="D260" s="466">
        <v>1361</v>
      </c>
      <c r="E260" s="617"/>
      <c r="F260" s="617"/>
      <c r="G260" s="617"/>
      <c r="H260" s="617"/>
      <c r="I260" s="617"/>
      <c r="J260" s="617"/>
      <c r="K260" s="1693">
        <f>D260</f>
        <v>1361</v>
      </c>
      <c r="L260" s="466">
        <v>735</v>
      </c>
      <c r="M260" s="210"/>
      <c r="N260" s="210"/>
    </row>
    <row r="261" spans="1:14" ht="12.75" customHeight="1" thickBot="1">
      <c r="A261" s="1713" t="s">
        <v>281</v>
      </c>
      <c r="B261" s="1718" t="s">
        <v>34</v>
      </c>
      <c r="C261" s="617"/>
      <c r="D261" s="1691">
        <f>SUM(D259:D260)</f>
        <v>183123</v>
      </c>
      <c r="E261" s="617"/>
      <c r="F261" s="617"/>
      <c r="G261" s="617"/>
      <c r="H261" s="617"/>
      <c r="I261" s="617"/>
      <c r="J261" s="617"/>
      <c r="K261" s="1691">
        <f>SUM(K259:K260)</f>
        <v>183123</v>
      </c>
      <c r="L261" s="1691">
        <f>SUM(L259:L260)</f>
        <v>184895</v>
      </c>
    </row>
    <row r="262" spans="1:14" ht="15.75" customHeight="1" thickTop="1">
      <c r="A262" s="625" t="s">
        <v>632</v>
      </c>
      <c r="B262" s="685"/>
      <c r="C262" s="617"/>
      <c r="D262" s="617"/>
      <c r="E262" s="617"/>
      <c r="F262" s="617"/>
      <c r="G262" s="617"/>
      <c r="H262" s="617"/>
      <c r="I262" s="617"/>
      <c r="J262" s="617"/>
      <c r="K262" s="627"/>
      <c r="L262" s="627"/>
    </row>
    <row r="263" spans="1:14">
      <c r="A263" s="1526" t="s">
        <v>1127</v>
      </c>
      <c r="B263" s="686">
        <v>2510</v>
      </c>
      <c r="C263" s="617"/>
      <c r="D263" s="466">
        <v>37156</v>
      </c>
      <c r="E263" s="617"/>
      <c r="F263" s="617"/>
      <c r="G263" s="617"/>
      <c r="H263" s="617"/>
      <c r="I263" s="617"/>
      <c r="J263" s="617"/>
      <c r="K263" s="1693">
        <f>D263</f>
        <v>37156</v>
      </c>
      <c r="L263" s="481">
        <v>38428</v>
      </c>
    </row>
    <row r="264" spans="1:14">
      <c r="A264" s="1526" t="s">
        <v>482</v>
      </c>
      <c r="B264" s="686">
        <v>2520</v>
      </c>
      <c r="C264" s="617"/>
      <c r="D264" s="466">
        <v>52871</v>
      </c>
      <c r="E264" s="617"/>
      <c r="F264" s="617"/>
      <c r="G264" s="617"/>
      <c r="H264" s="617"/>
      <c r="I264" s="617"/>
      <c r="J264" s="617"/>
      <c r="K264" s="1693">
        <f t="shared" ref="K264:K269" si="22">D264</f>
        <v>52871</v>
      </c>
      <c r="L264" s="466">
        <v>52314</v>
      </c>
    </row>
    <row r="265" spans="1:14">
      <c r="A265" s="1526" t="s">
        <v>4</v>
      </c>
      <c r="B265" s="615">
        <v>2530</v>
      </c>
      <c r="C265" s="617"/>
      <c r="D265" s="466">
        <v>21332</v>
      </c>
      <c r="E265" s="617"/>
      <c r="F265" s="617"/>
      <c r="G265" s="617"/>
      <c r="H265" s="617"/>
      <c r="I265" s="617"/>
      <c r="J265" s="617"/>
      <c r="K265" s="1693">
        <f t="shared" si="22"/>
        <v>21332</v>
      </c>
      <c r="L265" s="466">
        <v>30170</v>
      </c>
    </row>
    <row r="266" spans="1:14">
      <c r="A266" s="1526" t="s">
        <v>206</v>
      </c>
      <c r="B266" s="615">
        <v>2540</v>
      </c>
      <c r="C266" s="617"/>
      <c r="D266" s="466">
        <v>512428</v>
      </c>
      <c r="E266" s="617"/>
      <c r="F266" s="617"/>
      <c r="G266" s="617"/>
      <c r="H266" s="617"/>
      <c r="I266" s="617"/>
      <c r="J266" s="617"/>
      <c r="K266" s="1693">
        <f t="shared" si="22"/>
        <v>512428</v>
      </c>
      <c r="L266" s="466">
        <v>545308</v>
      </c>
    </row>
    <row r="267" spans="1:14">
      <c r="A267" s="1526" t="s">
        <v>1009</v>
      </c>
      <c r="B267" s="615">
        <v>2550</v>
      </c>
      <c r="C267" s="617"/>
      <c r="D267" s="466">
        <v>85851</v>
      </c>
      <c r="E267" s="617"/>
      <c r="F267" s="617"/>
      <c r="G267" s="617"/>
      <c r="H267" s="617"/>
      <c r="I267" s="617"/>
      <c r="J267" s="617"/>
      <c r="K267" s="1693">
        <f t="shared" si="22"/>
        <v>85851</v>
      </c>
      <c r="L267" s="466">
        <v>82559</v>
      </c>
    </row>
    <row r="268" spans="1:14">
      <c r="A268" s="1526" t="s">
        <v>102</v>
      </c>
      <c r="B268" s="615">
        <v>2560</v>
      </c>
      <c r="C268" s="617"/>
      <c r="D268" s="466">
        <v>127710</v>
      </c>
      <c r="E268" s="617"/>
      <c r="F268" s="617"/>
      <c r="G268" s="617"/>
      <c r="H268" s="617"/>
      <c r="I268" s="617"/>
      <c r="J268" s="617"/>
      <c r="K268" s="1693">
        <f t="shared" si="22"/>
        <v>127710</v>
      </c>
      <c r="L268" s="466">
        <v>134032</v>
      </c>
    </row>
    <row r="269" spans="1:14">
      <c r="A269" s="1526" t="s">
        <v>103</v>
      </c>
      <c r="B269" s="615">
        <v>2570</v>
      </c>
      <c r="C269" s="617"/>
      <c r="D269" s="466">
        <v>36862</v>
      </c>
      <c r="E269" s="617"/>
      <c r="F269" s="617"/>
      <c r="G269" s="617"/>
      <c r="H269" s="617"/>
      <c r="I269" s="617"/>
      <c r="J269" s="617"/>
      <c r="K269" s="1693">
        <f t="shared" si="22"/>
        <v>36862</v>
      </c>
      <c r="L269" s="466">
        <v>41958</v>
      </c>
    </row>
    <row r="270" spans="1:14" ht="12.75" customHeight="1" thickBot="1">
      <c r="A270" s="1689" t="s">
        <v>742</v>
      </c>
      <c r="B270" s="1696" t="s">
        <v>35</v>
      </c>
      <c r="C270" s="617"/>
      <c r="D270" s="1691">
        <f>SUM(D263:D269)</f>
        <v>874210</v>
      </c>
      <c r="E270" s="617"/>
      <c r="F270" s="617"/>
      <c r="G270" s="617"/>
      <c r="H270" s="617"/>
      <c r="I270" s="617"/>
      <c r="J270" s="617"/>
      <c r="K270" s="1691">
        <f>SUM(K263:K269)</f>
        <v>874210</v>
      </c>
      <c r="L270" s="1691">
        <f>SUM(L263:L269)</f>
        <v>924769</v>
      </c>
    </row>
    <row r="271" spans="1:14" ht="15.75" customHeight="1" thickTop="1">
      <c r="A271" s="670" t="s">
        <v>633</v>
      </c>
      <c r="B271" s="626"/>
      <c r="C271" s="617"/>
      <c r="D271" s="627"/>
      <c r="E271" s="617"/>
      <c r="F271" s="617"/>
      <c r="G271" s="617"/>
      <c r="H271" s="617"/>
      <c r="I271" s="617"/>
      <c r="J271" s="617"/>
      <c r="K271" s="627"/>
      <c r="L271" s="627"/>
    </row>
    <row r="272" spans="1:14">
      <c r="A272" s="1526" t="s">
        <v>1119</v>
      </c>
      <c r="B272" s="615">
        <v>2610</v>
      </c>
      <c r="C272" s="617"/>
      <c r="D272" s="481"/>
      <c r="E272" s="617"/>
      <c r="F272" s="617"/>
      <c r="G272" s="617"/>
      <c r="H272" s="617"/>
      <c r="I272" s="617"/>
      <c r="J272" s="617"/>
      <c r="K272" s="1693">
        <f>D272</f>
        <v>0</v>
      </c>
      <c r="L272" s="481">
        <v>0</v>
      </c>
    </row>
    <row r="273" spans="1:12">
      <c r="A273" s="1526" t="s">
        <v>627</v>
      </c>
      <c r="B273" s="629">
        <v>2620</v>
      </c>
      <c r="C273" s="617"/>
      <c r="D273" s="466">
        <v>104146</v>
      </c>
      <c r="E273" s="617"/>
      <c r="F273" s="617"/>
      <c r="G273" s="617"/>
      <c r="H273" s="617"/>
      <c r="I273" s="617"/>
      <c r="J273" s="617"/>
      <c r="K273" s="1693">
        <f>D273</f>
        <v>104146</v>
      </c>
      <c r="L273" s="466">
        <v>105431</v>
      </c>
    </row>
    <row r="274" spans="1:12" ht="12" customHeight="1">
      <c r="A274" s="1526" t="s">
        <v>1120</v>
      </c>
      <c r="B274" s="615">
        <v>2630</v>
      </c>
      <c r="C274" s="617"/>
      <c r="D274" s="466">
        <v>15543</v>
      </c>
      <c r="E274" s="617"/>
      <c r="F274" s="617"/>
      <c r="G274" s="617"/>
      <c r="H274" s="617"/>
      <c r="I274" s="617"/>
      <c r="J274" s="617"/>
      <c r="K274" s="1693">
        <f>D274</f>
        <v>15543</v>
      </c>
      <c r="L274" s="466">
        <v>14953</v>
      </c>
    </row>
    <row r="275" spans="1:12">
      <c r="A275" s="1526" t="s">
        <v>422</v>
      </c>
      <c r="B275" s="615">
        <v>2640</v>
      </c>
      <c r="C275" s="617"/>
      <c r="D275" s="466">
        <v>58503</v>
      </c>
      <c r="E275" s="617"/>
      <c r="F275" s="617"/>
      <c r="G275" s="617"/>
      <c r="H275" s="617"/>
      <c r="I275" s="617"/>
      <c r="J275" s="617"/>
      <c r="K275" s="1693">
        <f>D275</f>
        <v>58503</v>
      </c>
      <c r="L275" s="466">
        <v>65694</v>
      </c>
    </row>
    <row r="276" spans="1:12">
      <c r="A276" s="1526" t="s">
        <v>423</v>
      </c>
      <c r="B276" s="615">
        <v>2660</v>
      </c>
      <c r="C276" s="617"/>
      <c r="D276" s="466">
        <v>147720</v>
      </c>
      <c r="E276" s="617"/>
      <c r="F276" s="617"/>
      <c r="G276" s="617"/>
      <c r="H276" s="617"/>
      <c r="I276" s="617"/>
      <c r="J276" s="617"/>
      <c r="K276" s="1693">
        <f>D276</f>
        <v>147720</v>
      </c>
      <c r="L276" s="466">
        <v>151869</v>
      </c>
    </row>
    <row r="277" spans="1:12" ht="12.75" customHeight="1" thickBot="1">
      <c r="A277" s="1712" t="s">
        <v>37</v>
      </c>
      <c r="B277" s="1690" t="s">
        <v>36</v>
      </c>
      <c r="C277" s="617"/>
      <c r="D277" s="1691">
        <f>SUM(D272:D276)</f>
        <v>325912</v>
      </c>
      <c r="E277" s="617"/>
      <c r="F277" s="617"/>
      <c r="G277" s="617"/>
      <c r="H277" s="617"/>
      <c r="I277" s="617"/>
      <c r="J277" s="617"/>
      <c r="K277" s="1691">
        <f>SUM(K272:K276)</f>
        <v>325912</v>
      </c>
      <c r="L277" s="1691">
        <f>SUM(L272:L276)</f>
        <v>337947</v>
      </c>
    </row>
    <row r="278" spans="1:12" ht="13.5" customHeight="1" thickTop="1">
      <c r="A278" s="1532" t="s">
        <v>1036</v>
      </c>
      <c r="B278" s="656" t="s">
        <v>594</v>
      </c>
      <c r="C278" s="617"/>
      <c r="D278" s="657">
        <v>9772</v>
      </c>
      <c r="E278" s="617"/>
      <c r="F278" s="617"/>
      <c r="G278" s="617"/>
      <c r="H278" s="617"/>
      <c r="I278" s="617"/>
      <c r="J278" s="617"/>
      <c r="K278" s="1706">
        <f>D278</f>
        <v>9772</v>
      </c>
      <c r="L278" s="657">
        <v>11442</v>
      </c>
    </row>
    <row r="279" spans="1:12" ht="12.75" customHeight="1" thickBot="1">
      <c r="A279" s="1719" t="s">
        <v>864</v>
      </c>
      <c r="B279" s="1702">
        <v>2000</v>
      </c>
      <c r="C279" s="617"/>
      <c r="D279" s="1698">
        <f>SUM(D238,D243,D257,D261,D270,D277,D278)</f>
        <v>2039569</v>
      </c>
      <c r="E279" s="617"/>
      <c r="F279" s="617"/>
      <c r="G279" s="617"/>
      <c r="H279" s="617"/>
      <c r="I279" s="617"/>
      <c r="J279" s="617"/>
      <c r="K279" s="1698">
        <f>SUM(K238,K243,K257,K261,K270,K277,K278)</f>
        <v>2039569</v>
      </c>
      <c r="L279" s="1698">
        <f>SUM(L238,L243,L257,L261,L270,L277,L278)</f>
        <v>2112728</v>
      </c>
    </row>
    <row r="280" spans="1:12" ht="15.75" customHeight="1" thickTop="1" thickBot="1">
      <c r="A280" s="1646" t="s">
        <v>929</v>
      </c>
      <c r="B280" s="1635">
        <v>3000</v>
      </c>
      <c r="C280" s="617"/>
      <c r="D280" s="576">
        <v>443322</v>
      </c>
      <c r="E280" s="617"/>
      <c r="F280" s="617"/>
      <c r="G280" s="617"/>
      <c r="H280" s="617"/>
      <c r="I280" s="617"/>
      <c r="J280" s="617"/>
      <c r="K280" s="1700">
        <f>D280</f>
        <v>443322</v>
      </c>
      <c r="L280" s="576">
        <v>530478</v>
      </c>
    </row>
    <row r="281" spans="1:12" ht="15.75" customHeight="1" thickTop="1">
      <c r="A281" s="1636" t="s">
        <v>144</v>
      </c>
      <c r="B281" s="1637" t="s">
        <v>914</v>
      </c>
      <c r="C281" s="617"/>
      <c r="D281" s="566"/>
      <c r="E281" s="617"/>
      <c r="F281" s="617"/>
      <c r="G281" s="617"/>
      <c r="H281" s="617"/>
      <c r="I281" s="617"/>
      <c r="J281" s="617"/>
      <c r="K281" s="617"/>
      <c r="L281" s="617"/>
    </row>
    <row r="282" spans="1:12" ht="15.75" customHeight="1">
      <c r="A282" s="1852" t="s">
        <v>516</v>
      </c>
      <c r="B282" s="691" t="s">
        <v>1952</v>
      </c>
      <c r="C282" s="617"/>
      <c r="D282" s="467"/>
      <c r="E282" s="617"/>
      <c r="F282" s="617"/>
      <c r="G282" s="617"/>
      <c r="H282" s="617"/>
      <c r="I282" s="617"/>
      <c r="J282" s="617"/>
      <c r="K282" s="1692">
        <f>D282</f>
        <v>0</v>
      </c>
      <c r="L282" s="467">
        <v>0</v>
      </c>
    </row>
    <row r="283" spans="1:12">
      <c r="A283" s="1526" t="s">
        <v>321</v>
      </c>
      <c r="B283" s="615">
        <v>4120</v>
      </c>
      <c r="C283" s="617"/>
      <c r="D283" s="466"/>
      <c r="E283" s="617"/>
      <c r="F283" s="617"/>
      <c r="G283" s="617"/>
      <c r="H283" s="617"/>
      <c r="I283" s="617"/>
      <c r="J283" s="617"/>
      <c r="K283" s="1692">
        <f>D283</f>
        <v>0</v>
      </c>
      <c r="L283" s="466">
        <v>0</v>
      </c>
    </row>
    <row r="284" spans="1:12">
      <c r="A284" s="1526" t="s">
        <v>720</v>
      </c>
      <c r="B284" s="615">
        <v>4140</v>
      </c>
      <c r="C284" s="617"/>
      <c r="D284" s="467"/>
      <c r="E284" s="617"/>
      <c r="F284" s="617"/>
      <c r="G284" s="617"/>
      <c r="H284" s="617"/>
      <c r="I284" s="617"/>
      <c r="J284" s="617"/>
      <c r="K284" s="1692">
        <f>D284</f>
        <v>0</v>
      </c>
      <c r="L284" s="466">
        <v>0</v>
      </c>
    </row>
    <row r="285" spans="1:12" ht="12.75" customHeight="1" thickBot="1">
      <c r="A285" s="1689" t="s">
        <v>1566</v>
      </c>
      <c r="B285" s="1690" t="s">
        <v>914</v>
      </c>
      <c r="C285" s="617"/>
      <c r="D285" s="1691">
        <f>SUM(D282:D284)</f>
        <v>0</v>
      </c>
      <c r="E285" s="617"/>
      <c r="F285" s="617"/>
      <c r="G285" s="617"/>
      <c r="H285" s="617"/>
      <c r="I285" s="617"/>
      <c r="J285" s="617"/>
      <c r="K285" s="1691">
        <f>SUM(K282:K284)</f>
        <v>0</v>
      </c>
      <c r="L285" s="1691">
        <f>SUM(L282:L284)</f>
        <v>0</v>
      </c>
    </row>
    <row r="286" spans="1:12" ht="15.75" customHeight="1" thickTop="1">
      <c r="A286" s="1634" t="s">
        <v>930</v>
      </c>
      <c r="B286" s="1631" t="s">
        <v>512</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6" t="s">
        <v>89</v>
      </c>
      <c r="B288" s="615">
        <v>5110</v>
      </c>
      <c r="C288" s="617"/>
      <c r="D288" s="617"/>
      <c r="E288" s="617"/>
      <c r="F288" s="617"/>
      <c r="G288" s="617"/>
      <c r="H288" s="466"/>
      <c r="I288" s="617"/>
      <c r="J288" s="617"/>
      <c r="K288" s="1692">
        <f>H288</f>
        <v>0</v>
      </c>
      <c r="L288" s="466">
        <v>0</v>
      </c>
    </row>
    <row r="289" spans="1:14">
      <c r="A289" s="1526" t="s">
        <v>90</v>
      </c>
      <c r="B289" s="615">
        <v>5120</v>
      </c>
      <c r="C289" s="617"/>
      <c r="D289" s="617"/>
      <c r="E289" s="617"/>
      <c r="F289" s="617"/>
      <c r="G289" s="617"/>
      <c r="H289" s="466"/>
      <c r="I289" s="617"/>
      <c r="J289" s="617"/>
      <c r="K289" s="1692">
        <f>H289</f>
        <v>0</v>
      </c>
      <c r="L289" s="466">
        <v>0</v>
      </c>
    </row>
    <row r="290" spans="1:14" ht="12.75" customHeight="1">
      <c r="A290" s="1526" t="s">
        <v>1231</v>
      </c>
      <c r="B290" s="629" t="s">
        <v>637</v>
      </c>
      <c r="C290" s="617"/>
      <c r="D290" s="617"/>
      <c r="E290" s="617"/>
      <c r="F290" s="617"/>
      <c r="G290" s="617"/>
      <c r="H290" s="466"/>
      <c r="I290" s="617"/>
      <c r="J290" s="617"/>
      <c r="K290" s="1692">
        <f>H290</f>
        <v>0</v>
      </c>
      <c r="L290" s="466">
        <v>0</v>
      </c>
    </row>
    <row r="291" spans="1:14">
      <c r="A291" s="1526" t="s">
        <v>91</v>
      </c>
      <c r="B291" s="615" t="s">
        <v>609</v>
      </c>
      <c r="C291" s="617"/>
      <c r="D291" s="617"/>
      <c r="E291" s="617"/>
      <c r="F291" s="617"/>
      <c r="G291" s="617"/>
      <c r="H291" s="466"/>
      <c r="I291" s="617"/>
      <c r="J291" s="617"/>
      <c r="K291" s="1692">
        <f>H291</f>
        <v>0</v>
      </c>
      <c r="L291" s="466">
        <v>0</v>
      </c>
    </row>
    <row r="292" spans="1:14">
      <c r="A292" s="1526" t="s">
        <v>785</v>
      </c>
      <c r="B292" s="615" t="s">
        <v>638</v>
      </c>
      <c r="C292" s="617"/>
      <c r="D292" s="617"/>
      <c r="E292" s="617"/>
      <c r="F292" s="617"/>
      <c r="G292" s="617"/>
      <c r="H292" s="466"/>
      <c r="I292" s="617"/>
      <c r="J292" s="617"/>
      <c r="K292" s="1692">
        <f>H292</f>
        <v>0</v>
      </c>
      <c r="L292" s="466">
        <v>0</v>
      </c>
    </row>
    <row r="293" spans="1:14" ht="12.75" customHeight="1" thickBot="1">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c r="A294" s="1647" t="s">
        <v>931</v>
      </c>
      <c r="B294" s="1635" t="s">
        <v>915</v>
      </c>
      <c r="C294" s="617"/>
      <c r="D294" s="624"/>
      <c r="E294" s="617"/>
      <c r="F294" s="617"/>
      <c r="G294" s="617"/>
      <c r="H294" s="687"/>
      <c r="I294" s="617"/>
      <c r="J294" s="617"/>
      <c r="K294" s="687"/>
      <c r="L294" s="578">
        <v>0</v>
      </c>
    </row>
    <row r="295" spans="1:14" ht="12.75" customHeight="1" thickTop="1" thickBot="1">
      <c r="A295" s="2311" t="s">
        <v>525</v>
      </c>
      <c r="B295" s="2312"/>
      <c r="C295" s="617"/>
      <c r="D295" s="1691">
        <f>SUM(D229,D279,D280,D285)</f>
        <v>3911421</v>
      </c>
      <c r="E295" s="617"/>
      <c r="F295" s="617"/>
      <c r="G295" s="617"/>
      <c r="H295" s="1691">
        <f>H293</f>
        <v>0</v>
      </c>
      <c r="I295" s="617"/>
      <c r="J295" s="617"/>
      <c r="K295" s="1691">
        <f>SUM(K229,K279,K280,K285,K293,K294)</f>
        <v>3911421</v>
      </c>
      <c r="L295" s="1691">
        <f>SUM(L229,L279,L280,L285,L293,L294)</f>
        <v>4029877</v>
      </c>
    </row>
    <row r="296" spans="1:14" ht="13.5" thickTop="1">
      <c r="A296" s="2293" t="s">
        <v>1052</v>
      </c>
      <c r="B296" s="2294"/>
      <c r="C296" s="617"/>
      <c r="D296" s="619"/>
      <c r="E296" s="617"/>
      <c r="F296" s="617"/>
      <c r="G296" s="617"/>
      <c r="H296" s="688"/>
      <c r="I296" s="617"/>
      <c r="J296" s="617"/>
      <c r="K296" s="1705">
        <f>'Revenues 9-14'!G275-'Expenditures 15-22'!K295</f>
        <v>-562871</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303" t="s">
        <v>145</v>
      </c>
      <c r="B298" s="2297"/>
      <c r="C298" s="1573"/>
      <c r="D298" s="1574"/>
      <c r="E298" s="1574"/>
      <c r="F298" s="1574"/>
      <c r="G298" s="1574"/>
      <c r="H298" s="1574"/>
      <c r="I298" s="1574"/>
      <c r="J298" s="1574"/>
      <c r="K298" s="1574"/>
      <c r="L298" s="1575"/>
    </row>
    <row r="299" spans="1:14" ht="15.75" customHeight="1">
      <c r="A299" s="1634" t="s">
        <v>146</v>
      </c>
      <c r="B299" s="1637" t="s">
        <v>589</v>
      </c>
      <c r="C299" s="617"/>
      <c r="D299" s="617"/>
      <c r="E299" s="617"/>
      <c r="F299" s="617"/>
      <c r="G299" s="617"/>
      <c r="H299" s="617"/>
      <c r="I299" s="617"/>
      <c r="J299" s="617"/>
      <c r="K299" s="617"/>
      <c r="L299" s="617"/>
    </row>
    <row r="300" spans="1:14" ht="15.75" customHeight="1">
      <c r="A300" s="689" t="s">
        <v>632</v>
      </c>
      <c r="B300" s="632"/>
      <c r="C300" s="624"/>
      <c r="D300" s="624"/>
      <c r="E300" s="624"/>
      <c r="F300" s="624"/>
      <c r="G300" s="624"/>
      <c r="H300" s="624"/>
      <c r="I300" s="617"/>
      <c r="J300" s="617"/>
      <c r="K300" s="624"/>
      <c r="L300" s="624"/>
    </row>
    <row r="301" spans="1:14">
      <c r="A301" s="1539" t="s">
        <v>628</v>
      </c>
      <c r="B301" s="690">
        <v>2530</v>
      </c>
      <c r="C301" s="466">
        <v>127553</v>
      </c>
      <c r="D301" s="466">
        <v>6997</v>
      </c>
      <c r="E301" s="466">
        <v>284117</v>
      </c>
      <c r="F301" s="466">
        <v>81747</v>
      </c>
      <c r="G301" s="466">
        <v>107692</v>
      </c>
      <c r="H301" s="466"/>
      <c r="I301" s="467"/>
      <c r="J301" s="467"/>
      <c r="K301" s="1692">
        <f>SUM(C301:J301)</f>
        <v>608106</v>
      </c>
      <c r="L301" s="467">
        <v>547365</v>
      </c>
    </row>
    <row r="302" spans="1:14" ht="13.5" customHeight="1">
      <c r="A302" s="1539" t="s">
        <v>1036</v>
      </c>
      <c r="B302" s="615" t="s">
        <v>594</v>
      </c>
      <c r="C302" s="466"/>
      <c r="D302" s="466"/>
      <c r="E302" s="466"/>
      <c r="F302" s="466"/>
      <c r="G302" s="466"/>
      <c r="H302" s="466"/>
      <c r="I302" s="467"/>
      <c r="J302" s="467"/>
      <c r="K302" s="1692">
        <f>SUM(C302:J302)</f>
        <v>0</v>
      </c>
      <c r="L302" s="466">
        <v>0</v>
      </c>
    </row>
    <row r="303" spans="1:14" ht="12.75" customHeight="1" thickBot="1">
      <c r="A303" s="1689" t="s">
        <v>864</v>
      </c>
      <c r="B303" s="1690" t="s">
        <v>589</v>
      </c>
      <c r="C303" s="1698">
        <f>SUM(C301:C302)</f>
        <v>127553</v>
      </c>
      <c r="D303" s="1698">
        <f t="shared" ref="D303:L303" si="23">SUM(D301:D302)</f>
        <v>6997</v>
      </c>
      <c r="E303" s="1698">
        <f t="shared" si="23"/>
        <v>284117</v>
      </c>
      <c r="F303" s="1698">
        <f t="shared" si="23"/>
        <v>81747</v>
      </c>
      <c r="G303" s="1698">
        <f t="shared" si="23"/>
        <v>107692</v>
      </c>
      <c r="H303" s="1698">
        <f t="shared" si="23"/>
        <v>0</v>
      </c>
      <c r="I303" s="1698">
        <f t="shared" si="23"/>
        <v>0</v>
      </c>
      <c r="J303" s="1698">
        <f t="shared" si="23"/>
        <v>0</v>
      </c>
      <c r="K303" s="1698">
        <f t="shared" si="23"/>
        <v>608106</v>
      </c>
      <c r="L303" s="1698">
        <f t="shared" si="23"/>
        <v>547365</v>
      </c>
    </row>
    <row r="304" spans="1:14" ht="15.75" customHeight="1" thickTop="1">
      <c r="A304" s="1634" t="s">
        <v>147</v>
      </c>
      <c r="B304" s="1635" t="s">
        <v>914</v>
      </c>
      <c r="C304" s="617"/>
      <c r="D304" s="617"/>
      <c r="E304" s="617"/>
      <c r="F304" s="617"/>
      <c r="G304" s="617"/>
      <c r="H304" s="617"/>
      <c r="I304" s="617"/>
      <c r="J304" s="617"/>
      <c r="K304" s="617"/>
      <c r="L304" s="617"/>
    </row>
    <row r="305" spans="1:14" ht="15.75" customHeight="1">
      <c r="A305" s="654" t="s">
        <v>952</v>
      </c>
      <c r="B305" s="623"/>
      <c r="C305" s="617"/>
      <c r="D305" s="617"/>
      <c r="E305" s="617"/>
      <c r="F305" s="617"/>
      <c r="G305" s="617"/>
      <c r="H305" s="617"/>
      <c r="I305" s="617"/>
      <c r="J305" s="617"/>
      <c r="K305" s="617"/>
      <c r="L305" s="617"/>
    </row>
    <row r="306" spans="1:14">
      <c r="A306" s="1540" t="s">
        <v>1957</v>
      </c>
      <c r="B306" s="691" t="s">
        <v>1952</v>
      </c>
      <c r="C306" s="617"/>
      <c r="D306" s="617"/>
      <c r="E306" s="467"/>
      <c r="F306" s="617"/>
      <c r="G306" s="617"/>
      <c r="H306" s="467"/>
      <c r="I306" s="617"/>
      <c r="J306" s="617"/>
      <c r="K306" s="1692">
        <f>SUM(E306,H306)</f>
        <v>0</v>
      </c>
      <c r="L306" s="467">
        <v>0</v>
      </c>
    </row>
    <row r="307" spans="1:14">
      <c r="A307" s="1526" t="s">
        <v>321</v>
      </c>
      <c r="B307" s="615">
        <v>4120</v>
      </c>
      <c r="C307" s="617"/>
      <c r="D307" s="617"/>
      <c r="E307" s="467"/>
      <c r="F307" s="617"/>
      <c r="G307" s="617"/>
      <c r="H307" s="467"/>
      <c r="I307" s="477"/>
      <c r="J307" s="617"/>
      <c r="K307" s="1692">
        <f>SUM(E307,H307)</f>
        <v>0</v>
      </c>
      <c r="L307" s="466">
        <v>0</v>
      </c>
    </row>
    <row r="308" spans="1:14">
      <c r="A308" s="1526" t="s">
        <v>720</v>
      </c>
      <c r="B308" s="615">
        <v>4140</v>
      </c>
      <c r="C308" s="617"/>
      <c r="D308" s="617"/>
      <c r="E308" s="467"/>
      <c r="F308" s="617"/>
      <c r="G308" s="617"/>
      <c r="H308" s="467"/>
      <c r="I308" s="477"/>
      <c r="J308" s="617"/>
      <c r="K308" s="1692">
        <f>SUM(E308,H308)</f>
        <v>0</v>
      </c>
      <c r="L308" s="466">
        <v>0</v>
      </c>
    </row>
    <row r="309" spans="1:14" ht="12.75" customHeight="1">
      <c r="A309" s="1530" t="s">
        <v>721</v>
      </c>
      <c r="B309" s="629">
        <v>4190</v>
      </c>
      <c r="C309" s="617"/>
      <c r="D309" s="617"/>
      <c r="E309" s="467"/>
      <c r="F309" s="617"/>
      <c r="G309" s="617"/>
      <c r="H309" s="467"/>
      <c r="I309" s="477"/>
      <c r="J309" s="617"/>
      <c r="K309" s="1692">
        <f>SUM(E309,H309)</f>
        <v>0</v>
      </c>
      <c r="L309" s="466">
        <v>0</v>
      </c>
    </row>
    <row r="310" spans="1:14" ht="12.75" customHeight="1" thickBot="1">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c r="A311" s="1641" t="s">
        <v>950</v>
      </c>
      <c r="B311" s="1633" t="s">
        <v>915</v>
      </c>
      <c r="C311" s="624"/>
      <c r="D311" s="624"/>
      <c r="E311" s="624"/>
      <c r="F311" s="624"/>
      <c r="G311" s="624"/>
      <c r="H311" s="624"/>
      <c r="I311" s="624"/>
      <c r="J311" s="617"/>
      <c r="K311" s="624"/>
      <c r="L311" s="576">
        <v>0</v>
      </c>
    </row>
    <row r="312" spans="1:14" s="675" customFormat="1" ht="12.75" customHeight="1" thickTop="1" thickBot="1">
      <c r="A312" s="2308" t="s">
        <v>294</v>
      </c>
      <c r="B312" s="2309"/>
      <c r="C312" s="1691">
        <f>SUM(C303)</f>
        <v>127553</v>
      </c>
      <c r="D312" s="1691">
        <f>SUM(D303)</f>
        <v>6997</v>
      </c>
      <c r="E312" s="1691">
        <f>SUM(E303,E310)</f>
        <v>284117</v>
      </c>
      <c r="F312" s="1691">
        <f>SUM(F303)</f>
        <v>81747</v>
      </c>
      <c r="G312" s="1691">
        <f>SUM(G303)</f>
        <v>107692</v>
      </c>
      <c r="H312" s="1691">
        <f>SUM(H303,H310)</f>
        <v>0</v>
      </c>
      <c r="I312" s="1691">
        <f>SUM(I303)</f>
        <v>0</v>
      </c>
      <c r="J312" s="1691">
        <f>SUM(J303)</f>
        <v>0</v>
      </c>
      <c r="K312" s="1691">
        <f>SUM(K303,K310,K311)</f>
        <v>608106</v>
      </c>
      <c r="L312" s="1691">
        <f>SUM(L303,L310,L311)</f>
        <v>547365</v>
      </c>
      <c r="M312" s="666"/>
      <c r="N312" s="666"/>
    </row>
    <row r="313" spans="1:14" ht="13.5" thickTop="1">
      <c r="A313" s="2304" t="s">
        <v>1052</v>
      </c>
      <c r="B313" s="2305"/>
      <c r="C313" s="627"/>
      <c r="D313" s="627"/>
      <c r="E313" s="627"/>
      <c r="F313" s="627"/>
      <c r="G313" s="627"/>
      <c r="H313" s="627"/>
      <c r="I313" s="627"/>
      <c r="J313" s="627"/>
      <c r="K313" s="1706">
        <f>'Revenues 9-14'!H275-'Expenditures 15-22'!K312</f>
        <v>-602921</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317" t="s">
        <v>151</v>
      </c>
      <c r="B315" s="2318"/>
      <c r="C315" s="1578"/>
      <c r="D315" s="1579"/>
      <c r="E315" s="1579"/>
      <c r="F315" s="1579"/>
      <c r="G315" s="1579"/>
      <c r="H315" s="1579"/>
      <c r="I315" s="1579"/>
      <c r="J315" s="1579"/>
      <c r="K315" s="1579"/>
      <c r="L315" s="158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319" t="s">
        <v>953</v>
      </c>
      <c r="B317" s="2318"/>
      <c r="C317" s="1578"/>
      <c r="D317" s="1579"/>
      <c r="E317" s="1579"/>
      <c r="F317" s="1579"/>
      <c r="G317" s="1579"/>
      <c r="H317" s="1579"/>
      <c r="I317" s="1579"/>
      <c r="J317" s="1579"/>
      <c r="K317" s="1579"/>
      <c r="L317" s="1580"/>
    </row>
    <row r="318" spans="1:14" s="675" customFormat="1" ht="15.75" customHeight="1">
      <c r="A318" s="696" t="s">
        <v>630</v>
      </c>
      <c r="B318" s="697"/>
      <c r="C318" s="639"/>
      <c r="D318" s="639"/>
      <c r="E318" s="639"/>
      <c r="F318" s="639"/>
      <c r="G318" s="639"/>
      <c r="H318" s="639"/>
      <c r="I318" s="639"/>
      <c r="J318" s="639"/>
      <c r="K318" s="639"/>
      <c r="L318" s="639"/>
      <c r="M318" s="666"/>
      <c r="N318" s="666"/>
    </row>
    <row r="319" spans="1:14" s="675" customFormat="1">
      <c r="A319" s="1541" t="s">
        <v>316</v>
      </c>
      <c r="B319" s="698" t="s">
        <v>298</v>
      </c>
      <c r="C319" s="467"/>
      <c r="D319" s="467"/>
      <c r="E319" s="467"/>
      <c r="F319" s="467"/>
      <c r="G319" s="467"/>
      <c r="H319" s="467"/>
      <c r="I319" s="467"/>
      <c r="J319" s="467"/>
      <c r="K319" s="1692">
        <f>SUM(C319:J319)</f>
        <v>0</v>
      </c>
      <c r="L319" s="467">
        <v>0</v>
      </c>
      <c r="M319" s="666"/>
      <c r="N319" s="666"/>
    </row>
    <row r="320" spans="1:14" s="675" customFormat="1">
      <c r="A320" s="1545" t="s">
        <v>1904</v>
      </c>
      <c r="B320" s="699" t="s">
        <v>299</v>
      </c>
      <c r="C320" s="467"/>
      <c r="D320" s="467"/>
      <c r="E320" s="467">
        <v>413895</v>
      </c>
      <c r="F320" s="467"/>
      <c r="G320" s="467"/>
      <c r="H320" s="467"/>
      <c r="I320" s="467"/>
      <c r="J320" s="467"/>
      <c r="K320" s="1692">
        <f t="shared" ref="K320:K327" si="24">SUM(C320:J320)</f>
        <v>413895</v>
      </c>
      <c r="L320" s="467">
        <v>413895</v>
      </c>
      <c r="M320" s="666"/>
      <c r="N320" s="666"/>
    </row>
    <row r="321" spans="1:14" s="675" customFormat="1">
      <c r="A321" s="1541" t="s">
        <v>317</v>
      </c>
      <c r="B321" s="698" t="s">
        <v>300</v>
      </c>
      <c r="C321" s="467"/>
      <c r="D321" s="467"/>
      <c r="E321" s="467">
        <v>11240</v>
      </c>
      <c r="F321" s="467"/>
      <c r="G321" s="467"/>
      <c r="H321" s="467"/>
      <c r="I321" s="467"/>
      <c r="J321" s="467"/>
      <c r="K321" s="1692">
        <f t="shared" si="24"/>
        <v>11240</v>
      </c>
      <c r="L321" s="467">
        <v>45000</v>
      </c>
      <c r="M321" s="666"/>
      <c r="N321" s="666"/>
    </row>
    <row r="322" spans="1:14" s="675" customFormat="1">
      <c r="A322" s="1541" t="s">
        <v>256</v>
      </c>
      <c r="B322" s="698" t="s">
        <v>301</v>
      </c>
      <c r="C322" s="467"/>
      <c r="D322" s="467"/>
      <c r="E322" s="467"/>
      <c r="F322" s="467"/>
      <c r="G322" s="467"/>
      <c r="H322" s="467"/>
      <c r="I322" s="467"/>
      <c r="J322" s="467"/>
      <c r="K322" s="1692">
        <f t="shared" si="24"/>
        <v>0</v>
      </c>
      <c r="L322" s="467">
        <v>45221</v>
      </c>
      <c r="M322" s="666"/>
      <c r="N322" s="666"/>
    </row>
    <row r="323" spans="1:14" s="675" customFormat="1">
      <c r="A323" s="1541" t="s">
        <v>725</v>
      </c>
      <c r="B323" s="698" t="s">
        <v>302</v>
      </c>
      <c r="C323" s="467"/>
      <c r="D323" s="467"/>
      <c r="E323" s="467"/>
      <c r="F323" s="467"/>
      <c r="G323" s="467"/>
      <c r="H323" s="467"/>
      <c r="I323" s="467"/>
      <c r="J323" s="467"/>
      <c r="K323" s="1692">
        <f t="shared" si="24"/>
        <v>0</v>
      </c>
      <c r="L323" s="467">
        <v>0</v>
      </c>
      <c r="M323" s="666"/>
      <c r="N323" s="666"/>
    </row>
    <row r="324" spans="1:14" s="675" customFormat="1">
      <c r="A324" s="1541" t="s">
        <v>257</v>
      </c>
      <c r="B324" s="698" t="s">
        <v>303</v>
      </c>
      <c r="C324" s="467"/>
      <c r="D324" s="467"/>
      <c r="E324" s="467"/>
      <c r="F324" s="467"/>
      <c r="G324" s="467"/>
      <c r="H324" s="467"/>
      <c r="I324" s="467"/>
      <c r="J324" s="467"/>
      <c r="K324" s="1692">
        <f t="shared" si="24"/>
        <v>0</v>
      </c>
      <c r="L324" s="467">
        <v>0</v>
      </c>
      <c r="M324" s="666"/>
      <c r="N324" s="666"/>
    </row>
    <row r="325" spans="1:14" s="675" customFormat="1" ht="22.5">
      <c r="A325" s="1541" t="s">
        <v>1086</v>
      </c>
      <c r="B325" s="699" t="s">
        <v>304</v>
      </c>
      <c r="C325" s="467">
        <v>16015</v>
      </c>
      <c r="D325" s="467"/>
      <c r="E325" s="467">
        <v>253320</v>
      </c>
      <c r="F325" s="467"/>
      <c r="G325" s="467"/>
      <c r="H325" s="467"/>
      <c r="I325" s="467"/>
      <c r="J325" s="467"/>
      <c r="K325" s="1692">
        <f t="shared" si="24"/>
        <v>269335</v>
      </c>
      <c r="L325" s="467">
        <v>190500</v>
      </c>
      <c r="M325" s="666"/>
      <c r="N325" s="666"/>
    </row>
    <row r="326" spans="1:14" s="675" customFormat="1">
      <c r="A326" s="1541" t="s">
        <v>1087</v>
      </c>
      <c r="B326" s="698" t="s">
        <v>305</v>
      </c>
      <c r="C326" s="467"/>
      <c r="D326" s="467"/>
      <c r="E326" s="467"/>
      <c r="F326" s="467"/>
      <c r="G326" s="467"/>
      <c r="H326" s="467"/>
      <c r="I326" s="467"/>
      <c r="J326" s="467"/>
      <c r="K326" s="1692">
        <f t="shared" si="24"/>
        <v>0</v>
      </c>
      <c r="L326" s="467">
        <v>0</v>
      </c>
      <c r="M326" s="666"/>
      <c r="N326" s="666"/>
    </row>
    <row r="327" spans="1:14" s="675" customFormat="1">
      <c r="A327" s="1541" t="s">
        <v>1027</v>
      </c>
      <c r="B327" s="698" t="s">
        <v>306</v>
      </c>
      <c r="C327" s="467"/>
      <c r="D327" s="467"/>
      <c r="E327" s="467">
        <v>4309</v>
      </c>
      <c r="F327" s="467"/>
      <c r="G327" s="467"/>
      <c r="H327" s="467"/>
      <c r="I327" s="467"/>
      <c r="J327" s="467"/>
      <c r="K327" s="1692">
        <f t="shared" si="24"/>
        <v>4309</v>
      </c>
      <c r="L327" s="467">
        <v>100000</v>
      </c>
      <c r="M327" s="666"/>
      <c r="N327" s="666"/>
    </row>
    <row r="328" spans="1:14" s="675" customFormat="1">
      <c r="A328" s="1542" t="s">
        <v>491</v>
      </c>
      <c r="B328" s="691" t="s">
        <v>1193</v>
      </c>
      <c r="C328" s="474"/>
      <c r="D328" s="474"/>
      <c r="E328" s="474">
        <v>181476</v>
      </c>
      <c r="F328" s="474"/>
      <c r="G328" s="474"/>
      <c r="H328" s="474"/>
      <c r="I328" s="474"/>
      <c r="J328" s="474"/>
      <c r="K328" s="1720">
        <f>SUM(C328:J328)</f>
        <v>181476</v>
      </c>
      <c r="L328" s="474">
        <v>244809</v>
      </c>
      <c r="M328" s="666"/>
      <c r="N328" s="666"/>
    </row>
    <row r="329" spans="1:14" s="675" customFormat="1">
      <c r="A329" s="1542" t="s">
        <v>1194</v>
      </c>
      <c r="B329" s="691" t="s">
        <v>1195</v>
      </c>
      <c r="C329" s="474"/>
      <c r="D329" s="474"/>
      <c r="E329" s="474"/>
      <c r="F329" s="474"/>
      <c r="G329" s="474"/>
      <c r="H329" s="474"/>
      <c r="I329" s="474"/>
      <c r="J329" s="474"/>
      <c r="K329" s="1720">
        <f>SUM(C329:J329)</f>
        <v>0</v>
      </c>
      <c r="L329" s="474">
        <v>0</v>
      </c>
      <c r="M329" s="666"/>
      <c r="N329" s="666"/>
    </row>
    <row r="330" spans="1:14" s="675" customFormat="1" ht="12.75" customHeight="1" thickBot="1">
      <c r="A330" s="1721" t="s">
        <v>740</v>
      </c>
      <c r="B330" s="1690" t="s">
        <v>589</v>
      </c>
      <c r="C330" s="1691">
        <f>SUM(C319:C329)</f>
        <v>16015</v>
      </c>
      <c r="D330" s="1691">
        <f t="shared" ref="D330:J330" si="25">SUM(D319:D329)</f>
        <v>0</v>
      </c>
      <c r="E330" s="1691">
        <f t="shared" si="25"/>
        <v>864240</v>
      </c>
      <c r="F330" s="1691">
        <f t="shared" si="25"/>
        <v>0</v>
      </c>
      <c r="G330" s="1691">
        <f t="shared" si="25"/>
        <v>0</v>
      </c>
      <c r="H330" s="1691">
        <f t="shared" si="25"/>
        <v>0</v>
      </c>
      <c r="I330" s="1691">
        <f t="shared" si="25"/>
        <v>0</v>
      </c>
      <c r="J330" s="1691">
        <f t="shared" si="25"/>
        <v>0</v>
      </c>
      <c r="K330" s="1691">
        <f>SUM(K319:K329)</f>
        <v>880255</v>
      </c>
      <c r="L330" s="1691">
        <f>SUM(L319:L329)</f>
        <v>1039425</v>
      </c>
      <c r="M330" s="666"/>
      <c r="N330" s="666"/>
    </row>
    <row r="331" spans="1:14" s="675" customFormat="1" ht="12.75" customHeight="1" thickTop="1">
      <c r="A331" s="1853" t="s">
        <v>1958</v>
      </c>
      <c r="B331" s="648" t="s">
        <v>914</v>
      </c>
      <c r="C331" s="1855"/>
      <c r="D331" s="1855"/>
      <c r="E331" s="1855"/>
      <c r="F331" s="1855"/>
      <c r="G331" s="1855"/>
      <c r="H331" s="1855"/>
      <c r="I331" s="1855"/>
      <c r="J331" s="1855"/>
      <c r="K331" s="1855"/>
      <c r="L331" s="1855"/>
      <c r="M331" s="666"/>
      <c r="N331" s="666"/>
    </row>
    <row r="332" spans="1:14" s="675" customFormat="1" ht="12.75" customHeight="1">
      <c r="A332" s="1854" t="s">
        <v>516</v>
      </c>
      <c r="B332" s="1849" t="s">
        <v>1952</v>
      </c>
      <c r="C332" s="1855"/>
      <c r="D332" s="1855"/>
      <c r="E332" s="1855"/>
      <c r="F332" s="1855"/>
      <c r="G332" s="1855"/>
      <c r="H332" s="467"/>
      <c r="I332" s="1855"/>
      <c r="J332" s="1855"/>
      <c r="K332" s="1692">
        <f>H332</f>
        <v>0</v>
      </c>
      <c r="L332" s="467">
        <v>0</v>
      </c>
      <c r="M332" s="666"/>
      <c r="N332" s="666"/>
    </row>
    <row r="333" spans="1:14" s="675" customFormat="1" ht="12.75" customHeight="1">
      <c r="A333" s="1854" t="s">
        <v>321</v>
      </c>
      <c r="B333" s="1849" t="s">
        <v>1954</v>
      </c>
      <c r="C333" s="1855"/>
      <c r="D333" s="1855"/>
      <c r="E333" s="1855"/>
      <c r="F333" s="1855"/>
      <c r="G333" s="1855"/>
      <c r="H333" s="467"/>
      <c r="I333" s="1855"/>
      <c r="J333" s="1855"/>
      <c r="K333" s="1692">
        <f>H333</f>
        <v>0</v>
      </c>
      <c r="L333" s="467">
        <v>0</v>
      </c>
      <c r="M333" s="666"/>
      <c r="N333" s="666"/>
    </row>
    <row r="334" spans="1:14" s="675" customFormat="1" ht="12.75" customHeight="1" thickBot="1">
      <c r="A334" s="1854" t="s">
        <v>1959</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c r="A335" s="1638" t="s">
        <v>954</v>
      </c>
      <c r="B335" s="1629" t="s">
        <v>512</v>
      </c>
      <c r="C335" s="617"/>
      <c r="D335" s="617"/>
      <c r="E335" s="617"/>
      <c r="F335" s="617"/>
      <c r="G335" s="617"/>
      <c r="H335" s="617"/>
      <c r="I335" s="617"/>
      <c r="J335" s="617"/>
      <c r="K335" s="617"/>
      <c r="L335" s="617"/>
    </row>
    <row r="336" spans="1:14" ht="15.75" customHeight="1">
      <c r="A336" s="654" t="s">
        <v>635</v>
      </c>
      <c r="B336" s="623"/>
      <c r="C336" s="617"/>
      <c r="D336" s="617"/>
      <c r="E336" s="617"/>
      <c r="F336" s="617"/>
      <c r="G336" s="617"/>
      <c r="H336" s="624"/>
      <c r="I336" s="617"/>
      <c r="J336" s="617"/>
      <c r="K336" s="624"/>
      <c r="L336" s="624"/>
    </row>
    <row r="337" spans="1:14">
      <c r="A337" s="1540" t="s">
        <v>89</v>
      </c>
      <c r="B337" s="691" t="s">
        <v>955</v>
      </c>
      <c r="C337" s="639"/>
      <c r="D337" s="639"/>
      <c r="E337" s="639"/>
      <c r="F337" s="639"/>
      <c r="G337" s="639"/>
      <c r="H337" s="478"/>
      <c r="I337" s="639"/>
      <c r="J337" s="639"/>
      <c r="K337" s="1692">
        <f>H337</f>
        <v>0</v>
      </c>
      <c r="L337" s="478">
        <v>0</v>
      </c>
    </row>
    <row r="338" spans="1:14" ht="12.75" customHeight="1">
      <c r="A338" s="1540" t="s">
        <v>1231</v>
      </c>
      <c r="B338" s="691" t="s">
        <v>637</v>
      </c>
      <c r="C338" s="639"/>
      <c r="D338" s="639"/>
      <c r="E338" s="639"/>
      <c r="F338" s="639"/>
      <c r="G338" s="639"/>
      <c r="H338" s="478"/>
      <c r="I338" s="639"/>
      <c r="J338" s="639"/>
      <c r="K338" s="1692">
        <f>H338</f>
        <v>0</v>
      </c>
      <c r="L338" s="478">
        <v>0</v>
      </c>
    </row>
    <row r="339" spans="1:14">
      <c r="A339" s="1526" t="s">
        <v>956</v>
      </c>
      <c r="B339" s="629">
        <v>5150</v>
      </c>
      <c r="C339" s="639"/>
      <c r="D339" s="639"/>
      <c r="E339" s="639"/>
      <c r="F339" s="639"/>
      <c r="G339" s="639"/>
      <c r="H339" s="467"/>
      <c r="I339" s="639"/>
      <c r="J339" s="639"/>
      <c r="K339" s="1692">
        <f>H339</f>
        <v>0</v>
      </c>
      <c r="L339" s="467">
        <v>0</v>
      </c>
    </row>
    <row r="340" spans="1:14" ht="13.5" thickBot="1">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c r="A341" s="1641" t="s">
        <v>958</v>
      </c>
      <c r="B341" s="1633" t="s">
        <v>915</v>
      </c>
      <c r="C341" s="617"/>
      <c r="D341" s="617"/>
      <c r="E341" s="477"/>
      <c r="F341" s="468"/>
      <c r="G341" s="468"/>
      <c r="H341" s="477"/>
      <c r="I341" s="477"/>
      <c r="J341" s="468"/>
      <c r="K341" s="477"/>
      <c r="L341" s="576">
        <v>0</v>
      </c>
    </row>
    <row r="342" spans="1:14" ht="12.75" customHeight="1" thickTop="1" thickBot="1">
      <c r="A342" s="1707" t="s">
        <v>525</v>
      </c>
      <c r="B342" s="1722"/>
      <c r="C342" s="1691">
        <f>SUM(C330)</f>
        <v>16015</v>
      </c>
      <c r="D342" s="1691">
        <f>SUM(D330)</f>
        <v>0</v>
      </c>
      <c r="E342" s="1691">
        <f>SUM(E330)</f>
        <v>864240</v>
      </c>
      <c r="F342" s="1691">
        <f>SUM(F330)</f>
        <v>0</v>
      </c>
      <c r="G342" s="1691">
        <f>SUM(G330)</f>
        <v>0</v>
      </c>
      <c r="H342" s="1691">
        <f>SUM(H330,H334,H340)</f>
        <v>0</v>
      </c>
      <c r="I342" s="1691">
        <f>SUM(I330)</f>
        <v>0</v>
      </c>
      <c r="J342" s="1691">
        <f>SUM(J330)</f>
        <v>0</v>
      </c>
      <c r="K342" s="1691">
        <f>SUM(K330,K334,K340)</f>
        <v>880255</v>
      </c>
      <c r="L342" s="1698">
        <f>SUM(L330,L334,L340,L341)</f>
        <v>1039425</v>
      </c>
    </row>
    <row r="343" spans="1:14" ht="12.75" customHeight="1" thickTop="1">
      <c r="A343" s="2306" t="s">
        <v>1052</v>
      </c>
      <c r="B343" s="2307"/>
      <c r="C343" s="617"/>
      <c r="D343" s="617"/>
      <c r="E343" s="617"/>
      <c r="F343" s="617"/>
      <c r="G343" s="617"/>
      <c r="H343" s="617"/>
      <c r="I343" s="617"/>
      <c r="J343" s="617"/>
      <c r="K343" s="1705">
        <f>'Revenues 9-14'!J275-'Expenditures 15-22'!K342</f>
        <v>432415</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96" t="s">
        <v>1022</v>
      </c>
      <c r="B345" s="2297"/>
      <c r="C345" s="1573"/>
      <c r="D345" s="1574"/>
      <c r="E345" s="1574"/>
      <c r="F345" s="1574"/>
      <c r="G345" s="1574"/>
      <c r="H345" s="1574"/>
      <c r="I345" s="1574"/>
      <c r="J345" s="1574"/>
      <c r="K345" s="1574"/>
      <c r="L345" s="1575"/>
      <c r="M345" s="668"/>
      <c r="N345" s="668"/>
    </row>
    <row r="346" spans="1:14" s="343" customFormat="1" ht="15.75" customHeight="1">
      <c r="A346" s="1645" t="s">
        <v>898</v>
      </c>
      <c r="B346" s="1637" t="s">
        <v>589</v>
      </c>
      <c r="C346" s="617"/>
      <c r="D346" s="617"/>
      <c r="E346" s="617"/>
      <c r="F346" s="617"/>
      <c r="G346" s="617"/>
      <c r="H346" s="617"/>
      <c r="I346" s="617"/>
      <c r="J346" s="617"/>
      <c r="K346" s="617"/>
      <c r="L346" s="617"/>
      <c r="M346" s="610"/>
      <c r="N346" s="610"/>
    </row>
    <row r="347" spans="1:14" ht="15.75" customHeight="1">
      <c r="A347" s="700" t="s">
        <v>632</v>
      </c>
      <c r="B347" s="701"/>
      <c r="C347" s="624"/>
      <c r="D347" s="624"/>
      <c r="E347" s="624"/>
      <c r="F347" s="624"/>
      <c r="G347" s="624"/>
      <c r="H347" s="624"/>
      <c r="I347" s="617"/>
      <c r="J347" s="617"/>
      <c r="K347" s="624"/>
      <c r="L347" s="624"/>
    </row>
    <row r="348" spans="1:14">
      <c r="A348" s="1526" t="s">
        <v>4</v>
      </c>
      <c r="B348" s="615">
        <v>2530</v>
      </c>
      <c r="C348" s="466"/>
      <c r="D348" s="466"/>
      <c r="E348" s="466"/>
      <c r="F348" s="466"/>
      <c r="G348" s="466"/>
      <c r="H348" s="466"/>
      <c r="I348" s="467"/>
      <c r="J348" s="467"/>
      <c r="K348" s="1692">
        <f>SUM(C348:J348)</f>
        <v>0</v>
      </c>
      <c r="L348" s="466">
        <v>0</v>
      </c>
    </row>
    <row r="349" spans="1:14">
      <c r="A349" s="1526" t="s">
        <v>206</v>
      </c>
      <c r="B349" s="615">
        <v>2540</v>
      </c>
      <c r="C349" s="466"/>
      <c r="D349" s="466"/>
      <c r="E349" s="466"/>
      <c r="F349" s="466"/>
      <c r="G349" s="466">
        <v>64000</v>
      </c>
      <c r="H349" s="466"/>
      <c r="I349" s="467"/>
      <c r="J349" s="467"/>
      <c r="K349" s="1692">
        <f>SUM(C349:J349)</f>
        <v>64000</v>
      </c>
      <c r="L349" s="466">
        <v>60000</v>
      </c>
    </row>
    <row r="350" spans="1:14" ht="12.75" customHeight="1" thickBot="1">
      <c r="A350" s="1689" t="s">
        <v>742</v>
      </c>
      <c r="B350" s="1690" t="s">
        <v>35</v>
      </c>
      <c r="C350" s="1691">
        <f>SUM(C348:C349)</f>
        <v>0</v>
      </c>
      <c r="D350" s="1691">
        <f t="shared" ref="D350:L350" si="26">SUM(D348:D349)</f>
        <v>0</v>
      </c>
      <c r="E350" s="1691">
        <f t="shared" si="26"/>
        <v>0</v>
      </c>
      <c r="F350" s="1691">
        <f t="shared" si="26"/>
        <v>0</v>
      </c>
      <c r="G350" s="1691">
        <f t="shared" si="26"/>
        <v>64000</v>
      </c>
      <c r="H350" s="1691">
        <f t="shared" si="26"/>
        <v>0</v>
      </c>
      <c r="I350" s="1691">
        <f t="shared" si="26"/>
        <v>0</v>
      </c>
      <c r="J350" s="1691">
        <f t="shared" si="26"/>
        <v>0</v>
      </c>
      <c r="K350" s="1691">
        <f t="shared" si="26"/>
        <v>64000</v>
      </c>
      <c r="L350" s="1691">
        <f t="shared" si="26"/>
        <v>60000</v>
      </c>
    </row>
    <row r="351" spans="1:14" ht="12.75" customHeight="1" thickTop="1">
      <c r="A351" s="1532" t="s">
        <v>1036</v>
      </c>
      <c r="B351" s="644" t="s">
        <v>594</v>
      </c>
      <c r="C351" s="481"/>
      <c r="D351" s="481"/>
      <c r="E351" s="481"/>
      <c r="F351" s="481"/>
      <c r="G351" s="481"/>
      <c r="H351" s="481"/>
      <c r="I351" s="478"/>
      <c r="J351" s="478"/>
      <c r="K351" s="616">
        <f>SUM(C351:J351)</f>
        <v>0</v>
      </c>
      <c r="L351" s="481">
        <v>0</v>
      </c>
    </row>
    <row r="352" spans="1:14" ht="12.75" customHeight="1" thickBot="1">
      <c r="A352" s="1689" t="s">
        <v>644</v>
      </c>
      <c r="B352" s="1696" t="s">
        <v>589</v>
      </c>
      <c r="C352" s="1691">
        <f>SUM(C350:C351)</f>
        <v>0</v>
      </c>
      <c r="D352" s="1691">
        <f t="shared" ref="D352:L352" si="27">SUM(D350:D351)</f>
        <v>0</v>
      </c>
      <c r="E352" s="1691">
        <f t="shared" si="27"/>
        <v>0</v>
      </c>
      <c r="F352" s="1691">
        <f t="shared" si="27"/>
        <v>0</v>
      </c>
      <c r="G352" s="1691">
        <f t="shared" si="27"/>
        <v>64000</v>
      </c>
      <c r="H352" s="1691">
        <f t="shared" si="27"/>
        <v>0</v>
      </c>
      <c r="I352" s="1691">
        <f t="shared" si="27"/>
        <v>0</v>
      </c>
      <c r="J352" s="1691">
        <f t="shared" si="27"/>
        <v>0</v>
      </c>
      <c r="K352" s="1691">
        <f t="shared" si="27"/>
        <v>64000</v>
      </c>
      <c r="L352" s="1691">
        <f t="shared" si="27"/>
        <v>60000</v>
      </c>
    </row>
    <row r="353" spans="1:14" s="343" customFormat="1" ht="15.75" customHeight="1" thickTop="1">
      <c r="A353" s="1634" t="s">
        <v>645</v>
      </c>
      <c r="B353" s="1631" t="s">
        <v>914</v>
      </c>
      <c r="C353" s="617"/>
      <c r="D353" s="617"/>
      <c r="E353" s="617"/>
      <c r="F353" s="617"/>
      <c r="G353" s="617"/>
      <c r="H353" s="617"/>
      <c r="I353" s="617"/>
      <c r="J353" s="617"/>
      <c r="K353" s="617"/>
      <c r="L353" s="617"/>
      <c r="M353" s="610"/>
      <c r="N353" s="610"/>
    </row>
    <row r="354" spans="1:14">
      <c r="A354" s="1856" t="s">
        <v>1960</v>
      </c>
      <c r="B354" s="684" t="s">
        <v>1952</v>
      </c>
      <c r="C354" s="617"/>
      <c r="D354" s="617"/>
      <c r="E354" s="617"/>
      <c r="F354" s="617"/>
      <c r="G354" s="617"/>
      <c r="H354" s="474"/>
      <c r="I354" s="702"/>
      <c r="J354" s="617"/>
      <c r="K354" s="1720">
        <f>H354</f>
        <v>0</v>
      </c>
      <c r="L354" s="471">
        <v>0</v>
      </c>
    </row>
    <row r="355" spans="1:14" ht="12.75" customHeight="1">
      <c r="A355" s="1535" t="s">
        <v>1961</v>
      </c>
      <c r="B355" s="691" t="s">
        <v>1954</v>
      </c>
      <c r="C355" s="617"/>
      <c r="D355" s="617"/>
      <c r="E355" s="617"/>
      <c r="F355" s="617"/>
      <c r="G355" s="617"/>
      <c r="H355" s="467"/>
      <c r="I355" s="702"/>
      <c r="J355" s="617"/>
      <c r="K355" s="1764">
        <f>H355</f>
        <v>0</v>
      </c>
      <c r="L355" s="467">
        <v>0</v>
      </c>
    </row>
    <row r="356" spans="1:14" ht="12.75" customHeight="1">
      <c r="A356" s="1856" t="s">
        <v>721</v>
      </c>
      <c r="B356" s="684" t="s">
        <v>578</v>
      </c>
      <c r="C356" s="617"/>
      <c r="D356" s="617"/>
      <c r="E356" s="617"/>
      <c r="F356" s="617"/>
      <c r="G356" s="617"/>
      <c r="H356" s="479"/>
      <c r="I356" s="702"/>
      <c r="J356" s="617"/>
      <c r="K356" s="1761">
        <f>H356</f>
        <v>0</v>
      </c>
      <c r="L356" s="479">
        <v>0</v>
      </c>
    </row>
    <row r="357" spans="1:14" ht="12.75" customHeight="1" thickBot="1">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c r="A358" s="1634" t="s">
        <v>1004</v>
      </c>
      <c r="B358" s="1631" t="s">
        <v>512</v>
      </c>
      <c r="C358" s="617"/>
      <c r="D358" s="617"/>
      <c r="E358" s="617"/>
      <c r="F358" s="617"/>
      <c r="G358" s="617"/>
      <c r="H358" s="617"/>
      <c r="I358" s="617"/>
      <c r="J358" s="617"/>
      <c r="K358" s="617"/>
      <c r="L358" s="617"/>
      <c r="M358" s="610"/>
      <c r="N358" s="610"/>
    </row>
    <row r="359" spans="1:14" s="343" customFormat="1" ht="15.75" customHeight="1">
      <c r="A359" s="654" t="s">
        <v>647</v>
      </c>
      <c r="B359" s="623"/>
      <c r="C359" s="617"/>
      <c r="D359" s="617"/>
      <c r="E359" s="617"/>
      <c r="F359" s="617"/>
      <c r="G359" s="617"/>
      <c r="H359" s="617"/>
      <c r="I359" s="617"/>
      <c r="J359" s="617"/>
      <c r="K359" s="624"/>
      <c r="L359" s="624"/>
      <c r="M359" s="610"/>
      <c r="N359" s="610"/>
    </row>
    <row r="360" spans="1:14">
      <c r="A360" s="1526" t="s">
        <v>89</v>
      </c>
      <c r="B360" s="615">
        <v>5110</v>
      </c>
      <c r="C360" s="617"/>
      <c r="D360" s="617"/>
      <c r="E360" s="617"/>
      <c r="F360" s="617"/>
      <c r="G360" s="617"/>
      <c r="H360" s="467"/>
      <c r="I360" s="617"/>
      <c r="J360" s="617"/>
      <c r="K360" s="1692">
        <f>SUM(C360:J360)</f>
        <v>0</v>
      </c>
      <c r="L360" s="466">
        <v>0</v>
      </c>
    </row>
    <row r="361" spans="1:14" ht="12.75" customHeight="1">
      <c r="A361" s="1527" t="s">
        <v>639</v>
      </c>
      <c r="B361" s="603" t="s">
        <v>638</v>
      </c>
      <c r="C361" s="617"/>
      <c r="D361" s="617"/>
      <c r="E361" s="617"/>
      <c r="F361" s="617"/>
      <c r="G361" s="617"/>
      <c r="H361" s="467"/>
      <c r="I361" s="617"/>
      <c r="J361" s="617"/>
      <c r="K361" s="1692">
        <f>SUM(C361:J361)</f>
        <v>0</v>
      </c>
      <c r="L361" s="466">
        <v>0</v>
      </c>
    </row>
    <row r="362" spans="1:14" ht="12.75" customHeight="1" thickBot="1">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c r="A363" s="661" t="s">
        <v>85</v>
      </c>
      <c r="B363" s="662" t="s">
        <v>38</v>
      </c>
      <c r="C363" s="639"/>
      <c r="D363" s="639"/>
      <c r="E363" s="639"/>
      <c r="F363" s="639"/>
      <c r="G363" s="639"/>
      <c r="H363" s="479"/>
      <c r="I363" s="639"/>
      <c r="J363" s="639"/>
      <c r="K363" s="1720">
        <f>SUM(C363:J363)</f>
        <v>0</v>
      </c>
      <c r="L363" s="479">
        <v>0</v>
      </c>
      <c r="M363" s="666"/>
      <c r="N363" s="666"/>
    </row>
    <row r="364" spans="1:14" s="709" customFormat="1" ht="29.25" customHeight="1">
      <c r="A364" s="703" t="s">
        <v>1770</v>
      </c>
      <c r="B364" s="704">
        <v>5300</v>
      </c>
      <c r="C364" s="705"/>
      <c r="D364" s="706"/>
      <c r="E364" s="706"/>
      <c r="F364" s="705"/>
      <c r="G364" s="706"/>
      <c r="H364" s="707"/>
      <c r="I364" s="706"/>
      <c r="J364" s="706"/>
      <c r="K364" s="1692">
        <f>SUM(C364:J364)</f>
        <v>0</v>
      </c>
      <c r="L364" s="708">
        <v>0</v>
      </c>
    </row>
    <row r="365" spans="1:14" s="675" customFormat="1" ht="12.75" customHeight="1" thickBot="1">
      <c r="A365" s="1543"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c r="A366" s="1628" t="s">
        <v>1005</v>
      </c>
      <c r="B366" s="1635" t="s">
        <v>915</v>
      </c>
      <c r="C366" s="624"/>
      <c r="D366" s="624"/>
      <c r="E366" s="624"/>
      <c r="F366" s="624"/>
      <c r="G366" s="624"/>
      <c r="H366" s="624"/>
      <c r="I366" s="624"/>
      <c r="J366" s="617"/>
      <c r="K366" s="624"/>
      <c r="L366" s="573">
        <v>0</v>
      </c>
      <c r="M366" s="610"/>
      <c r="N366" s="610"/>
    </row>
    <row r="367" spans="1:14" ht="12.75" customHeight="1" thickTop="1" thickBot="1">
      <c r="A367" s="1713" t="s">
        <v>525</v>
      </c>
      <c r="B367" s="1725"/>
      <c r="C367" s="1691">
        <f t="shared" ref="C367:L367" si="28">SUM(C352,C357,C365,C366)</f>
        <v>0</v>
      </c>
      <c r="D367" s="1691">
        <f t="shared" si="28"/>
        <v>0</v>
      </c>
      <c r="E367" s="1691">
        <f t="shared" si="28"/>
        <v>0</v>
      </c>
      <c r="F367" s="1691">
        <f t="shared" si="28"/>
        <v>0</v>
      </c>
      <c r="G367" s="1691">
        <f t="shared" si="28"/>
        <v>64000</v>
      </c>
      <c r="H367" s="1691">
        <f t="shared" si="28"/>
        <v>0</v>
      </c>
      <c r="I367" s="1691">
        <f t="shared" si="28"/>
        <v>0</v>
      </c>
      <c r="J367" s="1691">
        <f t="shared" si="28"/>
        <v>0</v>
      </c>
      <c r="K367" s="1691">
        <f t="shared" si="28"/>
        <v>64000</v>
      </c>
      <c r="L367" s="1691">
        <f t="shared" si="28"/>
        <v>60000</v>
      </c>
    </row>
    <row r="368" spans="1:14" ht="13.5" thickTop="1">
      <c r="A368" s="2293" t="s">
        <v>1052</v>
      </c>
      <c r="B368" s="2294"/>
      <c r="C368" s="655"/>
      <c r="D368" s="655"/>
      <c r="E368" s="627"/>
      <c r="F368" s="627"/>
      <c r="G368" s="627"/>
      <c r="H368" s="627"/>
      <c r="I368" s="627"/>
      <c r="J368" s="624"/>
      <c r="K368" s="1692">
        <f>'Revenues 9-14'!K275-'Expenditures 15-22'!K367</f>
        <v>52467</v>
      </c>
      <c r="L368" s="655"/>
    </row>
  </sheetData>
  <sheetProtection algorithmName="SHA-512" hashValue="rmqUtPKyfrEM2OT/DAnQzHsnqRjG7U61BUuQsArCQNL5T8WjWmnkpTFp5VcscE7zMqZE2GmXqLoiJOE9p4LOgA==" saltValue="HDp4VHD9n+MlTwj8udeCE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30" sqref="D30"/>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6" t="s">
        <v>106</v>
      </c>
    </row>
    <row r="2" spans="1:6" ht="39.75" customHeight="1">
      <c r="A2" s="2320" t="s">
        <v>1901</v>
      </c>
      <c r="B2" s="1550" t="s">
        <v>2031</v>
      </c>
      <c r="C2" s="715" t="s">
        <v>1906</v>
      </c>
      <c r="D2" s="715" t="s">
        <v>1907</v>
      </c>
      <c r="E2" s="715" t="s">
        <v>1908</v>
      </c>
      <c r="F2" s="715" t="s">
        <v>1909</v>
      </c>
    </row>
    <row r="3" spans="1:6" ht="12" customHeight="1">
      <c r="A3" s="2321"/>
      <c r="B3" s="1547"/>
      <c r="C3" s="1548"/>
      <c r="D3" s="1549" t="s">
        <v>274</v>
      </c>
      <c r="E3" s="1548"/>
      <c r="F3" s="1549" t="s">
        <v>275</v>
      </c>
    </row>
    <row r="4" spans="1:6" ht="13.7" customHeight="1">
      <c r="A4" s="716" t="s">
        <v>1216</v>
      </c>
      <c r="B4" s="1770">
        <f>'Revenues 9-14'!C5</f>
        <v>90570660</v>
      </c>
      <c r="C4" s="1546">
        <v>45637730</v>
      </c>
      <c r="D4" s="1773">
        <f>B4-C4</f>
        <v>44932930</v>
      </c>
      <c r="E4" s="1546">
        <v>89000306</v>
      </c>
      <c r="F4" s="1773">
        <f>E4-C4</f>
        <v>43362576</v>
      </c>
    </row>
    <row r="5" spans="1:6" ht="13.7" customHeight="1">
      <c r="A5" s="716" t="s">
        <v>924</v>
      </c>
      <c r="B5" s="1771">
        <f>'Revenues 9-14'!D5</f>
        <v>8022304</v>
      </c>
      <c r="C5" s="585">
        <v>2728342</v>
      </c>
      <c r="D5" s="1774">
        <f t="shared" ref="D5:D18" si="0">B5-C5</f>
        <v>5293962</v>
      </c>
      <c r="E5" s="585">
        <v>5320669</v>
      </c>
      <c r="F5" s="1774">
        <f>E5-C5</f>
        <v>2592327</v>
      </c>
    </row>
    <row r="6" spans="1:6" ht="13.7" customHeight="1">
      <c r="A6" s="716" t="s">
        <v>430</v>
      </c>
      <c r="B6" s="1771">
        <f>'Revenues 9-14'!E5</f>
        <v>6069400</v>
      </c>
      <c r="C6" s="585">
        <v>3092509</v>
      </c>
      <c r="D6" s="1774">
        <f t="shared" si="0"/>
        <v>2976891</v>
      </c>
      <c r="E6" s="585">
        <v>6030849</v>
      </c>
      <c r="F6" s="1774">
        <f t="shared" ref="F6:F18" si="1">E6-C6</f>
        <v>2938340</v>
      </c>
    </row>
    <row r="7" spans="1:6" ht="13.7" customHeight="1">
      <c r="A7" s="716" t="s">
        <v>157</v>
      </c>
      <c r="B7" s="1771">
        <f>'Revenues 9-14'!F5</f>
        <v>3097254</v>
      </c>
      <c r="C7" s="585">
        <v>2264048</v>
      </c>
      <c r="D7" s="1774">
        <f t="shared" si="0"/>
        <v>833206</v>
      </c>
      <c r="E7" s="585">
        <v>4415228</v>
      </c>
      <c r="F7" s="1774">
        <f t="shared" si="1"/>
        <v>2151180</v>
      </c>
    </row>
    <row r="8" spans="1:6" ht="13.7" customHeight="1">
      <c r="A8" s="716" t="s">
        <v>1240</v>
      </c>
      <c r="B8" s="1771">
        <f>'Revenues 9-14'!G5</f>
        <v>957981</v>
      </c>
      <c r="C8" s="585">
        <v>1281954</v>
      </c>
      <c r="D8" s="1774">
        <f t="shared" si="0"/>
        <v>-323973</v>
      </c>
      <c r="E8" s="585">
        <v>2500000</v>
      </c>
      <c r="F8" s="1774">
        <f t="shared" si="1"/>
        <v>1218046</v>
      </c>
    </row>
    <row r="9" spans="1:6" ht="13.7" customHeight="1">
      <c r="A9" s="716" t="s">
        <v>427</v>
      </c>
      <c r="B9" s="1771">
        <f>'Revenues 9-14'!H5</f>
        <v>0</v>
      </c>
      <c r="C9" s="585"/>
      <c r="D9" s="1774">
        <f t="shared" si="0"/>
        <v>0</v>
      </c>
      <c r="E9" s="585"/>
      <c r="F9" s="1774">
        <f t="shared" si="1"/>
        <v>0</v>
      </c>
    </row>
    <row r="10" spans="1:6" ht="13.7" customHeight="1">
      <c r="A10" s="716" t="s">
        <v>426</v>
      </c>
      <c r="B10" s="1771">
        <f>'Revenues 9-14'!I5</f>
        <v>0</v>
      </c>
      <c r="C10" s="585"/>
      <c r="D10" s="1774">
        <f t="shared" si="0"/>
        <v>0</v>
      </c>
      <c r="E10" s="585"/>
      <c r="F10" s="1774">
        <f t="shared" si="1"/>
        <v>0</v>
      </c>
    </row>
    <row r="11" spans="1:6">
      <c r="A11" s="716" t="s">
        <v>428</v>
      </c>
      <c r="B11" s="1771">
        <f>'Revenues 9-14'!J5</f>
        <v>1060659</v>
      </c>
      <c r="C11" s="585">
        <v>5128</v>
      </c>
      <c r="D11" s="1774">
        <f t="shared" si="0"/>
        <v>1055531</v>
      </c>
      <c r="E11" s="585">
        <v>10000</v>
      </c>
      <c r="F11" s="1774">
        <f t="shared" si="1"/>
        <v>4872</v>
      </c>
    </row>
    <row r="12" spans="1:6" ht="13.7" customHeight="1">
      <c r="A12" s="716" t="s">
        <v>159</v>
      </c>
      <c r="B12" s="1771">
        <f>'Revenues 9-14'!K5</f>
        <v>109842</v>
      </c>
      <c r="C12" s="585">
        <v>51278</v>
      </c>
      <c r="D12" s="1774">
        <f t="shared" si="0"/>
        <v>58564</v>
      </c>
      <c r="E12" s="585">
        <v>100000</v>
      </c>
      <c r="F12" s="1774">
        <f t="shared" si="1"/>
        <v>48722</v>
      </c>
    </row>
    <row r="13" spans="1:6" ht="13.7" customHeight="1">
      <c r="A13" s="716" t="s">
        <v>992</v>
      </c>
      <c r="B13" s="1771">
        <f>SUM('Revenues 9-14'!C6:D6)</f>
        <v>0</v>
      </c>
      <c r="C13" s="585"/>
      <c r="D13" s="1774">
        <f t="shared" si="0"/>
        <v>0</v>
      </c>
      <c r="E13" s="585"/>
      <c r="F13" s="1774">
        <f t="shared" si="1"/>
        <v>0</v>
      </c>
    </row>
    <row r="14" spans="1:6" ht="13.7" customHeight="1">
      <c r="A14" s="716" t="s">
        <v>429</v>
      </c>
      <c r="B14" s="1771">
        <f>SUM('Revenues 9-14'!C7:D7,'Revenues 9-14'!F7:H7)</f>
        <v>2962007</v>
      </c>
      <c r="C14" s="585">
        <v>1509365</v>
      </c>
      <c r="D14" s="1774">
        <f t="shared" si="0"/>
        <v>1452642</v>
      </c>
      <c r="E14" s="585">
        <v>2943485</v>
      </c>
      <c r="F14" s="1774">
        <f t="shared" si="1"/>
        <v>1434120</v>
      </c>
    </row>
    <row r="15" spans="1:6" ht="13.7" customHeight="1">
      <c r="A15" s="716" t="s">
        <v>1219</v>
      </c>
      <c r="B15" s="1771">
        <f>'Revenues 9-14'!E9</f>
        <v>0</v>
      </c>
      <c r="C15" s="585"/>
      <c r="D15" s="1774">
        <f t="shared" si="0"/>
        <v>0</v>
      </c>
      <c r="E15" s="585"/>
      <c r="F15" s="1774">
        <f t="shared" si="1"/>
        <v>0</v>
      </c>
    </row>
    <row r="16" spans="1:6" ht="13.7" customHeight="1">
      <c r="A16" s="716" t="s">
        <v>1220</v>
      </c>
      <c r="B16" s="1771">
        <f>'Revenues 9-14'!G8</f>
        <v>1918482</v>
      </c>
      <c r="C16" s="585">
        <v>542365</v>
      </c>
      <c r="D16" s="1774">
        <f t="shared" si="0"/>
        <v>1376117</v>
      </c>
      <c r="E16" s="585">
        <v>1057692</v>
      </c>
      <c r="F16" s="1774">
        <f t="shared" si="1"/>
        <v>515327</v>
      </c>
    </row>
    <row r="17" spans="1:6" ht="13.7" customHeight="1">
      <c r="A17" s="716" t="s">
        <v>1221</v>
      </c>
      <c r="B17" s="1771">
        <f>'Revenues 9-14'!C10</f>
        <v>0</v>
      </c>
      <c r="C17" s="585"/>
      <c r="D17" s="1774">
        <f t="shared" si="0"/>
        <v>0</v>
      </c>
      <c r="E17" s="585"/>
      <c r="F17" s="1774">
        <f t="shared" si="1"/>
        <v>0</v>
      </c>
    </row>
    <row r="18" spans="1:6" ht="13.7" customHeight="1">
      <c r="A18" s="716" t="s">
        <v>785</v>
      </c>
      <c r="B18" s="1771">
        <f>SUM('Revenues 9-14'!C11:K11)</f>
        <v>0</v>
      </c>
      <c r="C18" s="585"/>
      <c r="D18" s="1774">
        <f t="shared" si="0"/>
        <v>0</v>
      </c>
      <c r="E18" s="585"/>
      <c r="F18" s="1774">
        <f t="shared" si="1"/>
        <v>0</v>
      </c>
    </row>
    <row r="19" spans="1:6" ht="13.7" customHeight="1" thickBot="1">
      <c r="A19" s="1775" t="s">
        <v>1222</v>
      </c>
      <c r="B19" s="1772">
        <f>SUM(B4:B18)</f>
        <v>114768589</v>
      </c>
      <c r="C19" s="1772">
        <f>SUM(C4:C18)</f>
        <v>57112719</v>
      </c>
      <c r="D19" s="1772">
        <f>SUM(D4:D18)</f>
        <v>57655870</v>
      </c>
      <c r="E19" s="1772">
        <f>SUM(E4:E18)</f>
        <v>111378229</v>
      </c>
      <c r="F19" s="1772">
        <f>SUM(F4:F18)</f>
        <v>54265510</v>
      </c>
    </row>
    <row r="20" spans="1:6" ht="13.5" thickTop="1">
      <c r="B20" s="714"/>
      <c r="F20" s="717"/>
    </row>
    <row r="21" spans="1:6">
      <c r="A21" s="718" t="s">
        <v>1911</v>
      </c>
      <c r="B21" s="719"/>
      <c r="F21" s="717"/>
    </row>
    <row r="22" spans="1:6">
      <c r="A22" s="720" t="s">
        <v>648</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D30" sqref="D30"/>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342" t="s">
        <v>649</v>
      </c>
      <c r="B1" s="2340"/>
      <c r="C1" s="722"/>
    </row>
    <row r="2" spans="1:7" ht="33.75">
      <c r="A2" s="2347" t="s">
        <v>1901</v>
      </c>
      <c r="B2" s="2348"/>
      <c r="C2" s="1907" t="s">
        <v>2032</v>
      </c>
      <c r="D2" s="724" t="s">
        <v>2039</v>
      </c>
      <c r="E2" s="724" t="s">
        <v>2040</v>
      </c>
      <c r="F2" s="1907" t="s">
        <v>2033</v>
      </c>
    </row>
    <row r="3" spans="1:7" ht="15.75" customHeight="1">
      <c r="A3" s="2349" t="s">
        <v>1175</v>
      </c>
      <c r="B3" s="2350"/>
      <c r="C3" s="2343"/>
      <c r="D3" s="2344"/>
      <c r="E3" s="2344"/>
      <c r="F3" s="2345"/>
    </row>
    <row r="4" spans="1:7" ht="12.75" customHeight="1" thickBot="1">
      <c r="A4" s="2337" t="s">
        <v>650</v>
      </c>
      <c r="B4" s="2338"/>
      <c r="C4" s="581"/>
      <c r="D4" s="581"/>
      <c r="E4" s="581"/>
      <c r="F4" s="1776">
        <f>SUM(C4+D4)-E4</f>
        <v>0</v>
      </c>
    </row>
    <row r="5" spans="1:7" ht="15.75" customHeight="1" thickTop="1">
      <c r="A5" s="2341" t="s">
        <v>1171</v>
      </c>
      <c r="B5" s="2336"/>
      <c r="C5" s="2330"/>
      <c r="D5" s="2331"/>
      <c r="E5" s="2331"/>
      <c r="F5" s="2332"/>
    </row>
    <row r="6" spans="1:7" ht="12.75" customHeight="1" thickBot="1">
      <c r="A6" s="725" t="s">
        <v>66</v>
      </c>
      <c r="B6" s="726"/>
      <c r="C6" s="727"/>
      <c r="D6" s="585"/>
      <c r="E6" s="727"/>
      <c r="F6" s="1776">
        <f t="shared" ref="F6:F14" si="0">SUM(C6+D6)-E6</f>
        <v>0</v>
      </c>
    </row>
    <row r="7" spans="1:7" ht="12.75" customHeight="1" thickTop="1" thickBot="1">
      <c r="A7" s="725" t="s">
        <v>6</v>
      </c>
      <c r="B7" s="726"/>
      <c r="C7" s="727"/>
      <c r="D7" s="585"/>
      <c r="E7" s="727"/>
      <c r="F7" s="1776">
        <f t="shared" si="0"/>
        <v>0</v>
      </c>
    </row>
    <row r="8" spans="1:7" ht="12.75" customHeight="1" thickTop="1" thickBot="1">
      <c r="A8" s="725" t="s">
        <v>528</v>
      </c>
      <c r="B8" s="726"/>
      <c r="C8" s="727"/>
      <c r="D8" s="585"/>
      <c r="E8" s="727"/>
      <c r="F8" s="1776">
        <f t="shared" si="0"/>
        <v>0</v>
      </c>
    </row>
    <row r="9" spans="1:7" ht="12.75" customHeight="1" thickTop="1" thickBot="1">
      <c r="A9" s="725" t="s">
        <v>529</v>
      </c>
      <c r="B9" s="726"/>
      <c r="C9" s="727"/>
      <c r="D9" s="585"/>
      <c r="E9" s="727"/>
      <c r="F9" s="1776">
        <f t="shared" si="0"/>
        <v>0</v>
      </c>
    </row>
    <row r="10" spans="1:7" ht="12.75" customHeight="1" thickTop="1" thickBot="1">
      <c r="A10" s="725" t="s">
        <v>530</v>
      </c>
      <c r="B10" s="726"/>
      <c r="C10" s="727"/>
      <c r="D10" s="585"/>
      <c r="E10" s="727"/>
      <c r="F10" s="1776">
        <f t="shared" si="0"/>
        <v>0</v>
      </c>
    </row>
    <row r="11" spans="1:7" ht="12.75" customHeight="1" thickTop="1" thickBot="1">
      <c r="A11" s="725" t="s">
        <v>358</v>
      </c>
      <c r="B11" s="726"/>
      <c r="C11" s="727"/>
      <c r="D11" s="585"/>
      <c r="E11" s="727"/>
      <c r="F11" s="1776">
        <f t="shared" si="0"/>
        <v>0</v>
      </c>
    </row>
    <row r="12" spans="1:7" ht="12.75" customHeight="1" thickTop="1" thickBot="1">
      <c r="A12" s="725" t="s">
        <v>1218</v>
      </c>
      <c r="B12" s="726"/>
      <c r="C12" s="727"/>
      <c r="D12" s="585"/>
      <c r="E12" s="727"/>
      <c r="F12" s="1776">
        <f t="shared" si="0"/>
        <v>0</v>
      </c>
    </row>
    <row r="13" spans="1:7" ht="12.75" customHeight="1" thickTop="1" thickBot="1">
      <c r="A13" s="725" t="s">
        <v>405</v>
      </c>
      <c r="B13" s="726"/>
      <c r="C13" s="727"/>
      <c r="D13" s="585"/>
      <c r="E13" s="727"/>
      <c r="F13" s="1776">
        <f t="shared" si="0"/>
        <v>0</v>
      </c>
    </row>
    <row r="14" spans="1:7" ht="12.75" customHeight="1" thickTop="1" thickBot="1">
      <c r="A14" s="725" t="s">
        <v>467</v>
      </c>
      <c r="B14" s="726"/>
      <c r="C14" s="727"/>
      <c r="D14" s="585"/>
      <c r="E14" s="727"/>
      <c r="F14" s="1776">
        <f t="shared" si="0"/>
        <v>0</v>
      </c>
    </row>
    <row r="15" spans="1:7" ht="14.25" thickTop="1" thickBot="1">
      <c r="A15" s="2333" t="s">
        <v>651</v>
      </c>
      <c r="B15" s="2334"/>
      <c r="C15" s="1776">
        <f>SUM(C6:C14)</f>
        <v>0</v>
      </c>
      <c r="D15" s="1776">
        <f>SUM(D6:D14)</f>
        <v>0</v>
      </c>
      <c r="E15" s="1776">
        <f>SUM(E6:E14)</f>
        <v>0</v>
      </c>
      <c r="F15" s="1776">
        <f>SUM(F6:F14)</f>
        <v>0</v>
      </c>
      <c r="G15" s="552"/>
    </row>
    <row r="16" spans="1:7" s="202" customFormat="1" ht="15.75" customHeight="1" thickTop="1">
      <c r="A16" s="2346" t="s">
        <v>1172</v>
      </c>
      <c r="B16" s="2336"/>
      <c r="C16" s="2330"/>
      <c r="D16" s="2331"/>
      <c r="E16" s="2331"/>
      <c r="F16" s="2332"/>
    </row>
    <row r="17" spans="1:11" ht="12.75" customHeight="1" thickBot="1">
      <c r="A17" s="2328" t="s">
        <v>66</v>
      </c>
      <c r="B17" s="2329"/>
      <c r="C17" s="727"/>
      <c r="D17" s="585"/>
      <c r="E17" s="727"/>
      <c r="F17" s="1776">
        <f>SUM(C17+D17)-E17</f>
        <v>0</v>
      </c>
    </row>
    <row r="18" spans="1:11" ht="12.75" customHeight="1" thickTop="1" thickBot="1">
      <c r="A18" s="2328" t="s">
        <v>6</v>
      </c>
      <c r="B18" s="2329"/>
      <c r="C18" s="727"/>
      <c r="D18" s="585"/>
      <c r="E18" s="727"/>
      <c r="F18" s="1776">
        <f>SUM(C18+D18)-E18</f>
        <v>0</v>
      </c>
    </row>
    <row r="19" spans="1:11" ht="12.75" customHeight="1" thickTop="1" thickBot="1">
      <c r="A19" s="2328" t="s">
        <v>405</v>
      </c>
      <c r="B19" s="2329"/>
      <c r="C19" s="727"/>
      <c r="D19" s="585"/>
      <c r="E19" s="727"/>
      <c r="F19" s="1776">
        <f>SUM(C19+D19)-E19</f>
        <v>0</v>
      </c>
    </row>
    <row r="20" spans="1:11" ht="12.75" customHeight="1" thickTop="1" thickBot="1">
      <c r="A20" s="2328" t="s">
        <v>467</v>
      </c>
      <c r="B20" s="2329"/>
      <c r="C20" s="727"/>
      <c r="D20" s="585"/>
      <c r="E20" s="727"/>
      <c r="F20" s="1776">
        <f>SUM(C20+D20)-E20</f>
        <v>0</v>
      </c>
    </row>
    <row r="21" spans="1:11" ht="14.25" thickTop="1" thickBot="1">
      <c r="A21" s="2333" t="s">
        <v>652</v>
      </c>
      <c r="B21" s="2334"/>
      <c r="C21" s="1776">
        <f>SUM(C17:C20)</f>
        <v>0</v>
      </c>
      <c r="D21" s="1776">
        <f>SUM(D17:D20)</f>
        <v>0</v>
      </c>
      <c r="E21" s="1776">
        <f>SUM(E17:E20)</f>
        <v>0</v>
      </c>
      <c r="F21" s="1776">
        <f>SUM(F17:F20)</f>
        <v>0</v>
      </c>
      <c r="G21" s="552"/>
    </row>
    <row r="22" spans="1:11" ht="15.75" customHeight="1" thickTop="1">
      <c r="A22" s="2335" t="s">
        <v>1173</v>
      </c>
      <c r="B22" s="2336"/>
      <c r="C22" s="2330"/>
      <c r="D22" s="2331"/>
      <c r="E22" s="2331"/>
      <c r="F22" s="2332"/>
    </row>
    <row r="23" spans="1:11" ht="13.5" thickBot="1">
      <c r="A23" s="2337" t="s">
        <v>653</v>
      </c>
      <c r="B23" s="2338"/>
      <c r="C23" s="581"/>
      <c r="D23" s="581"/>
      <c r="E23" s="581"/>
      <c r="F23" s="1776">
        <f>SUM(C23+D23)-E23</f>
        <v>0</v>
      </c>
      <c r="G23" s="552"/>
    </row>
    <row r="24" spans="1:11" ht="15.75" customHeight="1" thickTop="1">
      <c r="A24" s="2335" t="s">
        <v>1174</v>
      </c>
      <c r="B24" s="2336"/>
      <c r="C24" s="2330"/>
      <c r="D24" s="2331"/>
      <c r="E24" s="2331"/>
      <c r="F24" s="2332"/>
    </row>
    <row r="25" spans="1:11" ht="13.5" thickBot="1">
      <c r="A25" s="2337" t="s">
        <v>654</v>
      </c>
      <c r="B25" s="2338"/>
      <c r="C25" s="581"/>
      <c r="D25" s="581"/>
      <c r="E25" s="581"/>
      <c r="F25" s="1776">
        <f>SUM(C25+D25)-E25</f>
        <v>0</v>
      </c>
      <c r="G25" s="552"/>
    </row>
    <row r="26" spans="1:11" ht="15.75" customHeight="1" thickTop="1">
      <c r="A26" s="2341" t="s">
        <v>677</v>
      </c>
      <c r="B26" s="2336"/>
      <c r="C26" s="728"/>
      <c r="D26" s="728"/>
      <c r="E26" s="728"/>
      <c r="F26" s="729"/>
    </row>
    <row r="27" spans="1:11" ht="13.5" thickBot="1">
      <c r="A27" s="2333" t="s">
        <v>1129</v>
      </c>
      <c r="B27" s="2334"/>
      <c r="C27" s="585"/>
      <c r="D27" s="585"/>
      <c r="E27" s="585"/>
      <c r="F27" s="1776">
        <f>SUM(C27+D27)-E27</f>
        <v>0</v>
      </c>
      <c r="G27" s="552"/>
    </row>
    <row r="28" spans="1:11" ht="7.5" customHeight="1" thickTop="1">
      <c r="A28" s="594"/>
    </row>
    <row r="29" spans="1:11" ht="23.25" customHeight="1">
      <c r="A29" s="2339" t="s">
        <v>602</v>
      </c>
      <c r="B29" s="2340"/>
      <c r="C29" s="730"/>
      <c r="D29" s="730"/>
      <c r="E29" s="730"/>
      <c r="F29" s="730"/>
      <c r="G29" s="730"/>
      <c r="H29" s="730"/>
      <c r="I29" s="730"/>
      <c r="J29" s="730"/>
    </row>
    <row r="30" spans="1:11" ht="33.75">
      <c r="A30" s="1551" t="s">
        <v>1130</v>
      </c>
      <c r="B30" s="731" t="s">
        <v>1185</v>
      </c>
      <c r="C30" s="1908" t="s">
        <v>603</v>
      </c>
      <c r="D30" s="1908" t="s">
        <v>1771</v>
      </c>
      <c r="E30" s="1908" t="s">
        <v>2034</v>
      </c>
      <c r="F30" s="1908" t="s">
        <v>2035</v>
      </c>
      <c r="G30" s="1908" t="s">
        <v>2038</v>
      </c>
      <c r="H30" s="1908" t="s">
        <v>2036</v>
      </c>
      <c r="I30" s="1908" t="s">
        <v>2037</v>
      </c>
      <c r="J30" s="1909" t="s">
        <v>2</v>
      </c>
      <c r="K30" s="732"/>
    </row>
    <row r="31" spans="1:11" ht="12" customHeight="1">
      <c r="A31" s="733" t="s">
        <v>2092</v>
      </c>
      <c r="B31" s="734">
        <v>39882</v>
      </c>
      <c r="C31" s="735">
        <v>9997414</v>
      </c>
      <c r="D31" s="736">
        <v>6</v>
      </c>
      <c r="E31" s="735">
        <v>2365041</v>
      </c>
      <c r="F31" s="735"/>
      <c r="G31" s="735"/>
      <c r="H31" s="735">
        <v>1813729</v>
      </c>
      <c r="I31" s="1777">
        <f>((E31+F31)-H31)+G31</f>
        <v>551312</v>
      </c>
      <c r="J31" s="735">
        <v>551312</v>
      </c>
      <c r="K31" s="737"/>
    </row>
    <row r="32" spans="1:11" ht="12" customHeight="1">
      <c r="A32" s="733"/>
      <c r="B32" s="734"/>
      <c r="C32" s="735"/>
      <c r="D32" s="736"/>
      <c r="E32" s="735"/>
      <c r="F32" s="735"/>
      <c r="G32" s="735"/>
      <c r="H32" s="735"/>
      <c r="I32" s="1777">
        <f>((E32+F32)-H32)+G32</f>
        <v>0</v>
      </c>
      <c r="J32" s="735"/>
      <c r="K32" s="737"/>
    </row>
    <row r="33" spans="1:11" ht="12" customHeight="1">
      <c r="A33" s="733" t="s">
        <v>2093</v>
      </c>
      <c r="B33" s="734">
        <v>40176</v>
      </c>
      <c r="C33" s="735">
        <v>10000000</v>
      </c>
      <c r="D33" s="736">
        <v>6</v>
      </c>
      <c r="E33" s="735">
        <v>7420000</v>
      </c>
      <c r="F33" s="735"/>
      <c r="G33" s="735"/>
      <c r="H33" s="735">
        <v>550000</v>
      </c>
      <c r="I33" s="1777">
        <f t="shared" ref="I33:I48" si="1">((E33+F33)-H33)+G33</f>
        <v>6870000</v>
      </c>
      <c r="J33" s="735">
        <v>6870000</v>
      </c>
      <c r="K33" s="737"/>
    </row>
    <row r="34" spans="1:11" ht="12" customHeight="1">
      <c r="A34" s="733" t="s">
        <v>2094</v>
      </c>
      <c r="B34" s="734">
        <v>40470</v>
      </c>
      <c r="C34" s="735">
        <v>2865000</v>
      </c>
      <c r="D34" s="736">
        <v>6</v>
      </c>
      <c r="E34" s="735">
        <v>2695000</v>
      </c>
      <c r="F34" s="735"/>
      <c r="G34" s="735"/>
      <c r="H34" s="735">
        <v>300000</v>
      </c>
      <c r="I34" s="1777">
        <f t="shared" si="1"/>
        <v>2395000</v>
      </c>
      <c r="J34" s="735">
        <v>2395000</v>
      </c>
      <c r="K34" s="738"/>
    </row>
    <row r="35" spans="1:11" ht="12" customHeight="1">
      <c r="A35" s="733" t="s">
        <v>2095</v>
      </c>
      <c r="B35" s="734">
        <v>40486</v>
      </c>
      <c r="C35" s="739">
        <v>11800000</v>
      </c>
      <c r="D35" s="736">
        <v>6</v>
      </c>
      <c r="E35" s="739">
        <v>11800000</v>
      </c>
      <c r="F35" s="739"/>
      <c r="G35" s="739"/>
      <c r="H35" s="739"/>
      <c r="I35" s="1777">
        <f t="shared" si="1"/>
        <v>11800000</v>
      </c>
      <c r="J35" s="739">
        <v>11800000</v>
      </c>
      <c r="K35" s="738"/>
    </row>
    <row r="36" spans="1:11" ht="12" customHeight="1">
      <c r="A36" s="733" t="s">
        <v>2096</v>
      </c>
      <c r="B36" s="734">
        <v>40486</v>
      </c>
      <c r="C36" s="735">
        <v>1200000</v>
      </c>
      <c r="D36" s="736">
        <v>6</v>
      </c>
      <c r="E36" s="735">
        <v>1000000</v>
      </c>
      <c r="F36" s="735"/>
      <c r="G36" s="735"/>
      <c r="H36" s="735"/>
      <c r="I36" s="1777">
        <f t="shared" si="1"/>
        <v>1000000</v>
      </c>
      <c r="J36" s="735">
        <v>1000000</v>
      </c>
      <c r="K36" s="740"/>
    </row>
    <row r="37" spans="1:11" ht="12" customHeight="1">
      <c r="A37" s="733" t="s">
        <v>2097</v>
      </c>
      <c r="B37" s="734">
        <v>40714</v>
      </c>
      <c r="C37" s="467">
        <v>12000000</v>
      </c>
      <c r="D37" s="741">
        <v>6</v>
      </c>
      <c r="E37" s="467">
        <v>12000000</v>
      </c>
      <c r="F37" s="467"/>
      <c r="G37" s="467"/>
      <c r="H37" s="467"/>
      <c r="I37" s="1777">
        <f t="shared" si="1"/>
        <v>12000000</v>
      </c>
      <c r="J37" s="467">
        <v>12000000</v>
      </c>
      <c r="K37" s="738"/>
    </row>
    <row r="38" spans="1:11" ht="12" customHeight="1">
      <c r="A38" s="733" t="s">
        <v>2098</v>
      </c>
      <c r="B38" s="734">
        <v>41036</v>
      </c>
      <c r="C38" s="735">
        <v>9700000</v>
      </c>
      <c r="D38" s="742">
        <v>6</v>
      </c>
      <c r="E38" s="743">
        <v>9700000</v>
      </c>
      <c r="F38" s="743"/>
      <c r="G38" s="743"/>
      <c r="H38" s="743"/>
      <c r="I38" s="1777">
        <f t="shared" si="1"/>
        <v>9700000</v>
      </c>
      <c r="J38" s="744">
        <v>9700000</v>
      </c>
      <c r="K38" s="745"/>
    </row>
    <row r="39" spans="1:11" ht="12" customHeight="1">
      <c r="A39" s="733" t="s">
        <v>2099</v>
      </c>
      <c r="B39" s="734">
        <v>41401</v>
      </c>
      <c r="C39" s="735">
        <v>15000000</v>
      </c>
      <c r="D39" s="742">
        <v>6</v>
      </c>
      <c r="E39" s="743">
        <v>15000000</v>
      </c>
      <c r="F39" s="743"/>
      <c r="G39" s="743"/>
      <c r="H39" s="743"/>
      <c r="I39" s="1777">
        <f t="shared" si="1"/>
        <v>15000000</v>
      </c>
      <c r="J39" s="744">
        <v>15000000</v>
      </c>
      <c r="K39" s="745"/>
    </row>
    <row r="40" spans="1:11" ht="12" customHeight="1">
      <c r="A40" s="733" t="s">
        <v>2100</v>
      </c>
      <c r="B40" s="734">
        <v>41757</v>
      </c>
      <c r="C40" s="735">
        <v>6898908</v>
      </c>
      <c r="D40" s="742">
        <v>6</v>
      </c>
      <c r="E40" s="743">
        <v>6898908</v>
      </c>
      <c r="F40" s="743"/>
      <c r="G40" s="743"/>
      <c r="H40" s="743"/>
      <c r="I40" s="1777">
        <f t="shared" si="1"/>
        <v>6898908</v>
      </c>
      <c r="J40" s="744">
        <v>6898908</v>
      </c>
      <c r="K40" s="745"/>
    </row>
    <row r="41" spans="1:11" ht="12" customHeight="1">
      <c r="A41" s="733" t="s">
        <v>2101</v>
      </c>
      <c r="B41" s="734">
        <v>42070</v>
      </c>
      <c r="C41" s="735">
        <v>4998462</v>
      </c>
      <c r="D41" s="742">
        <v>6</v>
      </c>
      <c r="E41" s="743">
        <v>4998462</v>
      </c>
      <c r="F41" s="743"/>
      <c r="G41" s="743"/>
      <c r="H41" s="743"/>
      <c r="I41" s="1777">
        <f t="shared" si="1"/>
        <v>4998462</v>
      </c>
      <c r="J41" s="744">
        <v>4998462</v>
      </c>
      <c r="K41" s="745"/>
    </row>
    <row r="42" spans="1:11" ht="12" customHeight="1">
      <c r="A42" s="733" t="s">
        <v>2102</v>
      </c>
      <c r="B42" s="734">
        <v>42465</v>
      </c>
      <c r="C42" s="735">
        <v>3648797</v>
      </c>
      <c r="D42" s="742">
        <v>6</v>
      </c>
      <c r="E42" s="743">
        <v>3648797</v>
      </c>
      <c r="F42" s="743"/>
      <c r="G42" s="743"/>
      <c r="H42" s="743"/>
      <c r="I42" s="1777">
        <f t="shared" si="1"/>
        <v>3648797</v>
      </c>
      <c r="J42" s="744">
        <v>3648797</v>
      </c>
      <c r="K42" s="745"/>
    </row>
    <row r="43" spans="1:11" ht="12" customHeight="1">
      <c r="A43" s="733"/>
      <c r="B43" s="734"/>
      <c r="C43" s="735"/>
      <c r="D43" s="742"/>
      <c r="E43" s="743"/>
      <c r="F43" s="743"/>
      <c r="G43" s="743"/>
      <c r="H43" s="743"/>
      <c r="I43" s="1777">
        <f t="shared" si="1"/>
        <v>0</v>
      </c>
      <c r="J43" s="744"/>
      <c r="K43" s="745"/>
    </row>
    <row r="44" spans="1:11" ht="12" customHeight="1">
      <c r="A44" s="733"/>
      <c r="B44" s="734"/>
      <c r="C44" s="735"/>
      <c r="D44" s="736"/>
      <c r="E44" s="735"/>
      <c r="F44" s="735"/>
      <c r="G44" s="735"/>
      <c r="H44" s="735"/>
      <c r="I44" s="1777">
        <f t="shared" si="1"/>
        <v>0</v>
      </c>
      <c r="J44" s="735"/>
      <c r="K44" s="738"/>
    </row>
    <row r="45" spans="1:11" ht="12" customHeight="1">
      <c r="A45" s="733"/>
      <c r="B45" s="734"/>
      <c r="C45" s="735"/>
      <c r="D45" s="736"/>
      <c r="E45" s="735"/>
      <c r="F45" s="735"/>
      <c r="G45" s="735"/>
      <c r="H45" s="735"/>
      <c r="I45" s="1777">
        <f t="shared" si="1"/>
        <v>0</v>
      </c>
      <c r="J45" s="735"/>
      <c r="K45" s="738"/>
    </row>
    <row r="46" spans="1:11" ht="12" customHeight="1">
      <c r="A46" s="733"/>
      <c r="B46" s="734"/>
      <c r="C46" s="735"/>
      <c r="D46" s="736"/>
      <c r="E46" s="735"/>
      <c r="F46" s="735"/>
      <c r="G46" s="735"/>
      <c r="H46" s="735"/>
      <c r="I46" s="1777">
        <f t="shared" si="1"/>
        <v>0</v>
      </c>
      <c r="J46" s="735"/>
      <c r="K46" s="738"/>
    </row>
    <row r="47" spans="1:11" ht="12" customHeight="1">
      <c r="A47" s="733"/>
      <c r="B47" s="734"/>
      <c r="C47" s="739"/>
      <c r="D47" s="736"/>
      <c r="E47" s="739"/>
      <c r="F47" s="739"/>
      <c r="G47" s="739"/>
      <c r="H47" s="739"/>
      <c r="I47" s="1777">
        <f t="shared" si="1"/>
        <v>0</v>
      </c>
      <c r="J47" s="739"/>
      <c r="K47" s="738"/>
    </row>
    <row r="48" spans="1:11" ht="12" customHeight="1">
      <c r="A48" s="733"/>
      <c r="B48" s="734"/>
      <c r="C48" s="735"/>
      <c r="D48" s="736"/>
      <c r="E48" s="735"/>
      <c r="F48" s="735"/>
      <c r="G48" s="735"/>
      <c r="H48" s="735"/>
      <c r="I48" s="1777">
        <f t="shared" si="1"/>
        <v>0</v>
      </c>
      <c r="J48" s="735"/>
      <c r="K48" s="738"/>
    </row>
    <row r="49" spans="1:11" ht="12" customHeight="1">
      <c r="A49" s="733"/>
      <c r="B49" s="734"/>
      <c r="C49" s="1777">
        <f>SUM(C31:C48)</f>
        <v>88108581</v>
      </c>
      <c r="D49" s="746"/>
      <c r="E49" s="1777">
        <f t="shared" ref="E49:J49" si="2">SUM(E31:E48)</f>
        <v>77526208</v>
      </c>
      <c r="F49" s="1777">
        <f t="shared" si="2"/>
        <v>0</v>
      </c>
      <c r="G49" s="1777">
        <f t="shared" si="2"/>
        <v>0</v>
      </c>
      <c r="H49" s="1777">
        <f t="shared" si="2"/>
        <v>2663729</v>
      </c>
      <c r="I49" s="1777">
        <f t="shared" si="2"/>
        <v>74862479</v>
      </c>
      <c r="J49" s="1777">
        <f t="shared" si="2"/>
        <v>74862479</v>
      </c>
      <c r="K49" s="738"/>
    </row>
    <row r="50" spans="1:11" ht="6" customHeight="1">
      <c r="A50" s="747"/>
      <c r="B50" s="737"/>
      <c r="C50" s="737"/>
      <c r="D50" s="737"/>
      <c r="E50" s="737"/>
      <c r="F50" s="737"/>
      <c r="G50" s="737"/>
      <c r="H50" s="737"/>
      <c r="I50" s="737"/>
      <c r="J50" s="747"/>
    </row>
    <row r="51" spans="1:11">
      <c r="A51" s="748" t="s">
        <v>1910</v>
      </c>
      <c r="B51" s="747"/>
      <c r="C51" s="738"/>
      <c r="D51" s="738"/>
      <c r="E51" s="738"/>
      <c r="F51" s="738"/>
      <c r="G51" s="738"/>
      <c r="H51" s="737"/>
      <c r="I51" s="737"/>
      <c r="J51" s="747"/>
    </row>
    <row r="52" spans="1:11" ht="11.25" customHeight="1">
      <c r="A52" s="749" t="s">
        <v>967</v>
      </c>
      <c r="B52" s="2322" t="s">
        <v>604</v>
      </c>
      <c r="C52" s="2323"/>
      <c r="D52" s="2323"/>
      <c r="E52" s="750" t="s">
        <v>899</v>
      </c>
      <c r="F52" s="2324"/>
      <c r="G52" s="2325"/>
      <c r="H52" s="737"/>
      <c r="I52" s="737"/>
      <c r="J52" s="747"/>
    </row>
    <row r="53" spans="1:11" ht="11.25" customHeight="1">
      <c r="A53" s="751" t="s">
        <v>968</v>
      </c>
      <c r="B53" s="752" t="s">
        <v>1007</v>
      </c>
      <c r="C53" s="747"/>
      <c r="D53" s="738"/>
      <c r="E53" s="750" t="s">
        <v>517</v>
      </c>
      <c r="F53" s="2326"/>
      <c r="G53" s="2327"/>
      <c r="H53" s="737"/>
      <c r="I53" s="737"/>
      <c r="J53" s="747"/>
    </row>
    <row r="54" spans="1:11" ht="11.25" customHeight="1">
      <c r="A54" s="753" t="s">
        <v>969</v>
      </c>
      <c r="B54" s="748" t="s">
        <v>1008</v>
      </c>
      <c r="C54" s="747"/>
      <c r="D54" s="738"/>
      <c r="E54" s="750" t="s">
        <v>518</v>
      </c>
      <c r="F54" s="2326"/>
      <c r="G54" s="2327"/>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30" sqref="D30"/>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351" t="s">
        <v>910</v>
      </c>
      <c r="B1" s="2352"/>
      <c r="C1" s="2352"/>
      <c r="D1" s="2352"/>
      <c r="E1" s="2352"/>
      <c r="F1" s="2352"/>
      <c r="G1" s="2353"/>
      <c r="H1" s="1552"/>
      <c r="I1" s="761"/>
      <c r="J1" s="433"/>
    </row>
    <row r="2" spans="1:11" ht="26.25">
      <c r="A2" s="2370" t="s">
        <v>1775</v>
      </c>
      <c r="B2" s="2371"/>
      <c r="C2" s="2371"/>
      <c r="D2" s="2371"/>
      <c r="E2" s="2372"/>
      <c r="F2" s="762" t="s">
        <v>959</v>
      </c>
      <c r="G2" s="763" t="s">
        <v>1772</v>
      </c>
      <c r="H2" s="763" t="s">
        <v>429</v>
      </c>
      <c r="I2" s="763" t="s">
        <v>1219</v>
      </c>
      <c r="J2" s="763" t="s">
        <v>1915</v>
      </c>
      <c r="K2" s="763" t="s">
        <v>140</v>
      </c>
    </row>
    <row r="3" spans="1:11">
      <c r="A3" s="2373" t="s">
        <v>1697</v>
      </c>
      <c r="B3" s="2374"/>
      <c r="C3" s="2374"/>
      <c r="D3" s="2374"/>
      <c r="E3" s="2375"/>
      <c r="F3" s="764"/>
      <c r="G3" s="765"/>
      <c r="H3" s="765"/>
      <c r="I3" s="765"/>
      <c r="J3" s="766"/>
      <c r="K3" s="766"/>
    </row>
    <row r="4" spans="1:11">
      <c r="A4" s="2376" t="s">
        <v>386</v>
      </c>
      <c r="B4" s="2377"/>
      <c r="C4" s="2377"/>
      <c r="D4" s="2377"/>
      <c r="E4" s="2323"/>
      <c r="F4" s="767"/>
      <c r="G4" s="768"/>
      <c r="H4" s="769"/>
      <c r="I4" s="768"/>
      <c r="J4" s="770"/>
      <c r="K4" s="770"/>
    </row>
    <row r="5" spans="1:11">
      <c r="A5" s="2354" t="s">
        <v>1128</v>
      </c>
      <c r="B5" s="2355"/>
      <c r="C5" s="2355"/>
      <c r="D5" s="2355"/>
      <c r="E5" s="2356"/>
      <c r="F5" s="771" t="s">
        <v>902</v>
      </c>
      <c r="G5" s="772"/>
      <c r="H5" s="765">
        <v>2962007</v>
      </c>
      <c r="I5" s="773"/>
      <c r="J5" s="774"/>
      <c r="K5" s="774"/>
    </row>
    <row r="6" spans="1:11">
      <c r="A6" s="775" t="s">
        <v>743</v>
      </c>
      <c r="B6" s="776"/>
      <c r="C6" s="776"/>
      <c r="D6" s="776"/>
      <c r="E6" s="777"/>
      <c r="F6" s="778" t="s">
        <v>903</v>
      </c>
      <c r="G6" s="765"/>
      <c r="H6" s="765"/>
      <c r="I6" s="765"/>
      <c r="J6" s="766"/>
      <c r="K6" s="766"/>
    </row>
    <row r="7" spans="1:11">
      <c r="A7" s="779" t="s">
        <v>264</v>
      </c>
      <c r="B7" s="780"/>
      <c r="C7" s="780"/>
      <c r="D7" s="780"/>
      <c r="E7" s="781"/>
      <c r="F7" s="771" t="s">
        <v>904</v>
      </c>
      <c r="G7" s="768"/>
      <c r="H7" s="768"/>
      <c r="I7" s="768"/>
      <c r="J7" s="782"/>
      <c r="K7" s="766"/>
    </row>
    <row r="8" spans="1:11">
      <c r="A8" s="779" t="s">
        <v>362</v>
      </c>
      <c r="B8" s="780"/>
      <c r="C8" s="780"/>
      <c r="D8" s="780"/>
      <c r="E8" s="781"/>
      <c r="F8" s="771" t="s">
        <v>905</v>
      </c>
      <c r="G8" s="783"/>
      <c r="H8" s="783"/>
      <c r="I8" s="783"/>
      <c r="J8" s="766"/>
      <c r="K8" s="770"/>
    </row>
    <row r="9" spans="1:11">
      <c r="A9" s="779" t="s">
        <v>140</v>
      </c>
      <c r="B9" s="780"/>
      <c r="C9" s="780"/>
      <c r="D9" s="780"/>
      <c r="E9" s="781"/>
      <c r="F9" s="778" t="s">
        <v>907</v>
      </c>
      <c r="G9" s="783"/>
      <c r="H9" s="772"/>
      <c r="I9" s="772"/>
      <c r="J9" s="782"/>
      <c r="K9" s="766"/>
    </row>
    <row r="10" spans="1:11">
      <c r="A10" s="2354" t="s">
        <v>1916</v>
      </c>
      <c r="B10" s="2355"/>
      <c r="C10" s="2355"/>
      <c r="D10" s="2355"/>
      <c r="E10" s="2357"/>
      <c r="F10" s="784" t="s">
        <v>916</v>
      </c>
      <c r="G10" s="783"/>
      <c r="H10" s="785"/>
      <c r="I10" s="765"/>
      <c r="J10" s="766"/>
      <c r="K10" s="766"/>
    </row>
    <row r="11" spans="1:11">
      <c r="A11" s="2354" t="s">
        <v>162</v>
      </c>
      <c r="B11" s="2355"/>
      <c r="C11" s="2355"/>
      <c r="D11" s="2355"/>
      <c r="E11" s="2356"/>
      <c r="F11" s="771" t="s">
        <v>906</v>
      </c>
      <c r="G11" s="772"/>
      <c r="H11" s="765"/>
      <c r="I11" s="765"/>
      <c r="J11" s="766"/>
      <c r="K11" s="774"/>
    </row>
    <row r="12" spans="1:11" ht="13.5" thickBot="1">
      <c r="A12" s="2381" t="s">
        <v>960</v>
      </c>
      <c r="B12" s="2382"/>
      <c r="C12" s="2382"/>
      <c r="D12" s="2382"/>
      <c r="E12" s="2383"/>
      <c r="F12" s="1778"/>
      <c r="G12" s="1779">
        <f>SUM(G5:G11)</f>
        <v>0</v>
      </c>
      <c r="H12" s="1779">
        <f>SUM(H5:H11)</f>
        <v>2962007</v>
      </c>
      <c r="I12" s="1779">
        <f>SUM(I5:I11)</f>
        <v>0</v>
      </c>
      <c r="J12" s="1779">
        <f>SUM(J5:J11)</f>
        <v>0</v>
      </c>
      <c r="K12" s="1779">
        <f>SUM(K5:K11)</f>
        <v>0</v>
      </c>
    </row>
    <row r="13" spans="1:11" ht="13.5" thickTop="1">
      <c r="A13" s="2378" t="s">
        <v>387</v>
      </c>
      <c r="B13" s="2379"/>
      <c r="C13" s="2379"/>
      <c r="D13" s="2379"/>
      <c r="E13" s="2380"/>
      <c r="F13" s="786"/>
      <c r="G13" s="787"/>
      <c r="H13" s="788"/>
      <c r="I13" s="789"/>
      <c r="J13" s="789"/>
      <c r="K13" s="789"/>
    </row>
    <row r="14" spans="1:11">
      <c r="A14" s="2361" t="s">
        <v>475</v>
      </c>
      <c r="B14" s="2361"/>
      <c r="C14" s="2361"/>
      <c r="D14" s="2361"/>
      <c r="E14" s="2362"/>
      <c r="F14" s="790" t="s">
        <v>908</v>
      </c>
      <c r="G14" s="783"/>
      <c r="H14" s="765"/>
      <c r="I14" s="772"/>
      <c r="J14" s="774"/>
      <c r="K14" s="766"/>
    </row>
    <row r="15" spans="1:11">
      <c r="A15" s="2355" t="s">
        <v>4</v>
      </c>
      <c r="B15" s="2355"/>
      <c r="C15" s="2355"/>
      <c r="D15" s="2355"/>
      <c r="E15" s="2356"/>
      <c r="F15" s="790" t="s">
        <v>909</v>
      </c>
      <c r="G15" s="772"/>
      <c r="H15" s="765"/>
      <c r="I15" s="765"/>
      <c r="J15" s="766"/>
      <c r="K15" s="766"/>
    </row>
    <row r="16" spans="1:11">
      <c r="A16" s="2355" t="s">
        <v>315</v>
      </c>
      <c r="B16" s="2355"/>
      <c r="C16" s="2355"/>
      <c r="D16" s="2355"/>
      <c r="E16" s="2356"/>
      <c r="F16" s="790" t="s">
        <v>979</v>
      </c>
      <c r="G16" s="773"/>
      <c r="H16" s="768"/>
      <c r="I16" s="768"/>
      <c r="J16" s="770"/>
      <c r="K16" s="770"/>
    </row>
    <row r="17" spans="1:11">
      <c r="A17" s="2386" t="s">
        <v>991</v>
      </c>
      <c r="B17" s="2386"/>
      <c r="C17" s="2386"/>
      <c r="D17" s="2386"/>
      <c r="E17" s="2387"/>
      <c r="F17" s="791"/>
      <c r="G17" s="792"/>
      <c r="H17" s="793"/>
      <c r="I17" s="793"/>
      <c r="J17" s="794"/>
      <c r="K17" s="795"/>
    </row>
    <row r="18" spans="1:11">
      <c r="A18" s="2365" t="s">
        <v>385</v>
      </c>
      <c r="B18" s="2366"/>
      <c r="C18" s="2366"/>
      <c r="D18" s="2366"/>
      <c r="E18" s="2367"/>
      <c r="F18" s="790" t="s">
        <v>988</v>
      </c>
      <c r="G18" s="783"/>
      <c r="H18" s="783"/>
      <c r="I18" s="783"/>
      <c r="J18" s="766"/>
      <c r="K18" s="796"/>
    </row>
    <row r="19" spans="1:11" ht="21.75" customHeight="1">
      <c r="A19" s="2363" t="s">
        <v>1912</v>
      </c>
      <c r="B19" s="2363"/>
      <c r="C19" s="2363"/>
      <c r="D19" s="2363"/>
      <c r="E19" s="2364"/>
      <c r="F19" s="790" t="s">
        <v>989</v>
      </c>
      <c r="G19" s="783"/>
      <c r="H19" s="783"/>
      <c r="I19" s="783"/>
      <c r="J19" s="766"/>
      <c r="K19" s="796"/>
    </row>
    <row r="20" spans="1:11">
      <c r="A20" s="2365" t="s">
        <v>1917</v>
      </c>
      <c r="B20" s="2366"/>
      <c r="C20" s="2366"/>
      <c r="D20" s="2366"/>
      <c r="E20" s="2367"/>
      <c r="F20" s="790" t="s">
        <v>990</v>
      </c>
      <c r="G20" s="783"/>
      <c r="H20" s="783"/>
      <c r="I20" s="783"/>
      <c r="J20" s="766"/>
      <c r="K20" s="796"/>
    </row>
    <row r="21" spans="1:11" ht="13.5" thickBot="1">
      <c r="A21" s="2384" t="s">
        <v>658</v>
      </c>
      <c r="B21" s="2384"/>
      <c r="C21" s="2384"/>
      <c r="D21" s="2384"/>
      <c r="E21" s="2384"/>
      <c r="F21" s="1780"/>
      <c r="G21" s="793"/>
      <c r="H21" s="797"/>
      <c r="I21" s="797"/>
      <c r="J21" s="1781">
        <f>SUM(J18:J20)</f>
        <v>0</v>
      </c>
      <c r="K21" s="794"/>
    </row>
    <row r="22" spans="1:11" ht="13.5" thickTop="1">
      <c r="A22" s="2355" t="s">
        <v>1918</v>
      </c>
      <c r="B22" s="2355"/>
      <c r="C22" s="2355"/>
      <c r="D22" s="2355"/>
      <c r="E22" s="2356"/>
      <c r="F22" s="790" t="s">
        <v>916</v>
      </c>
      <c r="G22" s="783"/>
      <c r="H22" s="765"/>
      <c r="I22" s="765"/>
      <c r="J22" s="798"/>
      <c r="K22" s="766"/>
    </row>
    <row r="23" spans="1:11" ht="13.5" thickBot="1">
      <c r="A23" s="2385" t="s">
        <v>961</v>
      </c>
      <c r="B23" s="2384"/>
      <c r="C23" s="2384"/>
      <c r="D23" s="2384"/>
      <c r="E23" s="2384"/>
      <c r="F23" s="1782"/>
      <c r="G23" s="1779">
        <f>SUM(G14:G16,G21,G22)</f>
        <v>0</v>
      </c>
      <c r="H23" s="1779">
        <f>SUM(H14:H16,H21,H22)</f>
        <v>0</v>
      </c>
      <c r="I23" s="1779">
        <f>SUM(I14:I16,I21,I22)</f>
        <v>0</v>
      </c>
      <c r="J23" s="1779">
        <f>SUM(J14:J16,J21,J22)</f>
        <v>0</v>
      </c>
      <c r="K23" s="1779">
        <f>SUM(K14:K16,K21,K22)</f>
        <v>0</v>
      </c>
    </row>
    <row r="24" spans="1:11" ht="14.25" thickTop="1" thickBot="1">
      <c r="A24" s="2385" t="s">
        <v>2020</v>
      </c>
      <c r="B24" s="2384"/>
      <c r="C24" s="2384"/>
      <c r="D24" s="2384"/>
      <c r="E24" s="2384"/>
      <c r="F24" s="1783"/>
      <c r="G24" s="1784">
        <f>SUM(G3,G12)-G23</f>
        <v>0</v>
      </c>
      <c r="H24" s="1784">
        <f>SUM(H3,H12)-H23</f>
        <v>2962007</v>
      </c>
      <c r="I24" s="1784">
        <f>SUM(I3,I12)-I23</f>
        <v>0</v>
      </c>
      <c r="J24" s="1784">
        <f>SUM(J3,J12)-J23</f>
        <v>0</v>
      </c>
      <c r="K24" s="1784">
        <f>SUM(K3,K12)-K23</f>
        <v>0</v>
      </c>
    </row>
    <row r="25" spans="1:11" ht="13.5" thickTop="1">
      <c r="A25" s="799" t="s">
        <v>439</v>
      </c>
      <c r="B25" s="800"/>
      <c r="C25" s="800"/>
      <c r="D25" s="800"/>
      <c r="E25" s="801"/>
      <c r="F25" s="802">
        <v>714</v>
      </c>
      <c r="G25" s="803"/>
      <c r="H25" s="803"/>
      <c r="I25" s="803"/>
      <c r="J25" s="798"/>
      <c r="K25" s="798"/>
    </row>
    <row r="26" spans="1:11" ht="13.5" thickBot="1">
      <c r="A26" s="799" t="s">
        <v>359</v>
      </c>
      <c r="B26" s="800"/>
      <c r="C26" s="800"/>
      <c r="D26" s="800"/>
      <c r="E26" s="801"/>
      <c r="F26" s="802">
        <v>730</v>
      </c>
      <c r="G26" s="1779">
        <f>G24-G25</f>
        <v>0</v>
      </c>
      <c r="H26" s="1779">
        <f>H24-H25</f>
        <v>2962007</v>
      </c>
      <c r="I26" s="1779">
        <f>I24-I25</f>
        <v>0</v>
      </c>
      <c r="J26" s="1779">
        <f>J24-J25</f>
        <v>0</v>
      </c>
      <c r="K26" s="1779">
        <f>K24-K25</f>
        <v>0</v>
      </c>
    </row>
    <row r="27" spans="1:11" ht="5.25" customHeight="1" thickTop="1">
      <c r="I27" s="202"/>
      <c r="J27" s="202"/>
    </row>
    <row r="28" spans="1:11" ht="29.25" customHeight="1">
      <c r="A28" s="1903" t="s">
        <v>2030</v>
      </c>
      <c r="B28" s="1904"/>
      <c r="C28" s="1904"/>
      <c r="D28" s="1904"/>
      <c r="E28" s="1905"/>
      <c r="F28" s="804"/>
      <c r="G28" s="805"/>
    </row>
    <row r="29" spans="1:11">
      <c r="B29" s="501"/>
      <c r="C29" s="501"/>
      <c r="D29" s="501"/>
      <c r="F29" s="202"/>
      <c r="G29" s="806"/>
    </row>
    <row r="30" spans="1:11">
      <c r="A30" s="807" t="s">
        <v>592</v>
      </c>
      <c r="B30" s="808"/>
      <c r="C30" s="807" t="s">
        <v>400</v>
      </c>
      <c r="D30" s="808" t="s">
        <v>2073</v>
      </c>
      <c r="E30" s="809" t="s">
        <v>791</v>
      </c>
      <c r="F30" s="202"/>
      <c r="G30" s="806"/>
    </row>
    <row r="31" spans="1:11">
      <c r="A31" s="810"/>
      <c r="D31" s="237"/>
      <c r="E31" s="811" t="s">
        <v>792</v>
      </c>
      <c r="F31" s="812" t="s">
        <v>559</v>
      </c>
      <c r="G31" s="765"/>
      <c r="H31" s="2358"/>
      <c r="I31" s="2359"/>
      <c r="J31" s="2359"/>
      <c r="K31" s="2359"/>
    </row>
    <row r="32" spans="1:11">
      <c r="A32" s="810"/>
      <c r="B32" s="237"/>
      <c r="C32" s="237"/>
      <c r="D32" s="237"/>
      <c r="E32" s="806"/>
      <c r="F32" s="812" t="s">
        <v>560</v>
      </c>
      <c r="G32" s="765"/>
      <c r="H32" s="2360"/>
      <c r="I32" s="2359"/>
      <c r="J32" s="2359"/>
      <c r="K32" s="2359"/>
    </row>
    <row r="33" spans="1:11" ht="1.5" customHeight="1">
      <c r="A33" s="813" t="s">
        <v>1230</v>
      </c>
      <c r="B33" s="364"/>
      <c r="C33" s="364"/>
      <c r="D33" s="364"/>
      <c r="E33" s="364"/>
      <c r="F33" s="364"/>
      <c r="G33" s="814"/>
      <c r="H33" s="2360"/>
      <c r="I33" s="2359"/>
      <c r="J33" s="2359"/>
      <c r="K33" s="2359"/>
    </row>
    <row r="34" spans="1:11">
      <c r="A34" s="815" t="s">
        <v>1919</v>
      </c>
      <c r="B34" s="364"/>
      <c r="C34" s="364"/>
      <c r="D34" s="364"/>
      <c r="E34" s="364"/>
      <c r="F34" s="364"/>
      <c r="G34" s="814"/>
    </row>
    <row r="35" spans="1:11" ht="15">
      <c r="A35" s="826" t="s">
        <v>962</v>
      </c>
      <c r="B35" s="816"/>
      <c r="C35" s="816"/>
      <c r="D35" s="816"/>
      <c r="E35" s="816"/>
      <c r="F35" s="816"/>
      <c r="G35" s="817"/>
      <c r="H35" s="818"/>
    </row>
    <row r="36" spans="1:11">
      <c r="A36" s="779" t="s">
        <v>1170</v>
      </c>
      <c r="B36" s="819"/>
      <c r="C36" s="819"/>
      <c r="D36" s="819"/>
      <c r="E36" s="819"/>
      <c r="F36" s="820"/>
      <c r="G36" s="766"/>
    </row>
    <row r="37" spans="1:11">
      <c r="A37" s="821" t="s">
        <v>951</v>
      </c>
      <c r="B37" s="819"/>
      <c r="C37" s="819"/>
      <c r="D37" s="819"/>
      <c r="E37" s="819"/>
      <c r="F37" s="820"/>
      <c r="G37" s="766"/>
    </row>
    <row r="38" spans="1:11">
      <c r="A38" s="821" t="s">
        <v>1049</v>
      </c>
      <c r="B38" s="819"/>
      <c r="C38" s="819"/>
      <c r="D38" s="819"/>
      <c r="E38" s="819"/>
      <c r="F38" s="820"/>
      <c r="G38" s="766"/>
    </row>
    <row r="39" spans="1:11">
      <c r="A39" s="821" t="s">
        <v>1050</v>
      </c>
      <c r="B39" s="819"/>
      <c r="C39" s="819"/>
      <c r="D39" s="819"/>
      <c r="E39" s="819"/>
      <c r="F39" s="820"/>
      <c r="G39" s="766"/>
    </row>
    <row r="40" spans="1:11">
      <c r="A40" s="821" t="s">
        <v>1051</v>
      </c>
      <c r="B40" s="819"/>
      <c r="C40" s="819"/>
      <c r="D40" s="819"/>
      <c r="E40" s="819"/>
      <c r="F40" s="820"/>
      <c r="G40" s="766"/>
    </row>
    <row r="41" spans="1:11">
      <c r="A41" s="2355" t="s">
        <v>561</v>
      </c>
      <c r="B41" s="2368"/>
      <c r="C41" s="2368"/>
      <c r="D41" s="2368"/>
      <c r="E41" s="2368"/>
      <c r="F41" s="2369"/>
      <c r="G41" s="766"/>
    </row>
    <row r="42" spans="1:11">
      <c r="A42" s="821" t="s">
        <v>1026</v>
      </c>
      <c r="B42" s="819"/>
      <c r="C42" s="819"/>
      <c r="D42" s="819"/>
      <c r="E42" s="819"/>
      <c r="F42" s="820"/>
      <c r="G42" s="766"/>
    </row>
    <row r="43" spans="1:11">
      <c r="A43" s="821" t="s">
        <v>1027</v>
      </c>
      <c r="B43" s="819"/>
      <c r="C43" s="819"/>
      <c r="D43" s="819"/>
      <c r="E43" s="819"/>
      <c r="F43" s="820"/>
      <c r="G43" s="766"/>
    </row>
    <row r="44" spans="1:11">
      <c r="A44" s="821" t="s">
        <v>1028</v>
      </c>
      <c r="B44" s="819"/>
      <c r="C44" s="819"/>
      <c r="D44" s="819"/>
      <c r="E44" s="819"/>
      <c r="F44" s="820"/>
      <c r="G44" s="766"/>
    </row>
    <row r="45" spans="1:11" ht="6.75" customHeight="1"/>
    <row r="46" spans="1:11" ht="15">
      <c r="A46" s="1553" t="s">
        <v>1913</v>
      </c>
      <c r="B46" s="408" t="s">
        <v>1773</v>
      </c>
    </row>
    <row r="47" spans="1:11" s="824" customFormat="1" ht="12.75" customHeight="1">
      <c r="A47" s="822"/>
      <c r="B47" s="823" t="s">
        <v>1774</v>
      </c>
      <c r="E47" s="823"/>
      <c r="K47" s="825"/>
    </row>
    <row r="48" spans="1:11" ht="12.75" customHeight="1">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30" sqref="D30"/>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90" t="s">
        <v>2029</v>
      </c>
      <c r="B1" s="2391"/>
      <c r="C1" s="2392"/>
      <c r="D1" s="827"/>
      <c r="E1" s="828"/>
      <c r="F1" s="828"/>
      <c r="G1" s="829"/>
      <c r="H1" s="830"/>
      <c r="I1" s="831"/>
      <c r="J1" s="2388"/>
      <c r="K1" s="2389"/>
      <c r="L1" s="2389"/>
    </row>
    <row r="2" spans="1:14" ht="69.75" customHeight="1">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c r="A3" s="1651" t="s">
        <v>947</v>
      </c>
      <c r="B3" s="1652">
        <v>210</v>
      </c>
      <c r="C3" s="836"/>
      <c r="D3" s="836"/>
      <c r="E3" s="836"/>
      <c r="F3" s="1781">
        <f>(C3+D3)-E3</f>
        <v>0</v>
      </c>
      <c r="G3" s="837"/>
      <c r="H3" s="836"/>
      <c r="I3" s="836"/>
      <c r="J3" s="836"/>
      <c r="K3" s="1790">
        <f>(H3+I3)-J3</f>
        <v>0</v>
      </c>
      <c r="L3" s="1790">
        <f>F3-K3</f>
        <v>0</v>
      </c>
      <c r="M3" s="835"/>
      <c r="N3" s="835"/>
    </row>
    <row r="4" spans="1:14" ht="15" customHeight="1" thickTop="1">
      <c r="A4" s="1653" t="s">
        <v>160</v>
      </c>
      <c r="B4" s="1652">
        <v>220</v>
      </c>
      <c r="C4" s="782"/>
      <c r="D4" s="782"/>
      <c r="E4" s="782"/>
      <c r="F4" s="774"/>
      <c r="G4" s="838"/>
      <c r="H4" s="839"/>
      <c r="I4" s="839"/>
      <c r="J4" s="839"/>
      <c r="K4" s="840"/>
      <c r="L4" s="774"/>
    </row>
    <row r="5" spans="1:14" ht="13.5" thickBot="1">
      <c r="A5" s="779" t="s">
        <v>948</v>
      </c>
      <c r="B5" s="841">
        <v>221</v>
      </c>
      <c r="C5" s="842">
        <v>2966736</v>
      </c>
      <c r="D5" s="842"/>
      <c r="E5" s="842"/>
      <c r="F5" s="1781">
        <f>(C5+D5)-E5</f>
        <v>2966736</v>
      </c>
      <c r="G5" s="838"/>
      <c r="H5" s="843"/>
      <c r="I5" s="843"/>
      <c r="J5" s="843"/>
      <c r="K5" s="794"/>
      <c r="L5" s="1790">
        <f>F5-K5</f>
        <v>2966736</v>
      </c>
    </row>
    <row r="6" spans="1:14" ht="14.25" thickTop="1" thickBot="1">
      <c r="A6" s="779" t="s">
        <v>1178</v>
      </c>
      <c r="B6" s="841">
        <v>222</v>
      </c>
      <c r="C6" s="766"/>
      <c r="D6" s="766"/>
      <c r="E6" s="766"/>
      <c r="F6" s="1781">
        <f>(C6+D6)-E6</f>
        <v>0</v>
      </c>
      <c r="G6" s="838">
        <v>50</v>
      </c>
      <c r="H6" s="766"/>
      <c r="I6" s="766"/>
      <c r="J6" s="766"/>
      <c r="K6" s="1790">
        <f>(H6+I6)-J6</f>
        <v>0</v>
      </c>
      <c r="L6" s="1790">
        <f>F6-K6</f>
        <v>0</v>
      </c>
    </row>
    <row r="7" spans="1:14" ht="15" customHeight="1" thickTop="1">
      <c r="A7" s="1653" t="s">
        <v>161</v>
      </c>
      <c r="B7" s="1652">
        <v>230</v>
      </c>
      <c r="C7" s="782"/>
      <c r="D7" s="782"/>
      <c r="E7" s="782"/>
      <c r="F7" s="774"/>
      <c r="G7" s="844"/>
      <c r="H7" s="782"/>
      <c r="I7" s="782"/>
      <c r="J7" s="782"/>
      <c r="K7" s="774"/>
      <c r="L7" s="774"/>
    </row>
    <row r="8" spans="1:14" ht="13.5" thickBot="1">
      <c r="A8" s="779" t="s">
        <v>1179</v>
      </c>
      <c r="B8" s="841">
        <v>231</v>
      </c>
      <c r="C8" s="845">
        <v>136096485</v>
      </c>
      <c r="D8" s="845">
        <v>250656</v>
      </c>
      <c r="E8" s="845">
        <v>18746</v>
      </c>
      <c r="F8" s="1781">
        <f>(C8+D8)-E8</f>
        <v>136328395</v>
      </c>
      <c r="G8" s="844">
        <v>50</v>
      </c>
      <c r="H8" s="766">
        <v>48680004</v>
      </c>
      <c r="I8" s="766">
        <v>2268571</v>
      </c>
      <c r="J8" s="766">
        <v>873</v>
      </c>
      <c r="K8" s="1790">
        <f>(H8+I8)-J8</f>
        <v>50947702</v>
      </c>
      <c r="L8" s="1790">
        <f>F8-K8</f>
        <v>85380693</v>
      </c>
    </row>
    <row r="9" spans="1:14" ht="14.25" thickTop="1" thickBot="1">
      <c r="A9" s="779" t="s">
        <v>1180</v>
      </c>
      <c r="B9" s="841">
        <v>232</v>
      </c>
      <c r="C9" s="766"/>
      <c r="D9" s="766"/>
      <c r="E9" s="766"/>
      <c r="F9" s="1781">
        <f>(C9+D9)-E9</f>
        <v>0</v>
      </c>
      <c r="G9" s="844">
        <v>20</v>
      </c>
      <c r="H9" s="766"/>
      <c r="I9" s="766"/>
      <c r="J9" s="766"/>
      <c r="K9" s="1790">
        <f>(H9+I9)-J9</f>
        <v>0</v>
      </c>
      <c r="L9" s="1790">
        <f>F9-K9</f>
        <v>0</v>
      </c>
    </row>
    <row r="10" spans="1:14" ht="24" thickTop="1" thickBot="1">
      <c r="A10" s="846" t="s">
        <v>1181</v>
      </c>
      <c r="B10" s="841">
        <v>240</v>
      </c>
      <c r="C10" s="847"/>
      <c r="D10" s="847"/>
      <c r="E10" s="847"/>
      <c r="F10" s="1785">
        <f>(C10+D10)-E10</f>
        <v>0</v>
      </c>
      <c r="G10" s="844">
        <v>20</v>
      </c>
      <c r="H10" s="848"/>
      <c r="I10" s="848"/>
      <c r="J10" s="848"/>
      <c r="K10" s="1790">
        <f>(H10+I10)-J10</f>
        <v>0</v>
      </c>
      <c r="L10" s="1790">
        <f>F10-K10</f>
        <v>0</v>
      </c>
    </row>
    <row r="11" spans="1:14" ht="13.5" thickTop="1">
      <c r="A11" s="1654" t="s">
        <v>1197</v>
      </c>
      <c r="B11" s="1652">
        <v>250</v>
      </c>
      <c r="C11" s="782"/>
      <c r="D11" s="782"/>
      <c r="E11" s="782"/>
      <c r="F11" s="774"/>
      <c r="G11" s="844"/>
      <c r="H11" s="782"/>
      <c r="I11" s="782"/>
      <c r="J11" s="782"/>
      <c r="K11" s="774"/>
      <c r="L11" s="774"/>
    </row>
    <row r="12" spans="1:14" ht="13.5" thickBot="1">
      <c r="A12" s="849" t="s">
        <v>1182</v>
      </c>
      <c r="B12" s="841">
        <v>251</v>
      </c>
      <c r="C12" s="845">
        <v>11262330</v>
      </c>
      <c r="D12" s="845">
        <v>744695</v>
      </c>
      <c r="E12" s="845">
        <v>36781</v>
      </c>
      <c r="F12" s="1781">
        <f>(C12+D12)-E12</f>
        <v>11970244</v>
      </c>
      <c r="G12" s="844">
        <v>10</v>
      </c>
      <c r="H12" s="766">
        <v>8161424</v>
      </c>
      <c r="I12" s="766">
        <v>584087</v>
      </c>
      <c r="J12" s="766">
        <v>15149</v>
      </c>
      <c r="K12" s="1790">
        <f>(H12+I12)-J12</f>
        <v>8730362</v>
      </c>
      <c r="L12" s="1790">
        <f>F12-K12</f>
        <v>3239882</v>
      </c>
    </row>
    <row r="13" spans="1:14" ht="14.25" thickTop="1" thickBot="1">
      <c r="A13" s="849" t="s">
        <v>1183</v>
      </c>
      <c r="B13" s="841">
        <v>252</v>
      </c>
      <c r="C13" s="845"/>
      <c r="D13" s="845"/>
      <c r="E13" s="845"/>
      <c r="F13" s="1781">
        <f>(C13+D13)-E13</f>
        <v>0</v>
      </c>
      <c r="G13" s="844">
        <v>5</v>
      </c>
      <c r="H13" s="766"/>
      <c r="I13" s="766"/>
      <c r="J13" s="766"/>
      <c r="K13" s="1790">
        <f>(H13+I13)-J13</f>
        <v>0</v>
      </c>
      <c r="L13" s="1790">
        <f>F13-K13</f>
        <v>0</v>
      </c>
    </row>
    <row r="14" spans="1:14" ht="14.25" thickTop="1" thickBot="1">
      <c r="A14" s="849" t="s">
        <v>1184</v>
      </c>
      <c r="B14" s="841">
        <v>253</v>
      </c>
      <c r="C14" s="766"/>
      <c r="D14" s="766"/>
      <c r="E14" s="766"/>
      <c r="F14" s="1781">
        <f>(C14+D14)-E14</f>
        <v>0</v>
      </c>
      <c r="G14" s="844">
        <v>3</v>
      </c>
      <c r="H14" s="766"/>
      <c r="I14" s="766"/>
      <c r="J14" s="766"/>
      <c r="K14" s="1790">
        <f>(H14+I14)-J14</f>
        <v>0</v>
      </c>
      <c r="L14" s="1790">
        <f>F14-K14</f>
        <v>0</v>
      </c>
    </row>
    <row r="15" spans="1:14" ht="15" customHeight="1" thickTop="1" thickBot="1">
      <c r="A15" s="1653" t="s">
        <v>548</v>
      </c>
      <c r="B15" s="1652">
        <v>260</v>
      </c>
      <c r="C15" s="845"/>
      <c r="D15" s="845"/>
      <c r="E15" s="845"/>
      <c r="F15" s="1781">
        <f>(C15+D15)-E15</f>
        <v>0</v>
      </c>
      <c r="G15" s="850" t="s">
        <v>916</v>
      </c>
      <c r="H15" s="782"/>
      <c r="I15" s="782"/>
      <c r="J15" s="782"/>
      <c r="K15" s="782"/>
      <c r="L15" s="1790">
        <f>F15-K15</f>
        <v>0</v>
      </c>
    </row>
    <row r="16" spans="1:14" ht="15" customHeight="1" thickTop="1" thickBot="1">
      <c r="A16" s="1786" t="s">
        <v>663</v>
      </c>
      <c r="B16" s="1787">
        <v>200</v>
      </c>
      <c r="C16" s="1781">
        <f>SUM(C3,C5:C6,C8:C10,C12:C15)</f>
        <v>150325551</v>
      </c>
      <c r="D16" s="1781">
        <f>SUM(D3,D5:D6,D8:D10,D12:D15)</f>
        <v>995351</v>
      </c>
      <c r="E16" s="1781">
        <f>SUM(E3,E5:E6,E8:E10,E12:E15)</f>
        <v>55527</v>
      </c>
      <c r="F16" s="1781">
        <f>SUM(F3,F5:F6,F8:F10,F12:F15)</f>
        <v>151265375</v>
      </c>
      <c r="G16" s="844"/>
      <c r="H16" s="1781">
        <f>SUM(H3,H6,H8:H10,H12:H14,)</f>
        <v>56841428</v>
      </c>
      <c r="I16" s="1781">
        <f>SUM(I3,I6,I8:I10,I12:I14,)</f>
        <v>2852658</v>
      </c>
      <c r="J16" s="1781">
        <f>SUM(J3,J6,J8:J10,J12:J14,)</f>
        <v>16022</v>
      </c>
      <c r="K16" s="1781">
        <f>(H16+I16)-J16</f>
        <v>59678064</v>
      </c>
      <c r="L16" s="1781">
        <f>F16-K16</f>
        <v>91587311</v>
      </c>
    </row>
    <row r="17" spans="1:12" ht="15" customHeight="1" thickTop="1" thickBot="1">
      <c r="A17" s="1655" t="s">
        <v>308</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c r="A18" s="1788" t="s">
        <v>705</v>
      </c>
      <c r="B18" s="1789"/>
      <c r="C18" s="772"/>
      <c r="D18" s="772"/>
      <c r="E18" s="772"/>
      <c r="F18" s="851"/>
      <c r="G18" s="852"/>
      <c r="H18" s="774"/>
      <c r="I18" s="1781">
        <f>SUM(I16,I17)</f>
        <v>2852658</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6" sqref="A6:XFD6"/>
      <selection pane="bottomLeft" activeCell="A6" sqref="A6:XFD6"/>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396" t="s">
        <v>1698</v>
      </c>
      <c r="B1" s="2397"/>
      <c r="C1" s="2397"/>
      <c r="D1" s="2397"/>
      <c r="E1" s="2397"/>
      <c r="F1" s="2398"/>
      <c r="G1" s="856"/>
    </row>
    <row r="2" spans="1:7" ht="15" customHeight="1" thickBot="1">
      <c r="A2" s="2399" t="s">
        <v>497</v>
      </c>
      <c r="B2" s="2400"/>
      <c r="C2" s="2400"/>
      <c r="D2" s="2400"/>
      <c r="E2" s="2400"/>
      <c r="F2" s="2401"/>
      <c r="G2" s="858"/>
    </row>
    <row r="3" spans="1:7" ht="5.25" customHeight="1" thickTop="1">
      <c r="A3" s="859"/>
      <c r="B3" s="860"/>
      <c r="C3" s="861"/>
      <c r="D3" s="860"/>
      <c r="E3" s="861"/>
      <c r="F3" s="860"/>
      <c r="G3" s="860"/>
    </row>
    <row r="4" spans="1:7" ht="12.2" customHeight="1">
      <c r="A4" s="862" t="s">
        <v>1136</v>
      </c>
      <c r="B4" s="863" t="s">
        <v>117</v>
      </c>
      <c r="D4" s="865" t="s">
        <v>531</v>
      </c>
      <c r="F4" s="863" t="s">
        <v>919</v>
      </c>
    </row>
    <row r="5" spans="1:7" ht="7.5" customHeight="1">
      <c r="A5" s="2402"/>
      <c r="B5" s="2403"/>
      <c r="C5" s="2403"/>
      <c r="D5" s="2403"/>
      <c r="E5" s="2403"/>
      <c r="F5" s="2403"/>
    </row>
    <row r="6" spans="1:7" ht="13.5" customHeight="1" thickBot="1">
      <c r="A6" s="2393" t="s">
        <v>1165</v>
      </c>
      <c r="B6" s="2394"/>
      <c r="C6" s="2394"/>
      <c r="D6" s="2394"/>
      <c r="E6" s="2394"/>
      <c r="F6" s="2395"/>
      <c r="G6" s="866"/>
    </row>
    <row r="7" spans="1:7" s="866" customFormat="1" ht="12" thickTop="1">
      <c r="A7" s="867" t="s">
        <v>522</v>
      </c>
      <c r="B7" s="868"/>
      <c r="C7" s="869"/>
      <c r="D7" s="868"/>
      <c r="E7" s="869"/>
      <c r="F7" s="868"/>
    </row>
    <row r="8" spans="1:7">
      <c r="A8" s="870" t="s">
        <v>478</v>
      </c>
      <c r="B8" s="871" t="s">
        <v>1543</v>
      </c>
      <c r="C8" s="872"/>
      <c r="D8" s="870" t="s">
        <v>521</v>
      </c>
      <c r="E8" s="869" t="s">
        <v>1014</v>
      </c>
      <c r="F8" s="1932">
        <f>'Expenditures 15-22'!K114</f>
        <v>105190692</v>
      </c>
      <c r="G8" s="866"/>
    </row>
    <row r="9" spans="1:7">
      <c r="A9" s="870" t="s">
        <v>479</v>
      </c>
      <c r="B9" s="871" t="s">
        <v>1984</v>
      </c>
      <c r="C9" s="872"/>
      <c r="D9" s="870" t="s">
        <v>521</v>
      </c>
      <c r="E9" s="869"/>
      <c r="F9" s="1933">
        <f>'Expenditures 15-22'!K151</f>
        <v>6971960</v>
      </c>
      <c r="G9" s="873"/>
    </row>
    <row r="10" spans="1:7">
      <c r="A10" s="870" t="s">
        <v>519</v>
      </c>
      <c r="B10" s="871" t="s">
        <v>1985</v>
      </c>
      <c r="C10" s="872"/>
      <c r="D10" s="870" t="s">
        <v>521</v>
      </c>
      <c r="E10" s="869"/>
      <c r="F10" s="1933">
        <f>'Expenditures 15-22'!K174</f>
        <v>5629342</v>
      </c>
      <c r="G10" s="873"/>
    </row>
    <row r="11" spans="1:7">
      <c r="A11" s="870" t="s">
        <v>480</v>
      </c>
      <c r="B11" s="871" t="s">
        <v>1986</v>
      </c>
      <c r="C11" s="872"/>
      <c r="D11" s="870" t="s">
        <v>521</v>
      </c>
      <c r="E11" s="869"/>
      <c r="F11" s="1933">
        <f>'Expenditures 15-22'!K210</f>
        <v>4270988</v>
      </c>
      <c r="G11" s="873"/>
    </row>
    <row r="12" spans="1:7">
      <c r="A12" s="870" t="s">
        <v>481</v>
      </c>
      <c r="B12" s="871" t="s">
        <v>1987</v>
      </c>
      <c r="C12" s="872"/>
      <c r="D12" s="870" t="s">
        <v>521</v>
      </c>
      <c r="E12" s="869"/>
      <c r="F12" s="1933">
        <f>'Expenditures 15-22'!K295</f>
        <v>3911421</v>
      </c>
      <c r="G12" s="873"/>
    </row>
    <row r="13" spans="1:7">
      <c r="A13" s="870" t="s">
        <v>108</v>
      </c>
      <c r="B13" s="871" t="s">
        <v>1988</v>
      </c>
      <c r="C13" s="872"/>
      <c r="D13" s="870" t="s">
        <v>521</v>
      </c>
      <c r="E13" s="869"/>
      <c r="F13" s="1933">
        <f>'Expenditures 15-22'!K342</f>
        <v>880255</v>
      </c>
      <c r="G13" s="874"/>
    </row>
    <row r="14" spans="1:7" ht="12" customHeight="1" thickBot="1">
      <c r="A14" s="1791"/>
      <c r="B14" s="1792"/>
      <c r="C14" s="1793"/>
      <c r="D14" s="1794" t="s">
        <v>521</v>
      </c>
      <c r="E14" s="1795" t="s">
        <v>1014</v>
      </c>
      <c r="F14" s="1796">
        <f>SUM(F8:F13)</f>
        <v>126854658</v>
      </c>
      <c r="G14" s="866"/>
    </row>
    <row r="15" spans="1:7" ht="3.75" customHeight="1" thickTop="1">
      <c r="A15" s="866"/>
      <c r="B15" s="866"/>
      <c r="C15" s="872"/>
      <c r="D15" s="866"/>
      <c r="E15" s="869"/>
      <c r="F15" s="866"/>
      <c r="G15" s="866"/>
    </row>
    <row r="16" spans="1:7" ht="12" customHeight="1">
      <c r="A16" s="875" t="s">
        <v>532</v>
      </c>
      <c r="B16" s="231"/>
      <c r="C16" s="231"/>
      <c r="D16" s="868"/>
      <c r="E16" s="869"/>
      <c r="F16" s="868"/>
      <c r="G16" s="866"/>
    </row>
    <row r="17" spans="1:7" ht="4.5" customHeight="1">
      <c r="A17" s="875"/>
      <c r="B17" s="231"/>
      <c r="C17" s="231"/>
      <c r="D17" s="868"/>
      <c r="E17" s="869"/>
      <c r="F17" s="868"/>
      <c r="G17" s="866"/>
    </row>
    <row r="18" spans="1:7">
      <c r="A18" s="870" t="s">
        <v>480</v>
      </c>
      <c r="B18" s="871" t="s">
        <v>1067</v>
      </c>
      <c r="C18" s="876">
        <f>'Revenues 9-14'!B43</f>
        <v>1412</v>
      </c>
      <c r="D18" s="877" t="str">
        <f>'Revenues 9-14'!A43</f>
        <v>Regular - Transp Fees from Other Districts (In State)</v>
      </c>
      <c r="E18" s="869" t="s">
        <v>1014</v>
      </c>
      <c r="F18" s="1934">
        <f>'Revenues 9-14'!F43</f>
        <v>0</v>
      </c>
      <c r="G18" s="866"/>
    </row>
    <row r="19" spans="1:7">
      <c r="A19" s="870" t="s">
        <v>480</v>
      </c>
      <c r="B19" s="871" t="s">
        <v>1068</v>
      </c>
      <c r="C19" s="878">
        <f>'Revenues 9-14'!B47</f>
        <v>1421</v>
      </c>
      <c r="D19" s="879" t="str">
        <f>'Revenues 9-14'!A47</f>
        <v>Summer Sch - Transp. Fees from Pupils or Parents (In State)</v>
      </c>
      <c r="E19" s="880"/>
      <c r="F19" s="1935">
        <f>'Revenues 9-14'!F47</f>
        <v>0</v>
      </c>
      <c r="G19" s="866"/>
    </row>
    <row r="20" spans="1:7">
      <c r="A20" s="870" t="s">
        <v>480</v>
      </c>
      <c r="B20" s="871" t="s">
        <v>1069</v>
      </c>
      <c r="C20" s="876">
        <f>'Revenues 9-14'!B48</f>
        <v>1422</v>
      </c>
      <c r="D20" s="877" t="str">
        <f>'Revenues 9-14'!A48</f>
        <v>Summer Sch - Transp. Fees from Other Districts (In State)</v>
      </c>
      <c r="E20" s="869"/>
      <c r="F20" s="1936">
        <f>'Revenues 9-14'!F48</f>
        <v>0</v>
      </c>
      <c r="G20" s="866"/>
    </row>
    <row r="21" spans="1:7">
      <c r="A21" s="870" t="s">
        <v>480</v>
      </c>
      <c r="B21" s="871" t="s">
        <v>1070</v>
      </c>
      <c r="C21" s="878">
        <f>'Revenues 9-14'!B49</f>
        <v>1423</v>
      </c>
      <c r="D21" s="877" t="str">
        <f>'Revenues 9-14'!A49</f>
        <v>Summer Sch - Transp. Fees from Other Sources (In State)</v>
      </c>
      <c r="E21" s="869"/>
      <c r="F21" s="1937">
        <f>'Revenues 9-14'!F49</f>
        <v>0</v>
      </c>
      <c r="G21" s="866"/>
    </row>
    <row r="22" spans="1:7">
      <c r="A22" s="870" t="s">
        <v>480</v>
      </c>
      <c r="B22" s="871" t="s">
        <v>1071</v>
      </c>
      <c r="C22" s="878">
        <f>'Revenues 9-14'!B50</f>
        <v>1424</v>
      </c>
      <c r="D22" s="877" t="str">
        <f>'Revenues 9-14'!A50</f>
        <v>Summer Sch - Transp. Fees from Other Sources (Out of State)</v>
      </c>
      <c r="E22" s="869"/>
      <c r="F22" s="1937">
        <f>'Revenues 9-14'!F50</f>
        <v>0</v>
      </c>
      <c r="G22" s="866"/>
    </row>
    <row r="23" spans="1:7">
      <c r="A23" s="870" t="s">
        <v>480</v>
      </c>
      <c r="B23" s="871" t="s">
        <v>1072</v>
      </c>
      <c r="C23" s="876">
        <f>'Revenues 9-14'!B52</f>
        <v>1432</v>
      </c>
      <c r="D23" s="877" t="str">
        <f>'Revenues 9-14'!A52</f>
        <v>CTE - Transp Fees from Other Districts (In State)</v>
      </c>
      <c r="E23" s="869"/>
      <c r="F23" s="1937">
        <f>'Revenues 9-14'!F52</f>
        <v>0</v>
      </c>
      <c r="G23" s="866"/>
    </row>
    <row r="24" spans="1:7">
      <c r="A24" s="870" t="s">
        <v>480</v>
      </c>
      <c r="B24" s="871" t="s">
        <v>1073</v>
      </c>
      <c r="C24" s="876">
        <f>'Revenues 9-14'!B56</f>
        <v>1442</v>
      </c>
      <c r="D24" s="877" t="str">
        <f>'Revenues 9-14'!A56</f>
        <v>Special Ed - Transp Fees from Other Districts (In State)</v>
      </c>
      <c r="E24" s="869"/>
      <c r="F24" s="1937">
        <f>'Revenues 9-14'!F56</f>
        <v>0</v>
      </c>
      <c r="G24" s="866"/>
    </row>
    <row r="25" spans="1:7">
      <c r="A25" s="870" t="s">
        <v>480</v>
      </c>
      <c r="B25" s="871" t="s">
        <v>1074</v>
      </c>
      <c r="C25" s="876">
        <f>'Revenues 9-14'!B59</f>
        <v>1451</v>
      </c>
      <c r="D25" s="877" t="str">
        <f>'Revenues 9-14'!A59</f>
        <v>Adult - Transp Fees from Pupils or Parents (In State)</v>
      </c>
      <c r="E25" s="869"/>
      <c r="F25" s="1937">
        <f>'Revenues 9-14'!F59</f>
        <v>0</v>
      </c>
      <c r="G25" s="866"/>
    </row>
    <row r="26" spans="1:7">
      <c r="A26" s="870" t="s">
        <v>480</v>
      </c>
      <c r="B26" s="871" t="s">
        <v>1075</v>
      </c>
      <c r="C26" s="876">
        <f>'Revenues 9-14'!B60</f>
        <v>1452</v>
      </c>
      <c r="D26" s="877" t="str">
        <f>'Revenues 9-14'!A60</f>
        <v>Adult - Transp Fees from Other Districts (In State)</v>
      </c>
      <c r="E26" s="869"/>
      <c r="F26" s="1937">
        <f>'Revenues 9-14'!F60</f>
        <v>0</v>
      </c>
      <c r="G26" s="866"/>
    </row>
    <row r="27" spans="1:7">
      <c r="A27" s="870" t="s">
        <v>480</v>
      </c>
      <c r="B27" s="871" t="s">
        <v>1076</v>
      </c>
      <c r="C27" s="876">
        <f>'Revenues 9-14'!B61</f>
        <v>1453</v>
      </c>
      <c r="D27" s="877" t="str">
        <f>'Revenues 9-14'!A61</f>
        <v>Adult - Transp Fees from Other Sources (In State)</v>
      </c>
      <c r="E27" s="869"/>
      <c r="F27" s="1937">
        <f>'Revenues 9-14'!F61</f>
        <v>0</v>
      </c>
      <c r="G27" s="866"/>
    </row>
    <row r="28" spans="1:7">
      <c r="A28" s="870" t="s">
        <v>480</v>
      </c>
      <c r="B28" s="871" t="s">
        <v>1077</v>
      </c>
      <c r="C28" s="876">
        <f>'Revenues 9-14'!B62</f>
        <v>1454</v>
      </c>
      <c r="D28" s="877" t="str">
        <f>'Revenues 9-14'!A62</f>
        <v>Adult - Transp Fees from Other Sources (Out of State)</v>
      </c>
      <c r="E28" s="869"/>
      <c r="F28" s="1937">
        <f>'Revenues 9-14'!F62</f>
        <v>0</v>
      </c>
      <c r="G28" s="866"/>
    </row>
    <row r="29" spans="1:7">
      <c r="A29" s="870" t="s">
        <v>1158</v>
      </c>
      <c r="B29" s="871" t="s">
        <v>1682</v>
      </c>
      <c r="C29" s="881">
        <f>'Revenues 9-14'!B148</f>
        <v>3410</v>
      </c>
      <c r="D29" s="882" t="str">
        <f>'Revenues 9-14'!A148</f>
        <v>Adult Ed (from ICCB)</v>
      </c>
      <c r="E29" s="869"/>
      <c r="F29" s="1937">
        <f>SUM('Revenues 9-14'!D148,F149)</f>
        <v>0</v>
      </c>
      <c r="G29" s="866"/>
    </row>
    <row r="30" spans="1:7">
      <c r="A30" s="870" t="s">
        <v>1158</v>
      </c>
      <c r="B30" s="871" t="s">
        <v>860</v>
      </c>
      <c r="C30" s="881">
        <f>'Revenues 9-14'!B149</f>
        <v>3499</v>
      </c>
      <c r="D30" s="882" t="str">
        <f>'Revenues 9-14'!A149</f>
        <v>Adult Ed - Other (Describe &amp; Itemize)</v>
      </c>
      <c r="E30" s="869"/>
      <c r="F30" s="1938">
        <f>('Revenues 9-14'!D149+'Revenues 9-14'!F149)</f>
        <v>0</v>
      </c>
      <c r="G30" s="866"/>
    </row>
    <row r="31" spans="1:7">
      <c r="A31" s="870" t="s">
        <v>1158</v>
      </c>
      <c r="B31" s="871" t="s">
        <v>861</v>
      </c>
      <c r="C31" s="876">
        <f>'Revenues 9-14'!B218</f>
        <v>4600</v>
      </c>
      <c r="D31" s="884" t="str">
        <f>'Revenues 9-14'!A218</f>
        <v>Fed - Spec Education - Preschool Flow-Through</v>
      </c>
      <c r="E31" s="885"/>
      <c r="F31" s="1937">
        <f>SUM('Revenues 9-14'!D218,'Revenues 9-14'!F218)</f>
        <v>0</v>
      </c>
      <c r="G31" s="866"/>
    </row>
    <row r="32" spans="1:7">
      <c r="A32" s="870" t="s">
        <v>1158</v>
      </c>
      <c r="B32" s="871" t="s">
        <v>799</v>
      </c>
      <c r="C32" s="876">
        <f>'Revenues 9-14'!B219</f>
        <v>4605</v>
      </c>
      <c r="D32" s="886" t="str">
        <f>'Revenues 9-14'!A219</f>
        <v>Fed - Spec Education - Preschool Discretionary</v>
      </c>
      <c r="E32" s="885"/>
      <c r="F32" s="1937">
        <f>SUM('Revenues 9-14'!D219,'Revenues 9-14'!F219)</f>
        <v>0</v>
      </c>
      <c r="G32" s="866"/>
    </row>
    <row r="33" spans="1:7">
      <c r="A33" s="870" t="s">
        <v>479</v>
      </c>
      <c r="B33" s="871" t="s">
        <v>800</v>
      </c>
      <c r="C33" s="876">
        <f>'Revenues 9-14'!B229</f>
        <v>4810</v>
      </c>
      <c r="D33" s="884" t="str">
        <f>'Revenues 9-14'!A229</f>
        <v>Federal - Adult Education</v>
      </c>
      <c r="E33" s="869"/>
      <c r="F33" s="1937">
        <f>'Revenues 9-14'!D229</f>
        <v>0</v>
      </c>
      <c r="G33" s="866"/>
    </row>
    <row r="34" spans="1:7">
      <c r="A34" s="870" t="s">
        <v>478</v>
      </c>
      <c r="B34" s="870" t="s">
        <v>1544</v>
      </c>
      <c r="C34" s="887" t="str">
        <f>'Expenditures 15-22'!B7</f>
        <v>1125</v>
      </c>
      <c r="D34" s="888" t="str">
        <f>'Expenditures 15-22'!A7</f>
        <v>Pre-K Programs</v>
      </c>
      <c r="E34" s="869"/>
      <c r="F34" s="1937">
        <f>'Expenditures 15-22'!K7-SUM('Expenditures 15-22'!G7,'Expenditures 15-22'!I7)</f>
        <v>805226</v>
      </c>
      <c r="G34" s="866"/>
    </row>
    <row r="35" spans="1:7">
      <c r="A35" s="870" t="s">
        <v>478</v>
      </c>
      <c r="B35" s="870" t="s">
        <v>1545</v>
      </c>
      <c r="C35" s="887" t="str">
        <f>'Expenditures 15-22'!B9</f>
        <v>1225</v>
      </c>
      <c r="D35" s="888" t="str">
        <f>'Expenditures 15-22'!A9</f>
        <v>Special Education Programs Pre-K</v>
      </c>
      <c r="E35" s="869"/>
      <c r="F35" s="1937">
        <f>'Expenditures 15-22'!K9-SUM('Expenditures 15-22'!G9+'Expenditures 15-22'!I9)</f>
        <v>962808</v>
      </c>
      <c r="G35" s="866"/>
    </row>
    <row r="36" spans="1:7">
      <c r="A36" s="870" t="s">
        <v>478</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c r="A37" s="870" t="s">
        <v>478</v>
      </c>
      <c r="B37" s="870" t="s">
        <v>1546</v>
      </c>
      <c r="C37" s="887">
        <f>'Expenditures 15-22'!B12</f>
        <v>1300</v>
      </c>
      <c r="D37" s="889" t="str">
        <f>'Expenditures 15-22'!A12</f>
        <v>Adult/Continuing Education Programs</v>
      </c>
      <c r="E37" s="869"/>
      <c r="F37" s="1937">
        <f>'Expenditures 15-22'!K12-SUM('Expenditures 15-22'!G12+'Expenditures 15-22'!I12)</f>
        <v>0</v>
      </c>
      <c r="G37" s="866"/>
    </row>
    <row r="38" spans="1:7">
      <c r="A38" s="870" t="s">
        <v>478</v>
      </c>
      <c r="B38" s="870" t="s">
        <v>1547</v>
      </c>
      <c r="C38" s="887">
        <f>'Expenditures 15-22'!B15</f>
        <v>1600</v>
      </c>
      <c r="D38" s="889" t="str">
        <f>'Expenditures 15-22'!A15</f>
        <v>Summer School Programs</v>
      </c>
      <c r="E38" s="869"/>
      <c r="F38" s="1937">
        <f>'Expenditures 15-22'!K15-SUM('Expenditures 15-22'!G15,'Expenditures 15-22'!I15)</f>
        <v>406751</v>
      </c>
      <c r="G38" s="866"/>
    </row>
    <row r="39" spans="1:7">
      <c r="A39" s="870" t="s">
        <v>478</v>
      </c>
      <c r="B39" s="870" t="s">
        <v>119</v>
      </c>
      <c r="C39" s="887" t="str">
        <f>'Expenditures 15-22'!B20</f>
        <v>1910</v>
      </c>
      <c r="D39" s="889" t="str">
        <f>'Expenditures 15-22'!A20</f>
        <v>Pre-K Programs - Private Tuition</v>
      </c>
      <c r="E39" s="869"/>
      <c r="F39" s="1937">
        <f>'Expenditures 15-22'!K20</f>
        <v>0</v>
      </c>
      <c r="G39" s="866"/>
    </row>
    <row r="40" spans="1:7">
      <c r="A40" s="870" t="s">
        <v>478</v>
      </c>
      <c r="B40" s="870" t="s">
        <v>120</v>
      </c>
      <c r="C40" s="887" t="str">
        <f>'Expenditures 15-22'!B21</f>
        <v>1911</v>
      </c>
      <c r="D40" s="889" t="str">
        <f>'Expenditures 15-22'!A21</f>
        <v>Regular K-12 Programs - Private Tuition</v>
      </c>
      <c r="E40" s="869"/>
      <c r="F40" s="1937">
        <f>'Expenditures 15-22'!K21</f>
        <v>0</v>
      </c>
      <c r="G40" s="866"/>
    </row>
    <row r="41" spans="1:7">
      <c r="A41" s="870" t="s">
        <v>478</v>
      </c>
      <c r="B41" s="870" t="s">
        <v>121</v>
      </c>
      <c r="C41" s="887" t="str">
        <f>'Expenditures 15-22'!B22</f>
        <v>1912</v>
      </c>
      <c r="D41" s="889" t="str">
        <f>'Expenditures 15-22'!A22</f>
        <v>Special Education Programs K-12 - Private Tuition</v>
      </c>
      <c r="E41" s="869"/>
      <c r="F41" s="1937">
        <f>'Expenditures 15-22'!K22</f>
        <v>0</v>
      </c>
      <c r="G41" s="866"/>
    </row>
    <row r="42" spans="1:7">
      <c r="A42" s="870" t="s">
        <v>478</v>
      </c>
      <c r="B42" s="870" t="s">
        <v>122</v>
      </c>
      <c r="C42" s="890" t="str">
        <f>'Expenditures 15-22'!B23</f>
        <v>1913</v>
      </c>
      <c r="D42" s="889" t="str">
        <f>'Expenditures 15-22'!A23</f>
        <v>Special Education Programs Pre-K - Tuition</v>
      </c>
      <c r="E42" s="869"/>
      <c r="F42" s="1937">
        <f>'Expenditures 15-22'!K23</f>
        <v>0</v>
      </c>
      <c r="G42" s="866"/>
    </row>
    <row r="43" spans="1:7">
      <c r="A43" s="870" t="s">
        <v>478</v>
      </c>
      <c r="B43" s="870" t="s">
        <v>123</v>
      </c>
      <c r="C43" s="887" t="str">
        <f>'Expenditures 15-22'!B24</f>
        <v>1914</v>
      </c>
      <c r="D43" s="889" t="str">
        <f>'Expenditures 15-22'!A24</f>
        <v>Remedial/Supplemental Programs K-12 - Private Tuition</v>
      </c>
      <c r="E43" s="869"/>
      <c r="F43" s="1937">
        <f>'Expenditures 15-22'!K24</f>
        <v>0</v>
      </c>
      <c r="G43" s="866"/>
    </row>
    <row r="44" spans="1:7">
      <c r="A44" s="870" t="s">
        <v>478</v>
      </c>
      <c r="B44" s="870" t="s">
        <v>124</v>
      </c>
      <c r="C44" s="890" t="str">
        <f>'Expenditures 15-22'!B25</f>
        <v>1915</v>
      </c>
      <c r="D44" s="889" t="str">
        <f>'Expenditures 15-22'!A25</f>
        <v>Remedial/Supplemental Programs Pre-K - Private Tuition</v>
      </c>
      <c r="E44" s="869"/>
      <c r="F44" s="1937">
        <f>'Expenditures 15-22'!K25</f>
        <v>0</v>
      </c>
      <c r="G44" s="866"/>
    </row>
    <row r="45" spans="1:7">
      <c r="A45" s="870" t="s">
        <v>478</v>
      </c>
      <c r="B45" s="870" t="s">
        <v>125</v>
      </c>
      <c r="C45" s="890" t="str">
        <f>'Expenditures 15-22'!B26</f>
        <v>1916</v>
      </c>
      <c r="D45" s="889" t="str">
        <f>'Expenditures 15-22'!A26</f>
        <v>Adult/Continuing Education Programs - Private Tuition</v>
      </c>
      <c r="E45" s="869"/>
      <c r="F45" s="1937">
        <f>'Expenditures 15-22'!K26</f>
        <v>0</v>
      </c>
      <c r="G45" s="866"/>
    </row>
    <row r="46" spans="1:7">
      <c r="A46" s="870" t="s">
        <v>478</v>
      </c>
      <c r="B46" s="870" t="s">
        <v>126</v>
      </c>
      <c r="C46" s="887" t="str">
        <f>'Expenditures 15-22'!B27</f>
        <v>1917</v>
      </c>
      <c r="D46" s="889" t="str">
        <f>'Expenditures 15-22'!A27</f>
        <v>CTE Programs - Private Tuition</v>
      </c>
      <c r="E46" s="869"/>
      <c r="F46" s="1937">
        <f>'Expenditures 15-22'!K27</f>
        <v>0</v>
      </c>
      <c r="G46" s="866"/>
    </row>
    <row r="47" spans="1:7">
      <c r="A47" s="870" t="s">
        <v>478</v>
      </c>
      <c r="B47" s="870" t="s">
        <v>127</v>
      </c>
      <c r="C47" s="891" t="str">
        <f>'Expenditures 15-22'!B28</f>
        <v>1918</v>
      </c>
      <c r="D47" s="892" t="str">
        <f>'Expenditures 15-22'!A28</f>
        <v>Interscholastic Programs - Private Tuition</v>
      </c>
      <c r="E47" s="869"/>
      <c r="F47" s="1937">
        <f>'Expenditures 15-22'!K28</f>
        <v>0</v>
      </c>
      <c r="G47" s="866"/>
    </row>
    <row r="48" spans="1:7">
      <c r="A48" s="870" t="s">
        <v>478</v>
      </c>
      <c r="B48" s="870" t="s">
        <v>128</v>
      </c>
      <c r="C48" s="890" t="str">
        <f>'Expenditures 15-22'!B29</f>
        <v>1919</v>
      </c>
      <c r="D48" s="889" t="str">
        <f>'Expenditures 15-22'!A29</f>
        <v>Summer School Programs - Private Tuition</v>
      </c>
      <c r="E48" s="869"/>
      <c r="F48" s="1937">
        <f>'Expenditures 15-22'!K29</f>
        <v>0</v>
      </c>
      <c r="G48" s="866"/>
    </row>
    <row r="49" spans="1:7">
      <c r="A49" s="870" t="s">
        <v>478</v>
      </c>
      <c r="B49" s="870" t="s">
        <v>129</v>
      </c>
      <c r="C49" s="887" t="str">
        <f>'Expenditures 15-22'!B30</f>
        <v>1920</v>
      </c>
      <c r="D49" s="889" t="str">
        <f>'Expenditures 15-22'!A30</f>
        <v>Gifted Programs - Private Tuition</v>
      </c>
      <c r="E49" s="869"/>
      <c r="F49" s="1937">
        <f>'Expenditures 15-22'!K30</f>
        <v>0</v>
      </c>
      <c r="G49" s="866"/>
    </row>
    <row r="50" spans="1:7">
      <c r="A50" s="870" t="s">
        <v>478</v>
      </c>
      <c r="B50" s="870" t="s">
        <v>130</v>
      </c>
      <c r="C50" s="887" t="str">
        <f>'Expenditures 15-22'!B31</f>
        <v>1921</v>
      </c>
      <c r="D50" s="889" t="str">
        <f>'Expenditures 15-22'!A31</f>
        <v>Bilingual Programs - Private Tuition</v>
      </c>
      <c r="E50" s="869"/>
      <c r="F50" s="1937">
        <f>'Expenditures 15-22'!K31</f>
        <v>0</v>
      </c>
      <c r="G50" s="866"/>
    </row>
    <row r="51" spans="1:7">
      <c r="A51" s="870" t="s">
        <v>478</v>
      </c>
      <c r="B51" s="870" t="s">
        <v>1548</v>
      </c>
      <c r="C51" s="887" t="str">
        <f>'Expenditures 15-22'!B32</f>
        <v>1922</v>
      </c>
      <c r="D51" s="889" t="str">
        <f>'Expenditures 15-22'!A32</f>
        <v>Truants Alternative/Optional Ed Progms - Private Tuition</v>
      </c>
      <c r="E51" s="869"/>
      <c r="F51" s="1937">
        <f>'Expenditures 15-22'!K32</f>
        <v>0</v>
      </c>
      <c r="G51" s="866"/>
    </row>
    <row r="52" spans="1:7">
      <c r="A52" s="870" t="s">
        <v>478</v>
      </c>
      <c r="B52" s="870" t="s">
        <v>1549</v>
      </c>
      <c r="C52" s="890" t="str">
        <f>'Expenditures 15-22'!B75</f>
        <v>3000</v>
      </c>
      <c r="D52" s="889" t="s">
        <v>468</v>
      </c>
      <c r="E52" s="869"/>
      <c r="F52" s="1937">
        <f>'Expenditures 15-22'!K75-SUM('Expenditures 15-22'!G75,'Expenditures 15-22'!I75)</f>
        <v>5289774</v>
      </c>
      <c r="G52" s="866"/>
    </row>
    <row r="53" spans="1:7">
      <c r="A53" s="870" t="s">
        <v>478</v>
      </c>
      <c r="B53" s="870" t="s">
        <v>1550</v>
      </c>
      <c r="C53" s="890">
        <f>'Expenditures 15-22'!B102</f>
        <v>4000</v>
      </c>
      <c r="D53" s="889" t="str">
        <f>'Expenditures 15-22'!A102</f>
        <v>Total Payments to Other Govt Units</v>
      </c>
      <c r="E53" s="869"/>
      <c r="F53" s="1937">
        <f>'Expenditures 15-22'!K102</f>
        <v>3073194</v>
      </c>
      <c r="G53" s="866"/>
    </row>
    <row r="54" spans="1:7">
      <c r="A54" s="870" t="s">
        <v>478</v>
      </c>
      <c r="B54" s="870" t="s">
        <v>1551</v>
      </c>
      <c r="C54" s="890" t="s">
        <v>1038</v>
      </c>
      <c r="D54" s="886" t="s">
        <v>1156</v>
      </c>
      <c r="E54" s="869"/>
      <c r="F54" s="1937">
        <f>'Expenditures 15-22'!G114</f>
        <v>938161</v>
      </c>
      <c r="G54" s="866"/>
    </row>
    <row r="55" spans="1:7">
      <c r="A55" s="870" t="s">
        <v>478</v>
      </c>
      <c r="B55" s="870" t="s">
        <v>1552</v>
      </c>
      <c r="C55" s="890" t="s">
        <v>1038</v>
      </c>
      <c r="D55" s="886" t="s">
        <v>308</v>
      </c>
      <c r="E55" s="869"/>
      <c r="F55" s="1937">
        <f>'Expenditures 15-22'!I114</f>
        <v>0</v>
      </c>
      <c r="G55" s="866"/>
    </row>
    <row r="56" spans="1:7">
      <c r="A56" s="870" t="s">
        <v>479</v>
      </c>
      <c r="B56" s="870" t="s">
        <v>1553</v>
      </c>
      <c r="C56" s="887" t="str">
        <f>'Expenditures 15-22'!B130</f>
        <v>3000</v>
      </c>
      <c r="D56" s="893" t="s">
        <v>468</v>
      </c>
      <c r="E56" s="869"/>
      <c r="F56" s="1937">
        <f>'Expenditures 15-22'!K130-SUM('Expenditures 15-22'!G130+'Expenditures 15-22'!I130)</f>
        <v>0</v>
      </c>
      <c r="G56" s="866"/>
    </row>
    <row r="57" spans="1:7">
      <c r="A57" s="870" t="s">
        <v>479</v>
      </c>
      <c r="B57" s="870" t="s">
        <v>1989</v>
      </c>
      <c r="C57" s="890">
        <f>'Expenditures 15-22'!B139</f>
        <v>4000</v>
      </c>
      <c r="D57" s="888" t="str">
        <f>'Expenditures 15-22'!A139</f>
        <v>Total Payments to Other Govt Units</v>
      </c>
      <c r="E57" s="869"/>
      <c r="F57" s="1937">
        <f>'Expenditures 15-22'!K139</f>
        <v>0</v>
      </c>
      <c r="G57" s="866"/>
    </row>
    <row r="58" spans="1:7">
      <c r="A58" s="870" t="s">
        <v>479</v>
      </c>
      <c r="B58" s="870" t="s">
        <v>1990</v>
      </c>
      <c r="C58" s="887" t="s">
        <v>1038</v>
      </c>
      <c r="D58" s="886" t="s">
        <v>1156</v>
      </c>
      <c r="E58" s="869"/>
      <c r="F58" s="1939">
        <f>'Expenditures 15-22'!G151</f>
        <v>60460</v>
      </c>
      <c r="G58" s="866"/>
    </row>
    <row r="59" spans="1:7">
      <c r="A59" s="894" t="s">
        <v>479</v>
      </c>
      <c r="B59" s="857" t="s">
        <v>1991</v>
      </c>
      <c r="C59" s="895" t="s">
        <v>1038</v>
      </c>
      <c r="D59" s="857" t="s">
        <v>308</v>
      </c>
      <c r="F59" s="1940">
        <f>'Expenditures 15-22'!I151</f>
        <v>0</v>
      </c>
      <c r="G59" s="866"/>
    </row>
    <row r="60" spans="1:7">
      <c r="A60" s="894" t="s">
        <v>519</v>
      </c>
      <c r="B60" s="857" t="s">
        <v>1992</v>
      </c>
      <c r="C60" s="895">
        <v>4000</v>
      </c>
      <c r="D60" s="857" t="s">
        <v>329</v>
      </c>
      <c r="F60" s="1938">
        <f>'Expenditures 15-22'!K160</f>
        <v>0</v>
      </c>
      <c r="G60" s="866"/>
    </row>
    <row r="61" spans="1:7">
      <c r="A61" s="896" t="s">
        <v>519</v>
      </c>
      <c r="B61" s="896" t="s">
        <v>1993</v>
      </c>
      <c r="C61" s="897" t="str">
        <f>'Expenditures 15-22'!B170</f>
        <v>5300</v>
      </c>
      <c r="D61" s="898" t="s">
        <v>328</v>
      </c>
      <c r="E61" s="880"/>
      <c r="F61" s="1937">
        <f>'Expenditures 15-22'!K170</f>
        <v>2663729</v>
      </c>
      <c r="G61" s="866"/>
    </row>
    <row r="62" spans="1:7">
      <c r="A62" s="870" t="s">
        <v>480</v>
      </c>
      <c r="B62" s="870" t="s">
        <v>1994</v>
      </c>
      <c r="C62" s="887">
        <f>'Expenditures 15-22'!B185</f>
        <v>3000</v>
      </c>
      <c r="D62" s="877" t="s">
        <v>468</v>
      </c>
      <c r="E62" s="869"/>
      <c r="F62" s="1937">
        <f>'Expenditures 15-22'!K185-SUM('Expenditures 15-22'!G185,'Expenditures 15-22'!I185)</f>
        <v>0</v>
      </c>
      <c r="G62" s="866"/>
    </row>
    <row r="63" spans="1:7">
      <c r="A63" s="870" t="s">
        <v>480</v>
      </c>
      <c r="B63" s="870" t="s">
        <v>1995</v>
      </c>
      <c r="C63" s="887" t="str">
        <f>'Expenditures 15-22'!B196</f>
        <v>4000</v>
      </c>
      <c r="D63" s="888" t="str">
        <f>'Expenditures 15-22'!A196</f>
        <v>Total Payments to Other Govt Units</v>
      </c>
      <c r="E63" s="869"/>
      <c r="F63" s="1937">
        <f>'Expenditures 15-22'!K196</f>
        <v>0</v>
      </c>
      <c r="G63" s="866"/>
    </row>
    <row r="64" spans="1:7">
      <c r="A64" s="896" t="s">
        <v>480</v>
      </c>
      <c r="B64" s="896" t="s">
        <v>1996</v>
      </c>
      <c r="C64" s="897" t="str">
        <f>'Expenditures 15-22'!B206</f>
        <v>5300</v>
      </c>
      <c r="D64" s="893" t="s">
        <v>328</v>
      </c>
      <c r="E64" s="869"/>
      <c r="F64" s="1937">
        <f>'Expenditures 15-22'!K206</f>
        <v>0</v>
      </c>
      <c r="G64" s="866"/>
    </row>
    <row r="65" spans="1:8">
      <c r="A65" s="870" t="s">
        <v>480</v>
      </c>
      <c r="B65" s="870" t="s">
        <v>1997</v>
      </c>
      <c r="C65" s="887" t="s">
        <v>1038</v>
      </c>
      <c r="D65" s="886" t="s">
        <v>1156</v>
      </c>
      <c r="E65" s="869"/>
      <c r="F65" s="1937">
        <f>'Expenditures 15-22'!G210</f>
        <v>0</v>
      </c>
      <c r="G65" s="866"/>
    </row>
    <row r="66" spans="1:8">
      <c r="A66" s="870" t="s">
        <v>480</v>
      </c>
      <c r="B66" s="870" t="s">
        <v>1998</v>
      </c>
      <c r="C66" s="887" t="s">
        <v>1038</v>
      </c>
      <c r="D66" s="886" t="s">
        <v>308</v>
      </c>
      <c r="E66" s="869"/>
      <c r="F66" s="1937">
        <f>'Expenditures 15-22'!I210</f>
        <v>0</v>
      </c>
      <c r="G66" s="866"/>
    </row>
    <row r="67" spans="1:8">
      <c r="A67" s="870" t="s">
        <v>481</v>
      </c>
      <c r="B67" s="870" t="s">
        <v>1999</v>
      </c>
      <c r="C67" s="887" t="str">
        <f>'Expenditures 15-22'!B216</f>
        <v>1125</v>
      </c>
      <c r="D67" s="893" t="str">
        <f>'Expenditures 15-22'!A216</f>
        <v>Pre-K Programs</v>
      </c>
      <c r="E67" s="869"/>
      <c r="F67" s="1937">
        <f>'Expenditures 15-22'!K216</f>
        <v>29407</v>
      </c>
      <c r="G67" s="866"/>
    </row>
    <row r="68" spans="1:8">
      <c r="A68" s="870" t="s">
        <v>481</v>
      </c>
      <c r="B68" s="870" t="s">
        <v>1554</v>
      </c>
      <c r="C68" s="887" t="str">
        <f>'Expenditures 15-22'!B218</f>
        <v>1225</v>
      </c>
      <c r="D68" s="893" t="str">
        <f>'Expenditures 15-22'!A218</f>
        <v>Special Education Programs - Pre-K</v>
      </c>
      <c r="E68" s="869"/>
      <c r="F68" s="1937">
        <f>'Expenditures 15-22'!K218</f>
        <v>34928</v>
      </c>
      <c r="G68" s="866"/>
    </row>
    <row r="69" spans="1:8">
      <c r="A69" s="870" t="s">
        <v>481</v>
      </c>
      <c r="B69" s="870" t="s">
        <v>2000</v>
      </c>
      <c r="C69" s="887" t="str">
        <f>'Expenditures 15-22'!B220</f>
        <v>1275</v>
      </c>
      <c r="D69" s="893" t="str">
        <f>'Expenditures 15-22'!A220</f>
        <v>Remedial and Supplemental Programs - Pre-K</v>
      </c>
      <c r="E69" s="869"/>
      <c r="F69" s="1937">
        <f>'Expenditures 15-22'!K220</f>
        <v>0</v>
      </c>
      <c r="G69" s="866"/>
    </row>
    <row r="70" spans="1:8">
      <c r="A70" s="870" t="s">
        <v>481</v>
      </c>
      <c r="B70" s="870" t="s">
        <v>2001</v>
      </c>
      <c r="C70" s="887">
        <f>'Expenditures 15-22'!B221</f>
        <v>1300</v>
      </c>
      <c r="D70" s="888" t="str">
        <f>'Expenditures 15-22'!A221</f>
        <v>Adult/Continuing Education Programs</v>
      </c>
      <c r="E70" s="869"/>
      <c r="F70" s="1937">
        <f>'Expenditures 15-22'!K221</f>
        <v>0</v>
      </c>
      <c r="G70" s="866"/>
    </row>
    <row r="71" spans="1:8">
      <c r="A71" s="870" t="s">
        <v>481</v>
      </c>
      <c r="B71" s="870" t="s">
        <v>2002</v>
      </c>
      <c r="C71" s="887">
        <f>'Expenditures 15-22'!B224</f>
        <v>1600</v>
      </c>
      <c r="D71" s="888" t="str">
        <f>'Expenditures 15-22'!A224</f>
        <v>Summer School Programs</v>
      </c>
      <c r="E71" s="869"/>
      <c r="F71" s="1937">
        <f>'Expenditures 15-22'!K224</f>
        <v>31355</v>
      </c>
      <c r="G71" s="866"/>
    </row>
    <row r="72" spans="1:8">
      <c r="A72" s="870" t="s">
        <v>481</v>
      </c>
      <c r="B72" s="870" t="s">
        <v>2003</v>
      </c>
      <c r="C72" s="887">
        <f>'Expenditures 15-22'!B280</f>
        <v>3000</v>
      </c>
      <c r="D72" s="877" t="s">
        <v>468</v>
      </c>
      <c r="E72" s="869"/>
      <c r="F72" s="1937">
        <f>'Expenditures 15-22'!K280</f>
        <v>443322</v>
      </c>
      <c r="G72" s="866"/>
    </row>
    <row r="73" spans="1:8">
      <c r="A73" s="870" t="s">
        <v>481</v>
      </c>
      <c r="B73" s="870" t="s">
        <v>2004</v>
      </c>
      <c r="C73" s="887" t="str">
        <f>'Expenditures 15-22'!B285</f>
        <v>4000</v>
      </c>
      <c r="D73" s="888" t="str">
        <f>'Expenditures 15-22'!A285</f>
        <v>Total Payments to Other Govt Units</v>
      </c>
      <c r="E73" s="869"/>
      <c r="F73" s="1937">
        <f>'Expenditures 15-22'!K285</f>
        <v>0</v>
      </c>
      <c r="G73" s="866"/>
    </row>
    <row r="74" spans="1:8">
      <c r="A74" s="870" t="s">
        <v>455</v>
      </c>
      <c r="B74" s="870" t="s">
        <v>2005</v>
      </c>
      <c r="C74" s="887" t="s">
        <v>914</v>
      </c>
      <c r="D74" s="888" t="s">
        <v>1566</v>
      </c>
      <c r="E74" s="869"/>
      <c r="F74" s="1941">
        <f>'Expenditures 15-22'!K334</f>
        <v>0</v>
      </c>
      <c r="G74" s="866"/>
    </row>
    <row r="75" spans="1:8" ht="5.25" customHeight="1">
      <c r="A75" s="866"/>
      <c r="B75" s="876"/>
      <c r="C75" s="876"/>
      <c r="D75" s="866"/>
      <c r="E75" s="869"/>
      <c r="F75" s="883"/>
      <c r="G75" s="868"/>
    </row>
    <row r="76" spans="1:8" ht="12" thickBot="1">
      <c r="A76" s="1791"/>
      <c r="B76" s="1797"/>
      <c r="C76" s="1793"/>
      <c r="D76" s="1798" t="s">
        <v>2006</v>
      </c>
      <c r="E76" s="1795" t="s">
        <v>1014</v>
      </c>
      <c r="F76" s="1799">
        <f>SUM(F18:F74)</f>
        <v>14739115</v>
      </c>
      <c r="G76" s="866"/>
    </row>
    <row r="77" spans="1:8" s="894" customFormat="1" ht="12" customHeight="1" thickTop="1" thickBot="1">
      <c r="A77" s="1800"/>
      <c r="B77" s="1797"/>
      <c r="C77" s="1793"/>
      <c r="D77" s="1798" t="s">
        <v>2007</v>
      </c>
      <c r="E77" s="1795"/>
      <c r="F77" s="1801">
        <f>(F14-F76)</f>
        <v>112115543</v>
      </c>
      <c r="G77" s="870"/>
    </row>
    <row r="78" spans="1:8" s="894" customFormat="1" ht="12" customHeight="1" thickTop="1">
      <c r="A78" s="1802"/>
      <c r="B78" s="1797"/>
      <c r="C78" s="1793"/>
      <c r="D78" s="1798" t="s">
        <v>2053</v>
      </c>
      <c r="E78" s="1795"/>
      <c r="F78" s="899">
        <v>7353.19</v>
      </c>
      <c r="G78" s="900"/>
      <c r="H78" s="870"/>
    </row>
    <row r="79" spans="1:8" s="894" customFormat="1" ht="12" customHeight="1" thickBot="1">
      <c r="A79" s="1803"/>
      <c r="B79" s="1797"/>
      <c r="C79" s="1793"/>
      <c r="D79" s="1798" t="s">
        <v>2008</v>
      </c>
      <c r="E79" s="1795" t="s">
        <v>1014</v>
      </c>
      <c r="F79" s="1804">
        <f>IF(F78&gt;0,F77/F78," Complete Line 78")</f>
        <v>15247.197882823646</v>
      </c>
      <c r="G79" s="870"/>
    </row>
    <row r="80" spans="1:8" s="894" customFormat="1" ht="8.25" customHeight="1" thickTop="1">
      <c r="A80" s="901"/>
      <c r="B80" s="870"/>
      <c r="C80" s="872"/>
      <c r="D80" s="902"/>
      <c r="E80" s="869"/>
      <c r="F80" s="903"/>
      <c r="G80" s="870"/>
    </row>
    <row r="81" spans="1:7" s="894" customFormat="1" ht="12" thickBot="1">
      <c r="A81" s="2393" t="s">
        <v>1166</v>
      </c>
      <c r="B81" s="2394"/>
      <c r="C81" s="2394"/>
      <c r="D81" s="2394"/>
      <c r="E81" s="2394"/>
      <c r="F81" s="2395"/>
      <c r="G81" s="870"/>
    </row>
    <row r="82" spans="1:7" s="894" customFormat="1" ht="5.25" customHeight="1" thickTop="1">
      <c r="A82" s="870"/>
      <c r="B82" s="870"/>
      <c r="C82" s="872"/>
      <c r="D82" s="870"/>
      <c r="E82" s="872"/>
      <c r="F82" s="870"/>
      <c r="G82" s="904"/>
    </row>
    <row r="83" spans="1:7" ht="12" customHeight="1">
      <c r="A83" s="905" t="s">
        <v>866</v>
      </c>
      <c r="B83" s="906"/>
      <c r="C83" s="907"/>
      <c r="D83" s="908"/>
      <c r="E83" s="907"/>
      <c r="F83" s="906"/>
      <c r="G83" s="906"/>
    </row>
    <row r="84" spans="1:7">
      <c r="A84" s="909" t="s">
        <v>480</v>
      </c>
      <c r="B84" s="910" t="s">
        <v>148</v>
      </c>
      <c r="C84" s="911">
        <f>'Revenues 9-14'!B42</f>
        <v>1411</v>
      </c>
      <c r="D84" s="912" t="str">
        <f>'Revenues 9-14'!A42</f>
        <v>Regular -Transp Fees from Pupils or Parents (In State)</v>
      </c>
      <c r="E84" s="907" t="s">
        <v>1014</v>
      </c>
      <c r="F84" s="1931">
        <f>'Revenues 9-14'!F42</f>
        <v>64178</v>
      </c>
      <c r="G84" s="913"/>
    </row>
    <row r="85" spans="1:7">
      <c r="A85" s="909" t="s">
        <v>480</v>
      </c>
      <c r="B85" s="909" t="s">
        <v>192</v>
      </c>
      <c r="C85" s="914">
        <f>'Revenues 9-14'!B44</f>
        <v>1413</v>
      </c>
      <c r="D85" s="912" t="str">
        <f>'Revenues 9-14'!A44</f>
        <v>Regular - Transp Fees from Other Sources (In State)</v>
      </c>
      <c r="E85" s="907"/>
      <c r="F85" s="1810">
        <f>'Revenues 9-14'!F44</f>
        <v>0</v>
      </c>
      <c r="G85" s="915"/>
    </row>
    <row r="86" spans="1:7">
      <c r="A86" s="909" t="s">
        <v>480</v>
      </c>
      <c r="B86" s="909" t="s">
        <v>168</v>
      </c>
      <c r="C86" s="911">
        <f>'Revenues 9-14'!B45</f>
        <v>1415</v>
      </c>
      <c r="D86" s="912" t="str">
        <f>'Revenues 9-14'!A45</f>
        <v>Regular - Transp Fees from Co-curricular Activities (In State)</v>
      </c>
      <c r="E86" s="907"/>
      <c r="F86" s="1810">
        <f>'Revenues 9-14'!F45</f>
        <v>0</v>
      </c>
      <c r="G86" s="915"/>
    </row>
    <row r="87" spans="1:7">
      <c r="A87" s="909" t="s">
        <v>480</v>
      </c>
      <c r="B87" s="909" t="s">
        <v>169</v>
      </c>
      <c r="C87" s="911">
        <v>1416</v>
      </c>
      <c r="D87" s="912" t="str">
        <f>'Revenues 9-14'!A46</f>
        <v>Regular Transp Fees from Other Sources (Out of State)</v>
      </c>
      <c r="E87" s="907"/>
      <c r="F87" s="1810">
        <f>'Revenues 9-14'!F46</f>
        <v>0</v>
      </c>
      <c r="G87" s="915"/>
    </row>
    <row r="88" spans="1:7">
      <c r="A88" s="909" t="s">
        <v>480</v>
      </c>
      <c r="B88" s="909" t="s">
        <v>170</v>
      </c>
      <c r="C88" s="911">
        <f>'Revenues 9-14'!B51</f>
        <v>1431</v>
      </c>
      <c r="D88" s="912" t="str">
        <f>'Revenues 9-14'!A51</f>
        <v>CTE - Transp Fees from Pupils or Parents (In State)</v>
      </c>
      <c r="E88" s="907"/>
      <c r="F88" s="1810">
        <f>'Revenues 9-14'!F51</f>
        <v>0</v>
      </c>
      <c r="G88" s="915"/>
    </row>
    <row r="89" spans="1:7">
      <c r="A89" s="909" t="s">
        <v>480</v>
      </c>
      <c r="B89" s="909" t="s">
        <v>171</v>
      </c>
      <c r="C89" s="911">
        <f>'Revenues 9-14'!B53</f>
        <v>1433</v>
      </c>
      <c r="D89" s="912" t="str">
        <f>'Revenues 9-14'!A53</f>
        <v>CTE - Transp Fees from Other Sources (In State)</v>
      </c>
      <c r="E89" s="907"/>
      <c r="F89" s="1810">
        <f>'Revenues 9-14'!F53</f>
        <v>0</v>
      </c>
      <c r="G89" s="915"/>
    </row>
    <row r="90" spans="1:7">
      <c r="A90" s="909" t="s">
        <v>480</v>
      </c>
      <c r="B90" s="909" t="s">
        <v>172</v>
      </c>
      <c r="C90" s="911">
        <f>'Revenues 9-14'!B54</f>
        <v>1434</v>
      </c>
      <c r="D90" s="912" t="str">
        <f>'Revenues 9-14'!A54</f>
        <v>CTE - Transp Fees from Other Sources (Out of State)</v>
      </c>
      <c r="E90" s="907"/>
      <c r="F90" s="1810">
        <f>'Revenues 9-14'!F54</f>
        <v>0</v>
      </c>
      <c r="G90" s="915"/>
    </row>
    <row r="91" spans="1:7">
      <c r="A91" s="909" t="s">
        <v>480</v>
      </c>
      <c r="B91" s="909" t="s">
        <v>173</v>
      </c>
      <c r="C91" s="916">
        <f>'Revenues 9-14'!B55</f>
        <v>1441</v>
      </c>
      <c r="D91" s="912" t="str">
        <f>'Revenues 9-14'!A55</f>
        <v>Special Ed - Transp Fees from Pupils or Parents (In State)</v>
      </c>
      <c r="E91" s="907"/>
      <c r="F91" s="1810">
        <f>'Revenues 9-14'!F55</f>
        <v>0</v>
      </c>
      <c r="G91" s="915"/>
    </row>
    <row r="92" spans="1:7">
      <c r="A92" s="909" t="s">
        <v>480</v>
      </c>
      <c r="B92" s="909" t="s">
        <v>174</v>
      </c>
      <c r="C92" s="911">
        <f>'Revenues 9-14'!B57</f>
        <v>1443</v>
      </c>
      <c r="D92" s="912" t="str">
        <f>'Revenues 9-14'!A57</f>
        <v>Special Ed - Transp Fees from Other Sources (In State)</v>
      </c>
      <c r="E92" s="907"/>
      <c r="F92" s="1810">
        <f>'Revenues 9-14'!F57</f>
        <v>0</v>
      </c>
      <c r="G92" s="917"/>
    </row>
    <row r="93" spans="1:7">
      <c r="A93" s="909" t="s">
        <v>480</v>
      </c>
      <c r="B93" s="909" t="s">
        <v>175</v>
      </c>
      <c r="C93" s="911">
        <f>'Revenues 9-14'!B58</f>
        <v>1444</v>
      </c>
      <c r="D93" s="912" t="str">
        <f>'Revenues 9-14'!A58</f>
        <v>Special Ed - Transp Fees from Other Sources (Out of State)</v>
      </c>
      <c r="E93" s="907"/>
      <c r="F93" s="1810">
        <f>'Revenues 9-14'!F58</f>
        <v>0</v>
      </c>
      <c r="G93" s="917"/>
    </row>
    <row r="94" spans="1:7">
      <c r="A94" s="909" t="s">
        <v>478</v>
      </c>
      <c r="B94" s="909" t="s">
        <v>176</v>
      </c>
      <c r="C94" s="911">
        <v>1600</v>
      </c>
      <c r="D94" s="918" t="str">
        <f>'Revenues 9-14'!A75</f>
        <v>Total Food Service</v>
      </c>
      <c r="E94" s="907"/>
      <c r="F94" s="1810">
        <f>'Revenues 9-14'!C75</f>
        <v>633965</v>
      </c>
      <c r="G94" s="913"/>
    </row>
    <row r="95" spans="1:7">
      <c r="A95" s="909" t="s">
        <v>142</v>
      </c>
      <c r="B95" s="909" t="s">
        <v>177</v>
      </c>
      <c r="C95" s="911">
        <v>1700</v>
      </c>
      <c r="D95" s="919" t="str">
        <f>'Revenues 9-14'!A82</f>
        <v>Total District/School Activity Income</v>
      </c>
      <c r="E95" s="907"/>
      <c r="F95" s="1810">
        <f>SUM('Revenues 9-14'!C82,'Revenues 9-14'!D82)</f>
        <v>2415274</v>
      </c>
      <c r="G95" s="913"/>
    </row>
    <row r="96" spans="1:7">
      <c r="A96" s="909" t="s">
        <v>478</v>
      </c>
      <c r="B96" s="909" t="s">
        <v>178</v>
      </c>
      <c r="C96" s="911">
        <f>'Revenues 9-14'!B84</f>
        <v>1811</v>
      </c>
      <c r="D96" s="912" t="str">
        <f>'Revenues 9-14'!A84</f>
        <v>Rentals - Regular Textbooks</v>
      </c>
      <c r="E96" s="907"/>
      <c r="F96" s="1810">
        <f>'Revenues 9-14'!C84</f>
        <v>0</v>
      </c>
      <c r="G96" s="913"/>
    </row>
    <row r="97" spans="1:7">
      <c r="A97" s="909" t="s">
        <v>478</v>
      </c>
      <c r="B97" s="909" t="s">
        <v>179</v>
      </c>
      <c r="C97" s="911">
        <f>'Revenues 9-14'!B87</f>
        <v>1819</v>
      </c>
      <c r="D97" s="912" t="str">
        <f>'Revenues 9-14'!A87</f>
        <v>Rentals - Other (Describe &amp; Itemize)</v>
      </c>
      <c r="E97" s="907"/>
      <c r="F97" s="1810">
        <f>'Revenues 9-14'!C87</f>
        <v>0</v>
      </c>
      <c r="G97" s="913"/>
    </row>
    <row r="98" spans="1:7">
      <c r="A98" s="909" t="s">
        <v>478</v>
      </c>
      <c r="B98" s="909" t="s">
        <v>180</v>
      </c>
      <c r="C98" s="911">
        <f>'Revenues 9-14'!B88</f>
        <v>1821</v>
      </c>
      <c r="D98" s="912" t="str">
        <f>'Revenues 9-14'!A88</f>
        <v>Sales - Regular Textbooks</v>
      </c>
      <c r="E98" s="907"/>
      <c r="F98" s="1810">
        <f>'Revenues 9-14'!C88</f>
        <v>0</v>
      </c>
      <c r="G98" s="913"/>
    </row>
    <row r="99" spans="1:7">
      <c r="A99" s="909" t="s">
        <v>478</v>
      </c>
      <c r="B99" s="909" t="s">
        <v>181</v>
      </c>
      <c r="C99" s="911">
        <f>'Revenues 9-14'!B91</f>
        <v>1829</v>
      </c>
      <c r="D99" s="912" t="str">
        <f>'Revenues 9-14'!A91</f>
        <v>Sales - Other (Describe &amp; Itemize)</v>
      </c>
      <c r="E99" s="907"/>
      <c r="F99" s="1810">
        <f>'Revenues 9-14'!C91</f>
        <v>0</v>
      </c>
      <c r="G99" s="913"/>
    </row>
    <row r="100" spans="1:7">
      <c r="A100" s="909" t="s">
        <v>478</v>
      </c>
      <c r="B100" s="909" t="s">
        <v>182</v>
      </c>
      <c r="C100" s="911">
        <f>'Revenues 9-14'!B92</f>
        <v>1890</v>
      </c>
      <c r="D100" s="912" t="str">
        <f>'Revenues 9-14'!A92</f>
        <v>Other (Describe &amp; Itemize)</v>
      </c>
      <c r="E100" s="907"/>
      <c r="F100" s="1810">
        <f>'Revenues 9-14'!C92</f>
        <v>0</v>
      </c>
      <c r="G100" s="913"/>
    </row>
    <row r="101" spans="1:7">
      <c r="A101" s="909" t="s">
        <v>142</v>
      </c>
      <c r="B101" s="909" t="s">
        <v>183</v>
      </c>
      <c r="C101" s="911">
        <f>'Revenues 9-14'!B95</f>
        <v>1910</v>
      </c>
      <c r="D101" s="912" t="str">
        <f>'Revenues 9-14'!A95</f>
        <v>Rentals</v>
      </c>
      <c r="E101" s="907"/>
      <c r="F101" s="1810">
        <f>SUM('Revenues 9-14'!C95:D95)</f>
        <v>43122</v>
      </c>
      <c r="G101" s="913"/>
    </row>
    <row r="102" spans="1:7">
      <c r="A102" s="909" t="s">
        <v>523</v>
      </c>
      <c r="B102" s="909" t="s">
        <v>184</v>
      </c>
      <c r="C102" s="911">
        <f>'Revenues 9-14'!B98</f>
        <v>1940</v>
      </c>
      <c r="D102" s="912" t="str">
        <f>'Revenues 9-14'!A98</f>
        <v>Services Provided Other Districts</v>
      </c>
      <c r="E102" s="907"/>
      <c r="F102" s="1810">
        <f>SUM('Revenues 9-14'!C98,'Revenues 9-14'!D98,'Revenues 9-14'!F98)</f>
        <v>43557</v>
      </c>
      <c r="G102" s="913"/>
    </row>
    <row r="103" spans="1:7">
      <c r="A103" s="909" t="s">
        <v>1065</v>
      </c>
      <c r="B103" s="909" t="s">
        <v>833</v>
      </c>
      <c r="C103" s="911">
        <f>'Revenues 9-14'!B104</f>
        <v>1991</v>
      </c>
      <c r="D103" s="920" t="str">
        <f>'Revenues 9-14'!A104</f>
        <v>Payment from Other Districts</v>
      </c>
      <c r="E103" s="907"/>
      <c r="F103" s="1810">
        <f>SUM('Revenues 9-14'!C104,'Revenues 9-14'!D104,'Revenues 9-14'!E104,'Revenues 9-14'!F104,'Revenues 9-14'!G104)</f>
        <v>0</v>
      </c>
      <c r="G103" s="913"/>
    </row>
    <row r="104" spans="1:7">
      <c r="A104" s="909" t="s">
        <v>478</v>
      </c>
      <c r="B104" s="909" t="s">
        <v>840</v>
      </c>
      <c r="C104" s="911">
        <f>'Revenues 9-14'!B106</f>
        <v>1993</v>
      </c>
      <c r="D104" s="912" t="str">
        <f>'Revenues 9-14'!A106</f>
        <v>Other Local Fees (Describe &amp; Itemize)</v>
      </c>
      <c r="E104" s="907"/>
      <c r="F104" s="1810">
        <f>('Revenues 9-14'!C106)</f>
        <v>52814</v>
      </c>
      <c r="G104" s="913"/>
    </row>
    <row r="105" spans="1:7">
      <c r="A105" s="909" t="s">
        <v>523</v>
      </c>
      <c r="B105" s="909" t="s">
        <v>841</v>
      </c>
      <c r="C105" s="914">
        <v>3100</v>
      </c>
      <c r="D105" s="920" t="str">
        <f>'Revenues 9-14'!A131</f>
        <v>Total Special Education</v>
      </c>
      <c r="E105" s="907"/>
      <c r="F105" s="1810">
        <f>SUM('Revenues 9-14'!C131:D131,'Revenues 9-14'!F131)</f>
        <v>4421425</v>
      </c>
      <c r="G105" s="913"/>
    </row>
    <row r="106" spans="1:7">
      <c r="A106" s="909" t="s">
        <v>693</v>
      </c>
      <c r="B106" s="909" t="s">
        <v>1482</v>
      </c>
      <c r="C106" s="921">
        <v>3200</v>
      </c>
      <c r="D106" s="912" t="str">
        <f>'Revenues 9-14'!A140</f>
        <v>Total Career and Technical Education</v>
      </c>
      <c r="E106" s="907"/>
      <c r="F106" s="1810">
        <f>SUM('Revenues 9-14'!C140,'Revenues 9-14'!D140,'Revenues 9-14'!G140)</f>
        <v>0</v>
      </c>
      <c r="G106" s="913"/>
    </row>
    <row r="107" spans="1:7">
      <c r="A107" s="922" t="s">
        <v>684</v>
      </c>
      <c r="B107" s="909" t="s">
        <v>842</v>
      </c>
      <c r="C107" s="921">
        <v>3300</v>
      </c>
      <c r="D107" s="912" t="str">
        <f>'Revenues 9-14'!A144</f>
        <v>Total Bilingual Ed</v>
      </c>
      <c r="E107" s="907"/>
      <c r="F107" s="1810">
        <f>SUM('Revenues 9-14'!C144,'Revenues 9-14'!G144)</f>
        <v>312630</v>
      </c>
      <c r="G107" s="913"/>
    </row>
    <row r="108" spans="1:7">
      <c r="A108" s="909" t="s">
        <v>478</v>
      </c>
      <c r="B108" s="909" t="s">
        <v>843</v>
      </c>
      <c r="C108" s="921">
        <f>'Revenues 9-14'!B145</f>
        <v>3360</v>
      </c>
      <c r="D108" s="912" t="str">
        <f>'Revenues 9-14'!A145</f>
        <v>State Free Lunch &amp; Breakfast</v>
      </c>
      <c r="E108" s="907"/>
      <c r="F108" s="1810">
        <f>'Revenues 9-14'!C145</f>
        <v>18348</v>
      </c>
      <c r="G108" s="913"/>
    </row>
    <row r="109" spans="1:7">
      <c r="A109" s="909" t="s">
        <v>693</v>
      </c>
      <c r="B109" s="909" t="s">
        <v>844</v>
      </c>
      <c r="C109" s="921">
        <f>'Revenues 9-14'!B146</f>
        <v>3365</v>
      </c>
      <c r="D109" s="912" t="str">
        <f>'Revenues 9-14'!A146</f>
        <v>School Breakfast Initiative</v>
      </c>
      <c r="E109" s="907"/>
      <c r="F109" s="1810">
        <f>SUM('Revenues 9-14'!C146,'Revenues 9-14'!D146,'Revenues 9-14'!G146)</f>
        <v>0</v>
      </c>
      <c r="G109" s="913"/>
    </row>
    <row r="110" spans="1:7">
      <c r="A110" s="909" t="s">
        <v>142</v>
      </c>
      <c r="B110" s="909" t="s">
        <v>845</v>
      </c>
      <c r="C110" s="921">
        <f>'Revenues 9-14'!B147</f>
        <v>3370</v>
      </c>
      <c r="D110" s="912" t="str">
        <f>'Revenues 9-14'!A147</f>
        <v>Driver Education</v>
      </c>
      <c r="E110" s="907"/>
      <c r="F110" s="1810">
        <f>SUM('Revenues 9-14'!C147,'Revenues 9-14'!D147)</f>
        <v>0</v>
      </c>
      <c r="G110" s="913"/>
    </row>
    <row r="111" spans="1:7">
      <c r="A111" s="909" t="s">
        <v>688</v>
      </c>
      <c r="B111" s="909" t="s">
        <v>801</v>
      </c>
      <c r="C111" s="923">
        <v>3500</v>
      </c>
      <c r="D111" s="912" t="str">
        <f>'Revenues 9-14'!A154</f>
        <v>Total Transportation</v>
      </c>
      <c r="E111" s="907"/>
      <c r="F111" s="1810">
        <f>SUM('Revenues 9-14'!C154,'Revenues 9-14'!D154,'Revenues 9-14'!F154,'Revenues 9-14'!G154)</f>
        <v>1444432</v>
      </c>
      <c r="G111" s="913"/>
    </row>
    <row r="112" spans="1:7">
      <c r="A112" s="909" t="s">
        <v>478</v>
      </c>
      <c r="B112" s="909" t="s">
        <v>846</v>
      </c>
      <c r="C112" s="921">
        <f>'Revenues 9-14'!B155</f>
        <v>3610</v>
      </c>
      <c r="D112" s="912" t="str">
        <f>'Revenues 9-14'!A155</f>
        <v>Learning Improvement - Change Grants</v>
      </c>
      <c r="E112" s="907"/>
      <c r="F112" s="1810">
        <f>'Revenues 9-14'!C155</f>
        <v>0</v>
      </c>
      <c r="G112" s="913"/>
    </row>
    <row r="113" spans="1:7">
      <c r="A113" s="909" t="s">
        <v>688</v>
      </c>
      <c r="B113" s="909" t="s">
        <v>847</v>
      </c>
      <c r="C113" s="921">
        <f>'Revenues 9-14'!B156</f>
        <v>3660</v>
      </c>
      <c r="D113" s="912" t="str">
        <f>'Revenues 9-14'!A156</f>
        <v>Scientific Literacy</v>
      </c>
      <c r="E113" s="907"/>
      <c r="F113" s="1810">
        <f>SUM('Revenues 9-14'!C156,'Revenues 9-14'!D156,'Revenues 9-14'!F156,'Revenues 9-14'!G156)</f>
        <v>0</v>
      </c>
      <c r="G113" s="913"/>
    </row>
    <row r="114" spans="1:7">
      <c r="A114" s="909" t="s">
        <v>5</v>
      </c>
      <c r="B114" s="909" t="s">
        <v>848</v>
      </c>
      <c r="C114" s="921">
        <f>'Revenues 9-14'!B157</f>
        <v>3695</v>
      </c>
      <c r="D114" s="912" t="str">
        <f>'Revenues 9-14'!A157</f>
        <v>Truant Alternative/Optional Education</v>
      </c>
      <c r="E114" s="907"/>
      <c r="F114" s="1810">
        <f>SUM('Revenues 9-14'!C157,'Revenues 9-14'!F157,'Revenues 9-14'!G157)</f>
        <v>102000</v>
      </c>
      <c r="G114" s="913"/>
    </row>
    <row r="115" spans="1:7">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c r="A118" s="924" t="s">
        <v>5</v>
      </c>
      <c r="B118" s="924" t="s">
        <v>849</v>
      </c>
      <c r="C118" s="925">
        <f>'Revenues 9-14'!B162</f>
        <v>3726</v>
      </c>
      <c r="D118" s="926" t="str">
        <f>'Revenues 9-14'!A162</f>
        <v>Continued Reading Improvement Block Grant (2% Set Aside)</v>
      </c>
      <c r="E118" s="927"/>
      <c r="F118" s="1930">
        <f>SUM('Revenues 9-14'!C162,'Revenues 9-14'!F162,'Revenues 9-14'!G162)</f>
        <v>0</v>
      </c>
      <c r="G118" s="913"/>
    </row>
    <row r="119" spans="1:7">
      <c r="A119" s="909" t="s">
        <v>688</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c r="A120" s="909" t="s">
        <v>688</v>
      </c>
      <c r="B120" s="909" t="s">
        <v>850</v>
      </c>
      <c r="C120" s="921">
        <f>'Revenues 9-14'!B164</f>
        <v>3767</v>
      </c>
      <c r="D120" s="912" t="str">
        <f>'Revenues 9-14'!A164</f>
        <v>Chicago Educational Services Block Grant</v>
      </c>
      <c r="E120" s="907"/>
      <c r="F120" s="1810">
        <f>SUM('Revenues 9-14'!C164,'Revenues 9-14'!D164,'Revenues 9-14'!F164,'Revenues 9-14'!G164)</f>
        <v>0</v>
      </c>
      <c r="G120" s="913"/>
    </row>
    <row r="121" spans="1:7">
      <c r="A121" s="924" t="s">
        <v>1065</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c r="A122" s="924" t="s">
        <v>1065</v>
      </c>
      <c r="B122" s="924" t="s">
        <v>851</v>
      </c>
      <c r="C122" s="925">
        <f>'Revenues 9-14'!B166</f>
        <v>3780</v>
      </c>
      <c r="D122" s="926" t="str">
        <f>'Revenues 9-14'!A166</f>
        <v>Technology - Technology for Success</v>
      </c>
      <c r="E122" s="907"/>
      <c r="F122" s="1931">
        <f>SUM('Revenues 9-14'!C166:G166)</f>
        <v>0</v>
      </c>
      <c r="G122" s="913"/>
    </row>
    <row r="123" spans="1:7">
      <c r="A123" s="924" t="s">
        <v>524</v>
      </c>
      <c r="B123" s="924" t="s">
        <v>852</v>
      </c>
      <c r="C123" s="925">
        <f>'Revenues 9-14'!B167</f>
        <v>3815</v>
      </c>
      <c r="D123" s="926" t="str">
        <f>'Revenues 9-14'!A167</f>
        <v>State Charter Schools</v>
      </c>
      <c r="E123" s="907"/>
      <c r="F123" s="1931">
        <f>SUM('Revenues 9-14'!C167,'Revenues 9-14'!F167)</f>
        <v>0</v>
      </c>
      <c r="G123" s="913"/>
    </row>
    <row r="124" spans="1:7">
      <c r="A124" s="928" t="s">
        <v>479</v>
      </c>
      <c r="B124" s="928" t="s">
        <v>853</v>
      </c>
      <c r="C124" s="929">
        <f>'Revenues 9-14'!B170</f>
        <v>3925</v>
      </c>
      <c r="D124" s="930" t="str">
        <f>'Revenues 9-14'!A170</f>
        <v>School Infrastructure - Maintenance Projects</v>
      </c>
      <c r="E124" s="907"/>
      <c r="F124" s="1810">
        <f>'Revenues 9-14'!D170</f>
        <v>0</v>
      </c>
      <c r="G124" s="931"/>
    </row>
    <row r="125" spans="1:7">
      <c r="A125" s="928" t="s">
        <v>520</v>
      </c>
      <c r="B125" s="928" t="s">
        <v>854</v>
      </c>
      <c r="C125" s="929">
        <f>'Revenues 9-14'!B171</f>
        <v>3999</v>
      </c>
      <c r="D125" s="930" t="s">
        <v>563</v>
      </c>
      <c r="E125" s="932"/>
      <c r="F125" s="1810">
        <f>SUM('Revenues 9-14'!C171:G171,'Revenues 9-14'!J171)</f>
        <v>38320</v>
      </c>
      <c r="G125" s="931"/>
    </row>
    <row r="126" spans="1:7">
      <c r="A126" s="928" t="s">
        <v>478</v>
      </c>
      <c r="B126" s="928" t="s">
        <v>855</v>
      </c>
      <c r="C126" s="933">
        <f>'Revenues 9-14'!B180</f>
        <v>4045</v>
      </c>
      <c r="D126" s="930" t="str">
        <f>'Revenues 9-14'!A180 &amp; " (Subtract)"</f>
        <v>Head Start (Subtract)</v>
      </c>
      <c r="E126" s="907"/>
      <c r="F126" s="1810">
        <f>SUM(-'Revenues 9-14'!C180)</f>
        <v>-1585740</v>
      </c>
      <c r="G126" s="931"/>
    </row>
    <row r="127" spans="1:7">
      <c r="A127" s="928" t="s">
        <v>688</v>
      </c>
      <c r="B127" s="928" t="s">
        <v>856</v>
      </c>
      <c r="C127" s="933" t="s">
        <v>1038</v>
      </c>
      <c r="D127" s="930" t="str">
        <f>('Revenues 9-14'!A184)</f>
        <v>Total Restricted Grants-In-Aid Received Directly from Federal Govt</v>
      </c>
      <c r="E127" s="907"/>
      <c r="F127" s="1810">
        <f>SUM('Revenues 9-14'!C184,'Revenues 9-14'!D184,'Revenues 9-14'!F184,'Revenues 9-14'!G184)</f>
        <v>2554209</v>
      </c>
      <c r="G127" s="931"/>
    </row>
    <row r="128" spans="1:7">
      <c r="A128" s="928" t="s">
        <v>688</v>
      </c>
      <c r="B128" s="928" t="s">
        <v>857</v>
      </c>
      <c r="C128" s="933">
        <v>4100</v>
      </c>
      <c r="D128" s="934" t="str">
        <f>'Revenues 9-14'!A191</f>
        <v>Total Title V</v>
      </c>
      <c r="E128" s="907"/>
      <c r="F128" s="1810">
        <f>SUM('Revenues 9-14'!C191,'Revenues 9-14'!D191,'Revenues 9-14'!F191,'Revenues 9-14'!G191)</f>
        <v>52599</v>
      </c>
      <c r="G128" s="931"/>
    </row>
    <row r="129" spans="1:7">
      <c r="A129" s="928" t="s">
        <v>684</v>
      </c>
      <c r="B129" s="928" t="s">
        <v>802</v>
      </c>
      <c r="C129" s="933">
        <v>4200</v>
      </c>
      <c r="D129" s="930" t="str">
        <f>'Revenues 9-14'!A201</f>
        <v>Total Food Service</v>
      </c>
      <c r="E129" s="907"/>
      <c r="F129" s="1810">
        <f>SUM('Revenues 9-14'!C201,'Revenues 9-14'!G201)</f>
        <v>1432043</v>
      </c>
      <c r="G129" s="931"/>
    </row>
    <row r="130" spans="1:7">
      <c r="A130" s="928" t="s">
        <v>688</v>
      </c>
      <c r="B130" s="928" t="s">
        <v>803</v>
      </c>
      <c r="C130" s="933">
        <v>4300</v>
      </c>
      <c r="D130" s="934" t="str">
        <f>'Revenues 9-14'!A211</f>
        <v>Total Title I</v>
      </c>
      <c r="E130" s="907"/>
      <c r="F130" s="1810">
        <f>SUM('Revenues 9-14'!C211,'Revenues 9-14'!D211,'Revenues 9-14'!F211,'Revenues 9-14'!G211)</f>
        <v>1071857</v>
      </c>
      <c r="G130" s="931"/>
    </row>
    <row r="131" spans="1:7">
      <c r="A131" s="928" t="s">
        <v>688</v>
      </c>
      <c r="B131" s="928" t="s">
        <v>804</v>
      </c>
      <c r="C131" s="933">
        <v>4400</v>
      </c>
      <c r="D131" s="934" t="str">
        <f>'Revenues 9-14'!A216</f>
        <v>Total Title IV</v>
      </c>
      <c r="E131" s="907"/>
      <c r="F131" s="1810">
        <f>SUM('Revenues 9-14'!C216,'Revenues 9-14'!D216,'Revenues 9-14'!F216,'Revenues 9-14'!G216)</f>
        <v>350230</v>
      </c>
      <c r="G131" s="931"/>
    </row>
    <row r="132" spans="1:7">
      <c r="A132" s="928" t="s">
        <v>688</v>
      </c>
      <c r="B132" s="928" t="s">
        <v>190</v>
      </c>
      <c r="C132" s="933">
        <f>'Revenues 9-14'!B220</f>
        <v>4620</v>
      </c>
      <c r="D132" s="934" t="str">
        <f>'Revenues 9-14'!A220</f>
        <v>Fed - Spec Education - IDEA - Flow Through</v>
      </c>
      <c r="E132" s="907"/>
      <c r="F132" s="1810">
        <f>SUM('Revenues 9-14'!C220:D220,'Revenues 9-14'!F220:G220)</f>
        <v>1619770</v>
      </c>
      <c r="G132" s="931"/>
    </row>
    <row r="133" spans="1:7">
      <c r="A133" s="928" t="s">
        <v>688</v>
      </c>
      <c r="B133" s="928" t="s">
        <v>191</v>
      </c>
      <c r="C133" s="933">
        <f>'Revenues 9-14'!B221</f>
        <v>4625</v>
      </c>
      <c r="D133" s="934" t="str">
        <f>'Revenues 9-14'!A221</f>
        <v>Fed - Spec Education - IDEA - Room &amp; Board</v>
      </c>
      <c r="E133" s="907"/>
      <c r="F133" s="1810">
        <f>SUM('Revenues 9-14'!C221,'Revenues 9-14'!D221,'Revenues 9-14'!F221,'Revenues 9-14'!G221)</f>
        <v>311903</v>
      </c>
      <c r="G133" s="931"/>
    </row>
    <row r="134" spans="1:7">
      <c r="A134" s="928" t="s">
        <v>688</v>
      </c>
      <c r="B134" s="928" t="s">
        <v>858</v>
      </c>
      <c r="C134" s="933">
        <f>'Revenues 9-14'!B222</f>
        <v>4630</v>
      </c>
      <c r="D134" s="934" t="str">
        <f>'Revenues 9-14'!A222</f>
        <v>Fed - Spec Education - IDEA - Discretionary</v>
      </c>
      <c r="E134" s="907"/>
      <c r="F134" s="1810">
        <f>SUM('Revenues 9-14'!C222:D222,'Revenues 9-14'!F222:G222)</f>
        <v>0</v>
      </c>
      <c r="G134" s="931">
        <v>6297</v>
      </c>
    </row>
    <row r="135" spans="1:7">
      <c r="A135" s="928" t="s">
        <v>688</v>
      </c>
      <c r="B135" s="928" t="s">
        <v>805</v>
      </c>
      <c r="C135" s="933">
        <f>'Revenues 9-14'!B223</f>
        <v>4699</v>
      </c>
      <c r="D135" s="934" t="str">
        <f>'Revenues 9-14'!A223</f>
        <v>Fed - Spec Education - IDEA - Other (Describe &amp; Itemize)</v>
      </c>
      <c r="E135" s="907"/>
      <c r="F135" s="1810">
        <f>SUM('Revenues 9-14'!C223:D223,'Revenues 9-14'!F223:G223)</f>
        <v>0</v>
      </c>
      <c r="G135" s="931"/>
    </row>
    <row r="136" spans="1:7">
      <c r="A136" s="928" t="s">
        <v>693</v>
      </c>
      <c r="B136" s="928" t="s">
        <v>806</v>
      </c>
      <c r="C136" s="933">
        <v>4700</v>
      </c>
      <c r="D136" s="930" t="str">
        <f>'Revenues 9-14'!A228</f>
        <v>Total CTE - Perkins</v>
      </c>
      <c r="E136" s="907"/>
      <c r="F136" s="1810">
        <f>SUM('Revenues 9-14'!C228,'Revenues 9-14'!D228,'Revenues 9-14'!G228)</f>
        <v>0</v>
      </c>
      <c r="G136" s="931">
        <v>6303</v>
      </c>
    </row>
    <row r="137" spans="1:7" s="868" customFormat="1" hidden="1">
      <c r="A137" s="935" t="s">
        <v>215</v>
      </c>
      <c r="B137" s="935" t="s">
        <v>1483</v>
      </c>
      <c r="C137" s="936" t="s">
        <v>216</v>
      </c>
      <c r="D137" s="937" t="str">
        <f>'Revenues 9-14'!A231</f>
        <v>ARRA - Title I - Low Income</v>
      </c>
      <c r="E137" s="938"/>
      <c r="F137" s="1931">
        <f>SUM('Revenues 9-14'!$C$231:$D$231,'Revenues 9-14'!$F$231:$G$231)</f>
        <v>0</v>
      </c>
      <c r="G137" s="906"/>
    </row>
    <row r="138" spans="1:7" s="868" customFormat="1" hidden="1">
      <c r="A138" s="935" t="s">
        <v>215</v>
      </c>
      <c r="B138" s="935" t="s">
        <v>1484</v>
      </c>
      <c r="C138" s="936" t="s">
        <v>217</v>
      </c>
      <c r="D138" s="937" t="str">
        <f>'Revenues 9-14'!A232</f>
        <v>ARRA - Title I - Neglected, Private</v>
      </c>
      <c r="E138" s="938"/>
      <c r="F138" s="1810">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c r="A142" s="935" t="s">
        <v>215</v>
      </c>
      <c r="B142" s="935" t="s">
        <v>226</v>
      </c>
      <c r="C142" s="936" t="s">
        <v>223</v>
      </c>
      <c r="D142" s="937" t="str">
        <f>'Revenues 9-14'!A236</f>
        <v>ARRA - IDEA - Part B - Preschool</v>
      </c>
      <c r="E142" s="938"/>
      <c r="F142" s="1810">
        <v>0</v>
      </c>
      <c r="G142" s="906"/>
    </row>
    <row r="143" spans="1:7" s="868" customFormat="1" hidden="1">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c r="A144" s="935" t="s">
        <v>215</v>
      </c>
      <c r="B144" s="935" t="s">
        <v>859</v>
      </c>
      <c r="C144" s="936" t="s">
        <v>227</v>
      </c>
      <c r="D144" s="937" t="str">
        <f>'Revenues 9-14'!A238</f>
        <v>ARRA - Title IID - Technology-Formula</v>
      </c>
      <c r="E144" s="938"/>
      <c r="F144" s="1810">
        <f>SUM('Revenues 9-14'!C238:G238,'Revenues 9-14'!J238)</f>
        <v>0</v>
      </c>
      <c r="G144" s="906"/>
    </row>
    <row r="145" spans="1:7" s="868" customFormat="1" hidden="1">
      <c r="A145" s="935" t="s">
        <v>215</v>
      </c>
      <c r="B145" s="935" t="s">
        <v>1485</v>
      </c>
      <c r="C145" s="936" t="s">
        <v>229</v>
      </c>
      <c r="D145" s="937" t="str">
        <f>'Revenues 9-14'!A239</f>
        <v>ARRA - Title IID - Technology-Competitive</v>
      </c>
      <c r="E145" s="938"/>
      <c r="F145" s="1810">
        <f>SUM('Revenues 9-14'!C239:G239,'Revenues 9-14'!J239)</f>
        <v>0</v>
      </c>
      <c r="G145" s="906"/>
    </row>
    <row r="146" spans="1:7" s="868" customFormat="1" hidden="1">
      <c r="A146" s="935" t="s">
        <v>688</v>
      </c>
      <c r="B146" s="935" t="s">
        <v>1486</v>
      </c>
      <c r="C146" s="936" t="s">
        <v>230</v>
      </c>
      <c r="D146" s="937" t="str">
        <f>'Revenues 9-14'!A240</f>
        <v>ARRA - McKinney - Vento Homeless Education</v>
      </c>
      <c r="E146" s="938"/>
      <c r="F146" s="1810">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c r="A150" s="935" t="s">
        <v>215</v>
      </c>
      <c r="B150" s="935" t="s">
        <v>1487</v>
      </c>
      <c r="C150" s="936" t="s">
        <v>236</v>
      </c>
      <c r="D150" s="937" t="str">
        <f>'Revenues 9-14'!A247</f>
        <v>Build America Bond Interest Reimbursement</v>
      </c>
      <c r="E150" s="938"/>
      <c r="F150" s="1810">
        <f>SUM('Revenues 9-14'!C247:G247,'Revenues 9-14'!J247)</f>
        <v>0</v>
      </c>
      <c r="G150" s="906"/>
    </row>
    <row r="151" spans="1:7" s="868" customFormat="1" hidden="1">
      <c r="A151" s="935" t="s">
        <v>215</v>
      </c>
      <c r="B151" s="935" t="s">
        <v>240</v>
      </c>
      <c r="C151" s="936" t="s">
        <v>238</v>
      </c>
      <c r="D151" s="937" t="str">
        <f>'Revenues 9-14'!A249</f>
        <v>Other ARRA Funds - II</v>
      </c>
      <c r="E151" s="938"/>
      <c r="F151" s="1810">
        <f>SUM('Revenues 9-14'!C249:G249,'Revenues 9-14'!J249)</f>
        <v>0</v>
      </c>
      <c r="G151" s="906"/>
    </row>
    <row r="152" spans="1:7" s="868" customFormat="1" hidden="1">
      <c r="A152" s="935" t="s">
        <v>215</v>
      </c>
      <c r="B152" s="935" t="s">
        <v>242</v>
      </c>
      <c r="C152" s="936" t="s">
        <v>239</v>
      </c>
      <c r="D152" s="937" t="str">
        <f>'Revenues 9-14'!A250</f>
        <v>Other ARRA Funds - III</v>
      </c>
      <c r="E152" s="938"/>
      <c r="F152" s="1810">
        <f>SUM('Revenues 9-14'!C250:G250,'Revenues 9-14'!J250)</f>
        <v>0</v>
      </c>
      <c r="G152" s="906"/>
    </row>
    <row r="153" spans="1:7" s="868" customFormat="1" hidden="1">
      <c r="A153" s="935" t="s">
        <v>215</v>
      </c>
      <c r="B153" s="935" t="s">
        <v>244</v>
      </c>
      <c r="C153" s="936" t="s">
        <v>241</v>
      </c>
      <c r="D153" s="937" t="str">
        <f>'Revenues 9-14'!A251</f>
        <v>Other ARRA Funds - IV</v>
      </c>
      <c r="E153" s="938"/>
      <c r="F153" s="1810">
        <f>SUM('Revenues 9-14'!C251:G251,'Revenues 9-14'!J251)</f>
        <v>0</v>
      </c>
      <c r="G153" s="906"/>
    </row>
    <row r="154" spans="1:7" s="868" customFormat="1" hidden="1">
      <c r="A154" s="935" t="s">
        <v>215</v>
      </c>
      <c r="B154" s="935" t="s">
        <v>246</v>
      </c>
      <c r="C154" s="936" t="s">
        <v>243</v>
      </c>
      <c r="D154" s="937" t="str">
        <f>'Revenues 9-14'!A252</f>
        <v>Other ARRA Funds - V</v>
      </c>
      <c r="E154" s="938"/>
      <c r="F154" s="1810">
        <f>SUM('Revenues 9-14'!C252:G252,'Revenues 9-14'!J252)</f>
        <v>0</v>
      </c>
      <c r="G154" s="906"/>
    </row>
    <row r="155" spans="1:7" s="868" customFormat="1" hidden="1">
      <c r="A155" s="935" t="s">
        <v>215</v>
      </c>
      <c r="B155" s="935" t="s">
        <v>248</v>
      </c>
      <c r="C155" s="936" t="s">
        <v>245</v>
      </c>
      <c r="D155" s="937" t="str">
        <f>'Revenues 9-14'!A253</f>
        <v>ARRA - Early Childhood</v>
      </c>
      <c r="E155" s="938"/>
      <c r="F155" s="1810">
        <v>0</v>
      </c>
      <c r="G155" s="906"/>
    </row>
    <row r="156" spans="1:7" s="868" customFormat="1" hidden="1">
      <c r="A156" s="935" t="s">
        <v>215</v>
      </c>
      <c r="B156" s="935" t="s">
        <v>250</v>
      </c>
      <c r="C156" s="936" t="s">
        <v>247</v>
      </c>
      <c r="D156" s="937" t="str">
        <f>'Revenues 9-14'!A254</f>
        <v>Other ARRA Funds VII</v>
      </c>
      <c r="E156" s="938"/>
      <c r="F156" s="1810">
        <f>SUM('Revenues 9-14'!C254:G254,'Revenues 9-14'!J254)</f>
        <v>0</v>
      </c>
      <c r="G156" s="906"/>
    </row>
    <row r="157" spans="1:7" s="868" customFormat="1" hidden="1">
      <c r="A157" s="935" t="s">
        <v>215</v>
      </c>
      <c r="B157" s="935" t="s">
        <v>252</v>
      </c>
      <c r="C157" s="936" t="s">
        <v>249</v>
      </c>
      <c r="D157" s="937" t="str">
        <f>'Revenues 9-14'!A255</f>
        <v>Other ARRA Funds VIII</v>
      </c>
      <c r="E157" s="938"/>
      <c r="F157" s="1810">
        <f>SUM('Revenues 9-14'!C255:G255,'Revenues 9-14'!J255)</f>
        <v>0</v>
      </c>
      <c r="G157" s="906"/>
    </row>
    <row r="158" spans="1:7" s="868" customFormat="1" hidden="1">
      <c r="A158" s="935" t="s">
        <v>215</v>
      </c>
      <c r="B158" s="935" t="s">
        <v>254</v>
      </c>
      <c r="C158" s="936" t="s">
        <v>251</v>
      </c>
      <c r="D158" s="937" t="str">
        <f>'Revenues 9-14'!A256</f>
        <v>Other ARRA Funds IX</v>
      </c>
      <c r="E158" s="938"/>
      <c r="F158" s="1810">
        <f>SUM('Revenues 9-14'!C256:G256,'Revenues 9-14'!J256)</f>
        <v>0</v>
      </c>
      <c r="G158" s="906"/>
    </row>
    <row r="159" spans="1:7" s="868" customFormat="1" hidden="1">
      <c r="A159" s="935" t="s">
        <v>215</v>
      </c>
      <c r="B159" s="935" t="s">
        <v>862</v>
      </c>
      <c r="C159" s="936" t="s">
        <v>253</v>
      </c>
      <c r="D159" s="937" t="str">
        <f>'Revenues 9-14'!A257</f>
        <v>Other ARRA Funds X</v>
      </c>
      <c r="E159" s="938"/>
      <c r="F159" s="1810">
        <f>SUM('Revenues 9-14'!C257:G257,'Revenues 9-14'!J257)</f>
        <v>0</v>
      </c>
      <c r="G159" s="906"/>
    </row>
    <row r="160" spans="1:7" s="868" customFormat="1" hidden="1">
      <c r="A160" s="935" t="s">
        <v>215</v>
      </c>
      <c r="B160" s="935" t="s">
        <v>1488</v>
      </c>
      <c r="C160" s="936" t="s">
        <v>255</v>
      </c>
      <c r="D160" s="937" t="str">
        <f>'Revenues 9-14'!A258</f>
        <v>Other ARRA Funds Ed Job Fund Program</v>
      </c>
      <c r="E160" s="938"/>
      <c r="F160" s="1810">
        <f>SUM('Revenues 9-14'!C258:G258,'Revenues 9-14'!J258)</f>
        <v>0</v>
      </c>
      <c r="G160" s="906"/>
    </row>
    <row r="161" spans="1:7" s="868" customFormat="1">
      <c r="A161" s="939" t="s">
        <v>520</v>
      </c>
      <c r="B161" s="940" t="s">
        <v>1563</v>
      </c>
      <c r="C161" s="941" t="s">
        <v>895</v>
      </c>
      <c r="D161" s="942" t="s">
        <v>807</v>
      </c>
      <c r="E161" s="943"/>
      <c r="F161" s="1810">
        <f>SUM(F137:F160)</f>
        <v>0</v>
      </c>
      <c r="G161" s="906"/>
    </row>
    <row r="162" spans="1:7" s="868" customFormat="1">
      <c r="A162" s="939" t="s">
        <v>478</v>
      </c>
      <c r="B162" s="940" t="s">
        <v>1500</v>
      </c>
      <c r="C162" s="941" t="s">
        <v>1498</v>
      </c>
      <c r="D162" s="942" t="s">
        <v>1499</v>
      </c>
      <c r="E162" s="943"/>
      <c r="F162" s="1810">
        <f>SUM('Revenues 9-14'!C260)</f>
        <v>0</v>
      </c>
      <c r="G162" s="906"/>
    </row>
    <row r="163" spans="1:7" s="868" customFormat="1">
      <c r="A163" s="939" t="s">
        <v>520</v>
      </c>
      <c r="B163" s="940" t="s">
        <v>1540</v>
      </c>
      <c r="C163" s="941" t="s">
        <v>1541</v>
      </c>
      <c r="D163" s="942" t="s">
        <v>1542</v>
      </c>
      <c r="E163" s="943"/>
      <c r="F163" s="1810">
        <f>SUM('Revenues 9-14'!C261:H261,'Revenues 9-14'!J261:K261)</f>
        <v>0</v>
      </c>
      <c r="G163" s="906"/>
    </row>
    <row r="164" spans="1:7">
      <c r="A164" s="928" t="s">
        <v>1066</v>
      </c>
      <c r="B164" s="928" t="s">
        <v>1555</v>
      </c>
      <c r="C164" s="933">
        <f>'Revenues 9-14'!B262</f>
        <v>4904</v>
      </c>
      <c r="D164" s="930" t="str">
        <f>'Revenues 9-14'!A262</f>
        <v>Advanced Placement Fee/International Baccalaureate</v>
      </c>
      <c r="E164" s="907"/>
      <c r="F164" s="1810">
        <f>SUM('Revenues 9-14'!C262,'Revenues 9-14'!D262,'Revenues 9-14'!G262)</f>
        <v>0</v>
      </c>
      <c r="G164" s="931"/>
    </row>
    <row r="165" spans="1:7">
      <c r="A165" s="928" t="s">
        <v>5</v>
      </c>
      <c r="B165" s="928" t="s">
        <v>808</v>
      </c>
      <c r="C165" s="933">
        <f>'Revenues 9-14'!B263</f>
        <v>4905</v>
      </c>
      <c r="D165" s="930" t="str">
        <f>'Revenues 9-14'!A263</f>
        <v>Title III - Immigrant Education Program (IEP)</v>
      </c>
      <c r="E165" s="907"/>
      <c r="F165" s="1810">
        <f>SUM('Revenues 9-14'!C263,'Revenues 9-14'!F263,'Revenues 9-14'!G263)</f>
        <v>0</v>
      </c>
      <c r="G165" s="944">
        <v>6306</v>
      </c>
    </row>
    <row r="166" spans="1:7">
      <c r="A166" s="928" t="s">
        <v>5</v>
      </c>
      <c r="B166" s="928" t="s">
        <v>1501</v>
      </c>
      <c r="C166" s="933">
        <f>'Revenues 9-14'!B264</f>
        <v>4909</v>
      </c>
      <c r="D166" s="930" t="str">
        <f>'Revenues 9-14'!A264</f>
        <v>Title III - Language Inst Program - Limited Eng (LIPLEP)</v>
      </c>
      <c r="E166" s="907"/>
      <c r="F166" s="1810">
        <f>SUM('Revenues 9-14'!C264,'Revenues 9-14'!F264,'Revenues 9-14'!G264)</f>
        <v>44599</v>
      </c>
      <c r="G166" s="944"/>
    </row>
    <row r="167" spans="1:7">
      <c r="A167" s="928" t="s">
        <v>5</v>
      </c>
      <c r="B167" s="928" t="s">
        <v>1556</v>
      </c>
      <c r="C167" s="933">
        <f>'Revenues 9-14'!B265</f>
        <v>4910</v>
      </c>
      <c r="D167" s="930" t="str">
        <f>'Revenues 9-14'!A265</f>
        <v>Learn &amp; Serve America</v>
      </c>
      <c r="E167" s="907"/>
      <c r="F167" s="1810">
        <f>SUM('Revenues 9-14'!C265,'Revenues 9-14'!F265,'Revenues 9-14'!G265)</f>
        <v>0</v>
      </c>
      <c r="G167" s="931"/>
    </row>
    <row r="168" spans="1:7">
      <c r="A168" s="928" t="s">
        <v>688</v>
      </c>
      <c r="B168" s="928" t="s">
        <v>706</v>
      </c>
      <c r="C168" s="933">
        <f>'Revenues 9-14'!B266</f>
        <v>4920</v>
      </c>
      <c r="D168" s="930" t="str">
        <f>'Revenues 9-14'!A266</f>
        <v>McKinney Education for Homeless Children</v>
      </c>
      <c r="E168" s="907"/>
      <c r="F168" s="1810">
        <f>SUM('Revenues 9-14'!C266,'Revenues 9-14'!D266,'Revenues 9-14'!F266,'Revenues 9-14'!G266)</f>
        <v>0</v>
      </c>
      <c r="G168" s="931"/>
    </row>
    <row r="169" spans="1:7">
      <c r="A169" s="945" t="s">
        <v>688</v>
      </c>
      <c r="B169" s="945" t="s">
        <v>707</v>
      </c>
      <c r="C169" s="946">
        <f>'Revenues 9-14'!B267</f>
        <v>4930</v>
      </c>
      <c r="D169" s="947" t="str">
        <f>'Revenues 9-14'!A267</f>
        <v>Title II - Eisenhower Professional Development Formula</v>
      </c>
      <c r="E169" s="927"/>
      <c r="F169" s="1931">
        <f>SUM('Revenues 9-14'!C267:D267,'Revenues 9-14'!F267,'Revenues 9-14'!G267)</f>
        <v>0</v>
      </c>
      <c r="G169" s="931"/>
    </row>
    <row r="170" spans="1:7">
      <c r="A170" s="928" t="s">
        <v>688</v>
      </c>
      <c r="B170" s="928" t="s">
        <v>708</v>
      </c>
      <c r="C170" s="933">
        <f>'Revenues 9-14'!B268</f>
        <v>4932</v>
      </c>
      <c r="D170" s="934" t="str">
        <f>'Revenues 9-14'!A268</f>
        <v>Title II - Teacher Quality</v>
      </c>
      <c r="E170" s="907"/>
      <c r="F170" s="1931">
        <f>SUM('Revenues 9-14'!C268,'Revenues 9-14'!D268,'Revenues 9-14'!F268,'Revenues 9-14'!G268)</f>
        <v>88949</v>
      </c>
      <c r="G170" s="931"/>
    </row>
    <row r="171" spans="1:7">
      <c r="A171" s="928" t="s">
        <v>688</v>
      </c>
      <c r="B171" s="928" t="s">
        <v>863</v>
      </c>
      <c r="C171" s="933">
        <f>'Revenues 9-14'!B269</f>
        <v>4960</v>
      </c>
      <c r="D171" s="930" t="str">
        <f>'Revenues 9-14'!A269</f>
        <v>Federal Charter Schools</v>
      </c>
      <c r="E171" s="907"/>
      <c r="F171" s="1810">
        <f>SUM('Revenues 9-14'!C269:D269,'Revenues 9-14'!F269:G269)</f>
        <v>0</v>
      </c>
      <c r="G171" s="931"/>
    </row>
    <row r="172" spans="1:7">
      <c r="A172" s="928" t="s">
        <v>688</v>
      </c>
      <c r="B172" s="928" t="s">
        <v>809</v>
      </c>
      <c r="C172" s="933">
        <f>'Revenues 9-14'!B270</f>
        <v>4991</v>
      </c>
      <c r="D172" s="934" t="str">
        <f>'Revenues 9-14'!A270</f>
        <v>Medicaid Matching Funds - Administrative Outreach</v>
      </c>
      <c r="E172" s="907"/>
      <c r="F172" s="1810">
        <f>SUM('Revenues 9-14'!C270:D270,'Revenues 9-14'!F270:G270)</f>
        <v>311270</v>
      </c>
      <c r="G172" s="948">
        <v>6320</v>
      </c>
    </row>
    <row r="173" spans="1:7">
      <c r="A173" s="928" t="s">
        <v>688</v>
      </c>
      <c r="B173" s="928" t="s">
        <v>1502</v>
      </c>
      <c r="C173" s="933">
        <f>'Revenues 9-14'!B271</f>
        <v>4992</v>
      </c>
      <c r="D173" s="934" t="str">
        <f>'Revenues 9-14'!A271</f>
        <v>Medicaid Matching Funds - Fee-for-Service Program</v>
      </c>
      <c r="E173" s="907"/>
      <c r="F173" s="1810">
        <f>SUM('Revenues 9-14'!C271:D271,'Revenues 9-14'!F271:G271)</f>
        <v>490056</v>
      </c>
      <c r="G173" s="948"/>
    </row>
    <row r="174" spans="1:7">
      <c r="A174" s="949" t="s">
        <v>688</v>
      </c>
      <c r="B174" s="945" t="s">
        <v>1557</v>
      </c>
      <c r="C174" s="946">
        <f>'Revenues 9-14'!B272</f>
        <v>4999</v>
      </c>
      <c r="D174" s="947" t="str">
        <f>'Revenues 9-14'!A272</f>
        <v>Other Restricted Revenue from Federal Sources (Describe &amp; Itemize)</v>
      </c>
      <c r="E174" s="907"/>
      <c r="F174" s="1810">
        <f>SUM('Revenues 9-14'!C272:D272,'Revenues 9-14'!F272:G272)</f>
        <v>0</v>
      </c>
      <c r="G174" s="928"/>
    </row>
    <row r="175" spans="1:7">
      <c r="A175" s="1942" t="s">
        <v>5</v>
      </c>
      <c r="B175" s="1943" t="s">
        <v>2052</v>
      </c>
      <c r="C175" s="1944">
        <v>3100</v>
      </c>
      <c r="D175" s="1945" t="s">
        <v>2055</v>
      </c>
      <c r="E175" s="907"/>
      <c r="F175" s="1929"/>
      <c r="G175" s="928"/>
    </row>
    <row r="176" spans="1:7">
      <c r="A176" s="1942" t="s">
        <v>684</v>
      </c>
      <c r="B176" s="1943" t="s">
        <v>2052</v>
      </c>
      <c r="C176" s="1944">
        <v>3300</v>
      </c>
      <c r="D176" s="1945" t="s">
        <v>2056</v>
      </c>
      <c r="E176" s="907"/>
      <c r="F176" s="1929"/>
      <c r="G176" s="928"/>
    </row>
    <row r="177" spans="1:7" ht="6" customHeight="1">
      <c r="A177" s="928"/>
      <c r="B177" s="928"/>
      <c r="C177" s="950"/>
      <c r="D177" s="928"/>
      <c r="E177" s="907"/>
      <c r="F177" s="951"/>
      <c r="G177" s="948"/>
    </row>
    <row r="178" spans="1:7">
      <c r="A178" s="1791"/>
      <c r="B178" s="1805"/>
      <c r="C178" s="1806"/>
      <c r="D178" s="1807" t="s">
        <v>2009</v>
      </c>
      <c r="E178" s="1808" t="s">
        <v>1014</v>
      </c>
      <c r="F178" s="1809">
        <f>SUM(F84:F136,F161:F176)</f>
        <v>16331810</v>
      </c>
    </row>
    <row r="179" spans="1:7" ht="12" customHeight="1">
      <c r="A179" s="1791"/>
      <c r="B179" s="1805"/>
      <c r="C179" s="1806"/>
      <c r="D179" s="1807" t="s">
        <v>2010</v>
      </c>
      <c r="E179" s="1808"/>
      <c r="F179" s="1810">
        <f>'PCTC-OEPP 27-28'!F77-F178</f>
        <v>95783733</v>
      </c>
    </row>
    <row r="180" spans="1:7" ht="12" customHeight="1">
      <c r="A180" s="1791"/>
      <c r="B180" s="1805"/>
      <c r="C180" s="1806"/>
      <c r="D180" s="1807" t="s">
        <v>1920</v>
      </c>
      <c r="E180" s="1808"/>
      <c r="F180" s="1810">
        <f>'Cap Outlay Deprec 26'!I18</f>
        <v>2852658</v>
      </c>
    </row>
    <row r="181" spans="1:7" ht="12" customHeight="1">
      <c r="A181" s="1791"/>
      <c r="B181" s="1805"/>
      <c r="C181" s="1806"/>
      <c r="D181" s="1807" t="s">
        <v>2011</v>
      </c>
      <c r="E181" s="1808"/>
      <c r="F181" s="1810">
        <f>F179+F180</f>
        <v>98636391</v>
      </c>
    </row>
    <row r="182" spans="1:7" ht="12" customHeight="1">
      <c r="A182" s="1791"/>
      <c r="B182" s="1811"/>
      <c r="C182" s="1806"/>
      <c r="D182" s="1807" t="str">
        <f>D78</f>
        <v>9 Month ADA from District Average Daily Attendance/Prior General State Aid Inquiry 2017-2018</v>
      </c>
      <c r="E182" s="1808"/>
      <c r="F182" s="1812">
        <f>'PCTC-OEPP 27-28'!F78</f>
        <v>7353.19</v>
      </c>
      <c r="G182" s="931"/>
    </row>
    <row r="183" spans="1:7" ht="12" customHeight="1" thickBot="1">
      <c r="A183" s="1791"/>
      <c r="B183" s="1811"/>
      <c r="C183" s="1806"/>
      <c r="D183" s="1807" t="s">
        <v>2012</v>
      </c>
      <c r="E183" s="1808" t="s">
        <v>1625</v>
      </c>
      <c r="F183" s="1813">
        <f>F181/F182</f>
        <v>13414.095243016976</v>
      </c>
      <c r="G183" s="857">
        <v>6323</v>
      </c>
    </row>
    <row r="184" spans="1:7" ht="12" thickTop="1">
      <c r="B184" s="931"/>
      <c r="C184" s="950"/>
      <c r="D184" s="931"/>
      <c r="E184" s="950"/>
      <c r="F184" s="931"/>
      <c r="G184" s="952">
        <v>6326</v>
      </c>
    </row>
    <row r="185" spans="1:7" ht="12.2" customHeight="1">
      <c r="A185" s="931" t="s">
        <v>2054</v>
      </c>
      <c r="B185" s="931"/>
      <c r="C185" s="950"/>
      <c r="D185" s="931"/>
      <c r="E185" s="950"/>
      <c r="F185" s="931"/>
      <c r="G185" s="931"/>
    </row>
    <row r="186" spans="1:7" s="1946" customFormat="1" ht="12.2" customHeight="1">
      <c r="A186" s="1946" t="s">
        <v>2059</v>
      </c>
      <c r="B186" s="1947"/>
      <c r="C186" s="1948"/>
      <c r="D186" s="1947"/>
      <c r="E186" s="1948"/>
      <c r="F186" s="1947"/>
      <c r="G186" s="1947"/>
    </row>
    <row r="187" spans="1:7" s="1946" customFormat="1" ht="12.2" customHeight="1">
      <c r="A187" s="1949" t="s">
        <v>2060</v>
      </c>
      <c r="C187" s="1948"/>
      <c r="D187" s="1947"/>
      <c r="E187" s="1948"/>
      <c r="F187" s="1947"/>
      <c r="G187" s="1947"/>
    </row>
    <row r="188" spans="1:7" ht="12" customHeight="1">
      <c r="C188" s="950"/>
      <c r="D188" s="931"/>
      <c r="E188" s="950"/>
      <c r="F188" s="931"/>
      <c r="G188" s="931"/>
    </row>
    <row r="189" spans="1:7">
      <c r="A189" s="1950" t="s">
        <v>2058</v>
      </c>
      <c r="B189" s="1951" t="s">
        <v>2057</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0" workbookViewId="0">
      <selection activeCell="A17" sqref="A17"/>
    </sheetView>
  </sheetViews>
  <sheetFormatPr defaultColWidth="9.140625" defaultRowHeight="1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c r="A1" s="1680" t="s">
        <v>1936</v>
      </c>
      <c r="B1" s="1681"/>
      <c r="C1" s="1681"/>
      <c r="D1" s="1681"/>
      <c r="E1" s="1681"/>
      <c r="F1" s="1681"/>
      <c r="G1" s="1681"/>
    </row>
    <row r="2" spans="1:7">
      <c r="A2" s="1678"/>
      <c r="B2" s="1678"/>
      <c r="C2" s="1679" t="s">
        <v>1035</v>
      </c>
      <c r="D2" s="1678"/>
      <c r="E2" s="1678"/>
      <c r="F2" s="1678"/>
      <c r="G2" s="1678"/>
    </row>
    <row r="3" spans="1:7" ht="5.25" customHeight="1">
      <c r="A3" s="1567"/>
      <c r="B3" s="1567"/>
      <c r="C3" s="1567"/>
      <c r="D3" s="1567"/>
      <c r="E3" s="1567"/>
      <c r="F3" s="1567"/>
      <c r="G3" s="1567"/>
    </row>
    <row r="4" spans="1:7" ht="18.75" customHeight="1">
      <c r="A4" s="2407" t="s">
        <v>1921</v>
      </c>
      <c r="B4" s="2408"/>
      <c r="C4" s="2408"/>
      <c r="D4" s="2408"/>
      <c r="E4" s="2408"/>
      <c r="F4" s="2408"/>
      <c r="G4" s="2409"/>
    </row>
    <row r="5" spans="1:7">
      <c r="A5" s="2410"/>
      <c r="B5" s="2411"/>
      <c r="C5" s="2411"/>
      <c r="D5" s="2411"/>
      <c r="E5" s="2411"/>
      <c r="F5" s="2411"/>
      <c r="G5" s="2412"/>
    </row>
    <row r="6" spans="1:7" ht="18.75">
      <c r="A6" s="1556" t="s">
        <v>1922</v>
      </c>
      <c r="B6" s="1557"/>
      <c r="C6" s="1557"/>
      <c r="D6" s="1557"/>
      <c r="E6" s="1557"/>
      <c r="F6" s="1557"/>
      <c r="G6" s="1558"/>
    </row>
    <row r="7" spans="1:7" ht="30.75" customHeight="1">
      <c r="A7" s="2413" t="s">
        <v>2069</v>
      </c>
      <c r="B7" s="2414"/>
      <c r="C7" s="2414"/>
      <c r="D7" s="2414"/>
      <c r="E7" s="2414"/>
      <c r="F7" s="2414"/>
      <c r="G7" s="2415"/>
    </row>
    <row r="8" spans="1:7" ht="15.75" customHeight="1">
      <c r="A8" s="2416" t="s">
        <v>2018</v>
      </c>
      <c r="B8" s="2417"/>
      <c r="C8" s="2417"/>
      <c r="D8" s="2417"/>
      <c r="E8" s="2417"/>
      <c r="F8" s="2417"/>
      <c r="G8" s="2418"/>
    </row>
    <row r="9" spans="1:7" ht="35.25" customHeight="1">
      <c r="A9" s="2413" t="s">
        <v>2072</v>
      </c>
      <c r="B9" s="2414"/>
      <c r="C9" s="2414"/>
      <c r="D9" s="2414"/>
      <c r="E9" s="2414"/>
      <c r="F9" s="2414"/>
      <c r="G9" s="2415"/>
    </row>
    <row r="10" spans="1:7" ht="15" customHeight="1">
      <c r="A10" s="1559" t="s">
        <v>1923</v>
      </c>
      <c r="B10" s="1560"/>
      <c r="C10" s="1560"/>
      <c r="D10" s="1560"/>
      <c r="E10" s="1560"/>
      <c r="F10" s="1560"/>
      <c r="G10" s="1561"/>
    </row>
    <row r="11" spans="1:7" ht="17.25" customHeight="1">
      <c r="A11" s="2413" t="s">
        <v>2071</v>
      </c>
      <c r="B11" s="2414"/>
      <c r="C11" s="2414"/>
      <c r="D11" s="2414"/>
      <c r="E11" s="2414"/>
      <c r="F11" s="2414"/>
      <c r="G11" s="2415"/>
    </row>
    <row r="12" spans="1:7" ht="15" customHeight="1">
      <c r="A12" s="1559" t="s">
        <v>1928</v>
      </c>
      <c r="B12" s="1560"/>
      <c r="C12" s="1560"/>
      <c r="D12" s="1560"/>
      <c r="E12" s="1560"/>
      <c r="F12" s="1560"/>
      <c r="G12" s="1561"/>
    </row>
    <row r="13" spans="1:7" ht="32.25" customHeight="1">
      <c r="A13" s="2404" t="s">
        <v>1929</v>
      </c>
      <c r="B13" s="2405"/>
      <c r="C13" s="2405"/>
      <c r="D13" s="2405"/>
      <c r="E13" s="2405"/>
      <c r="F13" s="2405"/>
      <c r="G13" s="2406"/>
    </row>
    <row r="14" spans="1:7">
      <c r="A14" s="1682" t="s">
        <v>1937</v>
      </c>
      <c r="B14" s="1683"/>
      <c r="C14" s="1683"/>
      <c r="D14" s="1683"/>
      <c r="E14" s="1683"/>
      <c r="F14" s="1683"/>
      <c r="G14" s="1684"/>
    </row>
    <row r="15" spans="1:7" ht="61.5" customHeight="1">
      <c r="A15" s="1568" t="s">
        <v>1930</v>
      </c>
      <c r="B15" s="1568" t="s">
        <v>1931</v>
      </c>
      <c r="C15" s="1568" t="s">
        <v>1932</v>
      </c>
      <c r="D15" s="1569" t="s">
        <v>1933</v>
      </c>
      <c r="E15" s="1569" t="s">
        <v>1924</v>
      </c>
      <c r="F15" s="1569" t="s">
        <v>1934</v>
      </c>
      <c r="G15" s="1569" t="s">
        <v>1935</v>
      </c>
    </row>
    <row r="16" spans="1:7">
      <c r="A16" s="1670" t="s">
        <v>1938</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c r="A17" s="1954" t="s">
        <v>2318</v>
      </c>
      <c r="B17" s="1866" t="s">
        <v>2319</v>
      </c>
      <c r="C17" s="2077" t="s">
        <v>2248</v>
      </c>
      <c r="D17" s="1865">
        <v>232647.88</v>
      </c>
      <c r="E17" s="1562">
        <f t="shared" ref="E17:E141" si="1">IF(D17&lt;=25000,D17,IF(D17&gt;25000,25000,0))</f>
        <v>25000</v>
      </c>
      <c r="F17" s="1814">
        <f t="shared" si="0"/>
        <v>25000</v>
      </c>
      <c r="G17" s="1815">
        <f>IF(F17=0,0,D17-F17)</f>
        <v>207647.88</v>
      </c>
      <c r="H17" s="1669"/>
    </row>
    <row r="18" spans="1:8" ht="30">
      <c r="A18" s="1675" t="s">
        <v>2320</v>
      </c>
      <c r="B18" s="1866" t="s">
        <v>2321</v>
      </c>
      <c r="C18" s="2077" t="s">
        <v>2249</v>
      </c>
      <c r="D18" s="1865">
        <v>26251.5</v>
      </c>
      <c r="E18" s="1562">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1251.5</v>
      </c>
    </row>
    <row r="19" spans="1:8">
      <c r="A19" s="1675" t="s">
        <v>2322</v>
      </c>
      <c r="B19" s="1867" t="s">
        <v>2323</v>
      </c>
      <c r="C19" s="2077" t="s">
        <v>2250</v>
      </c>
      <c r="D19" s="1865">
        <v>73049.25</v>
      </c>
      <c r="E19" s="1562">
        <f t="shared" si="2"/>
        <v>25000</v>
      </c>
      <c r="F19" s="1814">
        <f t="shared" si="3"/>
        <v>0</v>
      </c>
      <c r="G19" s="1815">
        <f t="shared" si="4"/>
        <v>0</v>
      </c>
    </row>
    <row r="20" spans="1:8" ht="30">
      <c r="A20" s="1675" t="s">
        <v>2320</v>
      </c>
      <c r="B20" s="1866" t="s">
        <v>2321</v>
      </c>
      <c r="C20" s="2077" t="s">
        <v>2251</v>
      </c>
      <c r="D20" s="1865">
        <v>134731.19</v>
      </c>
      <c r="E20" s="1562">
        <f t="shared" si="2"/>
        <v>25000</v>
      </c>
      <c r="F20" s="1814">
        <f t="shared" si="3"/>
        <v>25000</v>
      </c>
      <c r="G20" s="1815">
        <f t="shared" si="4"/>
        <v>109731.19</v>
      </c>
    </row>
    <row r="21" spans="1:8" ht="30">
      <c r="A21" s="1675" t="s">
        <v>2320</v>
      </c>
      <c r="B21" s="1866" t="s">
        <v>2321</v>
      </c>
      <c r="C21" s="2077" t="s">
        <v>2252</v>
      </c>
      <c r="D21" s="1865">
        <v>80620.61</v>
      </c>
      <c r="E21" s="1562">
        <f t="shared" si="2"/>
        <v>25000</v>
      </c>
      <c r="F21" s="1814">
        <f t="shared" si="3"/>
        <v>25000</v>
      </c>
      <c r="G21" s="1815">
        <f t="shared" si="4"/>
        <v>55620.61</v>
      </c>
    </row>
    <row r="22" spans="1:8">
      <c r="A22" s="1675" t="s">
        <v>2324</v>
      </c>
      <c r="B22" s="1866" t="s">
        <v>2325</v>
      </c>
      <c r="C22" s="2077" t="s">
        <v>2253</v>
      </c>
      <c r="D22" s="1865">
        <v>113858.63</v>
      </c>
      <c r="E22" s="1562">
        <f t="shared" si="2"/>
        <v>25000</v>
      </c>
      <c r="F22" s="1814">
        <f t="shared" si="3"/>
        <v>0</v>
      </c>
      <c r="G22" s="1815">
        <f t="shared" si="4"/>
        <v>0</v>
      </c>
    </row>
    <row r="23" spans="1:8">
      <c r="A23" s="1675" t="s">
        <v>2326</v>
      </c>
      <c r="B23" s="1866" t="s">
        <v>2327</v>
      </c>
      <c r="C23" s="2077" t="s">
        <v>2254</v>
      </c>
      <c r="D23" s="1865">
        <v>137936.18</v>
      </c>
      <c r="E23" s="1562">
        <f t="shared" si="2"/>
        <v>25000</v>
      </c>
      <c r="F23" s="1814">
        <f t="shared" si="3"/>
        <v>25000</v>
      </c>
      <c r="G23" s="1815">
        <f t="shared" si="4"/>
        <v>112936.18</v>
      </c>
    </row>
    <row r="24" spans="1:8">
      <c r="A24" s="1675" t="s">
        <v>2328</v>
      </c>
      <c r="B24" s="1867" t="s">
        <v>2329</v>
      </c>
      <c r="C24" s="2077" t="s">
        <v>2255</v>
      </c>
      <c r="D24" s="1865">
        <v>128240.5</v>
      </c>
      <c r="E24" s="1562">
        <f t="shared" si="2"/>
        <v>25000</v>
      </c>
      <c r="F24" s="1814">
        <f t="shared" si="3"/>
        <v>0</v>
      </c>
      <c r="G24" s="1815">
        <f t="shared" si="4"/>
        <v>0</v>
      </c>
    </row>
    <row r="25" spans="1:8">
      <c r="A25" s="1675" t="s">
        <v>2326</v>
      </c>
      <c r="B25" s="1866" t="s">
        <v>2330</v>
      </c>
      <c r="C25" s="2077" t="s">
        <v>2256</v>
      </c>
      <c r="D25" s="1865">
        <v>121715.19</v>
      </c>
      <c r="E25" s="1562">
        <f t="shared" si="2"/>
        <v>25000</v>
      </c>
      <c r="F25" s="1814">
        <f t="shared" si="3"/>
        <v>25000</v>
      </c>
      <c r="G25" s="1815">
        <f t="shared" si="4"/>
        <v>96715.19</v>
      </c>
    </row>
    <row r="26" spans="1:8">
      <c r="A26" s="1675" t="s">
        <v>2324</v>
      </c>
      <c r="B26" s="1867" t="s">
        <v>2325</v>
      </c>
      <c r="C26" s="2077" t="s">
        <v>2257</v>
      </c>
      <c r="D26" s="1865">
        <v>44050</v>
      </c>
      <c r="E26" s="1562">
        <f t="shared" si="2"/>
        <v>25000</v>
      </c>
      <c r="F26" s="1814">
        <f t="shared" si="3"/>
        <v>0</v>
      </c>
      <c r="G26" s="1815">
        <f t="shared" si="4"/>
        <v>0</v>
      </c>
    </row>
    <row r="27" spans="1:8">
      <c r="A27" s="1675" t="s">
        <v>2324</v>
      </c>
      <c r="B27" s="1867" t="s">
        <v>2325</v>
      </c>
      <c r="C27" s="2077" t="s">
        <v>2258</v>
      </c>
      <c r="D27" s="1865">
        <v>105453.99</v>
      </c>
      <c r="E27" s="1562">
        <f t="shared" si="2"/>
        <v>25000</v>
      </c>
      <c r="F27" s="1814">
        <f t="shared" si="3"/>
        <v>0</v>
      </c>
      <c r="G27" s="1815">
        <f t="shared" si="4"/>
        <v>0</v>
      </c>
    </row>
    <row r="28" spans="1:8">
      <c r="A28" s="1675" t="s">
        <v>2328</v>
      </c>
      <c r="B28" s="1867" t="s">
        <v>2329</v>
      </c>
      <c r="C28" s="2077" t="s">
        <v>2259</v>
      </c>
      <c r="D28" s="1865">
        <v>138515.76999999999</v>
      </c>
      <c r="E28" s="1562">
        <f t="shared" si="2"/>
        <v>25000</v>
      </c>
      <c r="F28" s="1814">
        <f t="shared" si="3"/>
        <v>0</v>
      </c>
      <c r="G28" s="1815">
        <f t="shared" si="4"/>
        <v>0</v>
      </c>
    </row>
    <row r="29" spans="1:8">
      <c r="A29" s="1675" t="s">
        <v>2324</v>
      </c>
      <c r="B29" s="1867" t="s">
        <v>2325</v>
      </c>
      <c r="C29" s="2077" t="s">
        <v>2260</v>
      </c>
      <c r="D29" s="1865">
        <v>89800.28</v>
      </c>
      <c r="E29" s="1562">
        <f t="shared" si="2"/>
        <v>25000</v>
      </c>
      <c r="F29" s="1814">
        <f t="shared" si="3"/>
        <v>0</v>
      </c>
      <c r="G29" s="1815">
        <f t="shared" si="4"/>
        <v>0</v>
      </c>
    </row>
    <row r="30" spans="1:8">
      <c r="A30" s="1675" t="s">
        <v>2331</v>
      </c>
      <c r="B30" s="1867" t="s">
        <v>2332</v>
      </c>
      <c r="C30" s="2077" t="s">
        <v>2261</v>
      </c>
      <c r="D30" s="1865">
        <v>34629.339999999997</v>
      </c>
      <c r="E30" s="1562">
        <f t="shared" si="2"/>
        <v>25000</v>
      </c>
      <c r="F30" s="1814">
        <f t="shared" si="3"/>
        <v>0</v>
      </c>
      <c r="G30" s="1815">
        <f t="shared" si="4"/>
        <v>0</v>
      </c>
    </row>
    <row r="31" spans="1:8">
      <c r="A31" s="1675" t="s">
        <v>2324</v>
      </c>
      <c r="B31" s="1867" t="s">
        <v>2325</v>
      </c>
      <c r="C31" s="2077" t="s">
        <v>2262</v>
      </c>
      <c r="D31" s="1865">
        <v>56246.400000000001</v>
      </c>
      <c r="E31" s="1562">
        <f t="shared" si="2"/>
        <v>25000</v>
      </c>
      <c r="F31" s="1814">
        <f t="shared" si="3"/>
        <v>0</v>
      </c>
      <c r="G31" s="1815">
        <f t="shared" si="4"/>
        <v>0</v>
      </c>
    </row>
    <row r="32" spans="1:8">
      <c r="A32" s="1675" t="s">
        <v>2333</v>
      </c>
      <c r="B32" s="1867" t="s">
        <v>2334</v>
      </c>
      <c r="C32" s="2077" t="s">
        <v>2263</v>
      </c>
      <c r="D32" s="1865">
        <v>305830</v>
      </c>
      <c r="E32" s="1562">
        <f t="shared" si="2"/>
        <v>25000</v>
      </c>
      <c r="F32" s="1814">
        <f t="shared" si="3"/>
        <v>0</v>
      </c>
      <c r="G32" s="1815">
        <f t="shared" si="4"/>
        <v>0</v>
      </c>
    </row>
    <row r="33" spans="1:7">
      <c r="A33" s="1675" t="s">
        <v>2318</v>
      </c>
      <c r="B33" s="1867" t="s">
        <v>2319</v>
      </c>
      <c r="C33" s="2077" t="s">
        <v>2264</v>
      </c>
      <c r="D33" s="1865">
        <v>750360.76</v>
      </c>
      <c r="E33" s="1562">
        <f t="shared" si="2"/>
        <v>25000</v>
      </c>
      <c r="F33" s="1814">
        <f t="shared" si="3"/>
        <v>25000</v>
      </c>
      <c r="G33" s="1815">
        <f t="shared" si="4"/>
        <v>725360.76</v>
      </c>
    </row>
    <row r="34" spans="1:7">
      <c r="A34" s="1675" t="s">
        <v>2335</v>
      </c>
      <c r="B34" s="1867" t="s">
        <v>2336</v>
      </c>
      <c r="C34" s="2077" t="s">
        <v>2265</v>
      </c>
      <c r="D34" s="1865">
        <v>28005.15</v>
      </c>
      <c r="E34" s="1562">
        <f t="shared" si="2"/>
        <v>25000</v>
      </c>
      <c r="F34" s="1814">
        <f t="shared" si="3"/>
        <v>25000</v>
      </c>
      <c r="G34" s="1815">
        <f t="shared" si="4"/>
        <v>3005.1500000000015</v>
      </c>
    </row>
    <row r="35" spans="1:7">
      <c r="A35" s="1675" t="s">
        <v>2337</v>
      </c>
      <c r="B35" s="1867" t="s">
        <v>2338</v>
      </c>
      <c r="C35" s="2077" t="s">
        <v>2266</v>
      </c>
      <c r="D35" s="1865">
        <v>90333.84</v>
      </c>
      <c r="E35" s="1562">
        <f t="shared" si="2"/>
        <v>25000</v>
      </c>
      <c r="F35" s="1814">
        <f t="shared" si="3"/>
        <v>0</v>
      </c>
      <c r="G35" s="1815">
        <f t="shared" si="4"/>
        <v>0</v>
      </c>
    </row>
    <row r="36" spans="1:7">
      <c r="A36" s="1675" t="s">
        <v>2318</v>
      </c>
      <c r="B36" s="1867" t="s">
        <v>2319</v>
      </c>
      <c r="C36" s="2077" t="s">
        <v>2248</v>
      </c>
      <c r="D36" s="1865">
        <v>249578.16</v>
      </c>
      <c r="E36" s="1562">
        <f t="shared" si="2"/>
        <v>25000</v>
      </c>
      <c r="F36" s="1814">
        <f t="shared" si="3"/>
        <v>25000</v>
      </c>
      <c r="G36" s="1815">
        <f t="shared" si="4"/>
        <v>224578.16</v>
      </c>
    </row>
    <row r="37" spans="1:7">
      <c r="A37" s="1675" t="s">
        <v>2339</v>
      </c>
      <c r="B37" s="1867" t="s">
        <v>2340</v>
      </c>
      <c r="C37" s="2077" t="s">
        <v>2267</v>
      </c>
      <c r="D37" s="1865">
        <v>41557.199999999997</v>
      </c>
      <c r="E37" s="1562">
        <f t="shared" si="2"/>
        <v>25000</v>
      </c>
      <c r="F37" s="1814">
        <f t="shared" si="3"/>
        <v>0</v>
      </c>
      <c r="G37" s="1815">
        <f t="shared" si="4"/>
        <v>0</v>
      </c>
    </row>
    <row r="38" spans="1:7">
      <c r="A38" s="1675" t="s">
        <v>2341</v>
      </c>
      <c r="B38" s="1688" t="s">
        <v>2342</v>
      </c>
      <c r="C38" s="2077" t="s">
        <v>2268</v>
      </c>
      <c r="D38" s="1865">
        <v>90673.31</v>
      </c>
      <c r="E38" s="1562">
        <f t="shared" si="2"/>
        <v>25000</v>
      </c>
      <c r="F38" s="1814">
        <f t="shared" si="3"/>
        <v>0</v>
      </c>
      <c r="G38" s="1815">
        <f t="shared" si="4"/>
        <v>0</v>
      </c>
    </row>
    <row r="39" spans="1:7">
      <c r="A39" s="1675" t="s">
        <v>2324</v>
      </c>
      <c r="B39" s="1688" t="s">
        <v>2325</v>
      </c>
      <c r="C39" s="2077" t="s">
        <v>2269</v>
      </c>
      <c r="D39" s="1865">
        <v>53131.41</v>
      </c>
      <c r="E39" s="1562">
        <f t="shared" si="2"/>
        <v>25000</v>
      </c>
      <c r="F39" s="1814">
        <f t="shared" si="3"/>
        <v>0</v>
      </c>
      <c r="G39" s="1815">
        <f t="shared" si="4"/>
        <v>0</v>
      </c>
    </row>
    <row r="40" spans="1:7">
      <c r="A40" s="1675" t="s">
        <v>2339</v>
      </c>
      <c r="B40" s="1688" t="s">
        <v>2340</v>
      </c>
      <c r="C40" s="2077" t="s">
        <v>2270</v>
      </c>
      <c r="D40" s="1865">
        <v>46471.199999999997</v>
      </c>
      <c r="E40" s="1562">
        <f t="shared" si="2"/>
        <v>25000</v>
      </c>
      <c r="F40" s="1814">
        <f t="shared" si="3"/>
        <v>0</v>
      </c>
      <c r="G40" s="1815">
        <f t="shared" si="4"/>
        <v>0</v>
      </c>
    </row>
    <row r="41" spans="1:7">
      <c r="A41" s="1675" t="s">
        <v>2343</v>
      </c>
      <c r="B41" s="1688" t="s">
        <v>2344</v>
      </c>
      <c r="C41" s="2077" t="s">
        <v>2271</v>
      </c>
      <c r="D41" s="1865">
        <v>42959.01</v>
      </c>
      <c r="E41" s="1562">
        <f t="shared" si="2"/>
        <v>25000</v>
      </c>
      <c r="F41" s="1814">
        <f t="shared" si="3"/>
        <v>25000</v>
      </c>
      <c r="G41" s="1815">
        <f t="shared" si="4"/>
        <v>17959.010000000002</v>
      </c>
    </row>
    <row r="42" spans="1:7" ht="30">
      <c r="A42" s="1675" t="s">
        <v>2345</v>
      </c>
      <c r="B42" s="1688" t="s">
        <v>2346</v>
      </c>
      <c r="C42" s="2077" t="s">
        <v>2272</v>
      </c>
      <c r="D42" s="1865">
        <v>59750</v>
      </c>
      <c r="E42" s="1562">
        <f t="shared" si="2"/>
        <v>25000</v>
      </c>
      <c r="F42" s="1814">
        <f t="shared" si="3"/>
        <v>0</v>
      </c>
      <c r="G42" s="1815">
        <f t="shared" si="4"/>
        <v>0</v>
      </c>
    </row>
    <row r="43" spans="1:7">
      <c r="A43" s="1675" t="s">
        <v>2324</v>
      </c>
      <c r="B43" s="1688" t="s">
        <v>2325</v>
      </c>
      <c r="C43" s="2077" t="s">
        <v>2253</v>
      </c>
      <c r="D43" s="1865">
        <v>199208.34</v>
      </c>
      <c r="E43" s="1562">
        <f t="shared" si="2"/>
        <v>25000</v>
      </c>
      <c r="F43" s="1814">
        <f t="shared" si="3"/>
        <v>0</v>
      </c>
      <c r="G43" s="1815">
        <f t="shared" si="4"/>
        <v>0</v>
      </c>
    </row>
    <row r="44" spans="1:7">
      <c r="A44" s="1675" t="s">
        <v>2339</v>
      </c>
      <c r="B44" s="1688" t="s">
        <v>2340</v>
      </c>
      <c r="C44" s="2077" t="s">
        <v>2273</v>
      </c>
      <c r="D44" s="1865">
        <v>49449</v>
      </c>
      <c r="E44" s="1562">
        <f t="shared" si="2"/>
        <v>25000</v>
      </c>
      <c r="F44" s="1814">
        <f t="shared" si="3"/>
        <v>0</v>
      </c>
      <c r="G44" s="1815">
        <f t="shared" si="4"/>
        <v>0</v>
      </c>
    </row>
    <row r="45" spans="1:7">
      <c r="A45" s="1675" t="s">
        <v>2326</v>
      </c>
      <c r="B45" s="1688" t="s">
        <v>2327</v>
      </c>
      <c r="C45" s="2077" t="s">
        <v>2254</v>
      </c>
      <c r="D45" s="1865">
        <v>122691.44</v>
      </c>
      <c r="E45" s="1562">
        <f t="shared" si="2"/>
        <v>25000</v>
      </c>
      <c r="F45" s="1814">
        <f t="shared" si="3"/>
        <v>25000</v>
      </c>
      <c r="G45" s="1815">
        <f t="shared" si="4"/>
        <v>97691.44</v>
      </c>
    </row>
    <row r="46" spans="1:7">
      <c r="A46" s="1675" t="s">
        <v>2347</v>
      </c>
      <c r="B46" s="1688" t="s">
        <v>2332</v>
      </c>
      <c r="C46" s="2077" t="s">
        <v>2274</v>
      </c>
      <c r="D46" s="1865">
        <v>50000</v>
      </c>
      <c r="E46" s="1562">
        <f t="shared" si="2"/>
        <v>25000</v>
      </c>
      <c r="F46" s="1814">
        <f t="shared" si="3"/>
        <v>0</v>
      </c>
      <c r="G46" s="1815">
        <f t="shared" si="4"/>
        <v>0</v>
      </c>
    </row>
    <row r="47" spans="1:7">
      <c r="A47" s="1675" t="s">
        <v>2326</v>
      </c>
      <c r="B47" s="1688" t="s">
        <v>2327</v>
      </c>
      <c r="C47" s="2077" t="s">
        <v>2256</v>
      </c>
      <c r="D47" s="1865">
        <v>64014.04</v>
      </c>
      <c r="E47" s="1562">
        <f t="shared" si="2"/>
        <v>25000</v>
      </c>
      <c r="F47" s="1814">
        <f t="shared" si="3"/>
        <v>25000</v>
      </c>
      <c r="G47" s="1815">
        <f t="shared" si="4"/>
        <v>39014.04</v>
      </c>
    </row>
    <row r="48" spans="1:7">
      <c r="A48" s="1675" t="s">
        <v>2348</v>
      </c>
      <c r="B48" s="1688" t="s">
        <v>2349</v>
      </c>
      <c r="C48" s="2077" t="s">
        <v>2275</v>
      </c>
      <c r="D48" s="1865">
        <v>30535.19</v>
      </c>
      <c r="E48" s="1562">
        <f t="shared" si="2"/>
        <v>25000</v>
      </c>
      <c r="F48" s="1814">
        <f t="shared" si="3"/>
        <v>0</v>
      </c>
      <c r="G48" s="1815">
        <f t="shared" si="4"/>
        <v>0</v>
      </c>
    </row>
    <row r="49" spans="1:7">
      <c r="A49" s="1675" t="s">
        <v>2350</v>
      </c>
      <c r="B49" s="1688" t="s">
        <v>2351</v>
      </c>
      <c r="C49" s="2077" t="s">
        <v>2276</v>
      </c>
      <c r="D49" s="1865">
        <v>47000</v>
      </c>
      <c r="E49" s="1562">
        <f t="shared" si="2"/>
        <v>25000</v>
      </c>
      <c r="F49" s="1814">
        <f t="shared" si="3"/>
        <v>25000</v>
      </c>
      <c r="G49" s="1815">
        <f t="shared" si="4"/>
        <v>22000</v>
      </c>
    </row>
    <row r="50" spans="1:7">
      <c r="A50" s="1675" t="s">
        <v>2339</v>
      </c>
      <c r="B50" s="1688" t="s">
        <v>2352</v>
      </c>
      <c r="C50" s="2077" t="s">
        <v>2277</v>
      </c>
      <c r="D50" s="1865">
        <v>42457.599999999999</v>
      </c>
      <c r="E50" s="1562">
        <f t="shared" si="2"/>
        <v>25000</v>
      </c>
      <c r="F50" s="1814">
        <f t="shared" si="3"/>
        <v>0</v>
      </c>
      <c r="G50" s="1815">
        <f t="shared" si="4"/>
        <v>0</v>
      </c>
    </row>
    <row r="51" spans="1:7">
      <c r="A51" s="1675" t="s">
        <v>2318</v>
      </c>
      <c r="B51" s="1688" t="s">
        <v>2353</v>
      </c>
      <c r="C51" s="2077" t="s">
        <v>2278</v>
      </c>
      <c r="D51" s="1865">
        <v>29114.880000000001</v>
      </c>
      <c r="E51" s="1562">
        <f t="shared" si="2"/>
        <v>25000</v>
      </c>
      <c r="F51" s="1814">
        <f t="shared" si="3"/>
        <v>0</v>
      </c>
      <c r="G51" s="1815">
        <f t="shared" si="4"/>
        <v>0</v>
      </c>
    </row>
    <row r="52" spans="1:7">
      <c r="A52" s="1675" t="s">
        <v>2354</v>
      </c>
      <c r="B52" s="1688" t="s">
        <v>2355</v>
      </c>
      <c r="C52" s="2077" t="s">
        <v>2279</v>
      </c>
      <c r="D52" s="1865">
        <v>147000</v>
      </c>
      <c r="E52" s="1562">
        <f t="shared" si="2"/>
        <v>25000</v>
      </c>
      <c r="F52" s="1814">
        <f t="shared" si="3"/>
        <v>0</v>
      </c>
      <c r="G52" s="1815">
        <f t="shared" si="4"/>
        <v>0</v>
      </c>
    </row>
    <row r="53" spans="1:7">
      <c r="A53" s="1675" t="s">
        <v>2339</v>
      </c>
      <c r="B53" s="1688" t="s">
        <v>2356</v>
      </c>
      <c r="C53" s="2077" t="s">
        <v>2280</v>
      </c>
      <c r="D53" s="1865">
        <v>29104</v>
      </c>
      <c r="E53" s="1562">
        <f t="shared" si="2"/>
        <v>25000</v>
      </c>
      <c r="F53" s="1814">
        <f t="shared" si="3"/>
        <v>0</v>
      </c>
      <c r="G53" s="1815">
        <f t="shared" si="4"/>
        <v>0</v>
      </c>
    </row>
    <row r="54" spans="1:7">
      <c r="A54" s="1675" t="s">
        <v>2339</v>
      </c>
      <c r="B54" s="1688" t="s">
        <v>2340</v>
      </c>
      <c r="C54" s="2077" t="s">
        <v>2281</v>
      </c>
      <c r="D54" s="1865">
        <v>139112</v>
      </c>
      <c r="E54" s="1562">
        <f t="shared" si="2"/>
        <v>25000</v>
      </c>
      <c r="F54" s="1814">
        <f t="shared" si="3"/>
        <v>0</v>
      </c>
      <c r="G54" s="1815">
        <f t="shared" si="4"/>
        <v>0</v>
      </c>
    </row>
    <row r="55" spans="1:7">
      <c r="A55" s="1675" t="s">
        <v>2324</v>
      </c>
      <c r="B55" s="1688" t="s">
        <v>2325</v>
      </c>
      <c r="C55" s="2077" t="s">
        <v>2260</v>
      </c>
      <c r="D55" s="1865">
        <v>115388.4</v>
      </c>
      <c r="E55" s="1562">
        <f t="shared" si="2"/>
        <v>25000</v>
      </c>
      <c r="F55" s="1814">
        <f t="shared" si="3"/>
        <v>0</v>
      </c>
      <c r="G55" s="1815">
        <f t="shared" si="4"/>
        <v>0</v>
      </c>
    </row>
    <row r="56" spans="1:7">
      <c r="A56" s="1675" t="s">
        <v>2347</v>
      </c>
      <c r="B56" s="1688" t="s">
        <v>2332</v>
      </c>
      <c r="C56" s="2077" t="s">
        <v>2261</v>
      </c>
      <c r="D56" s="1865">
        <v>27728.48</v>
      </c>
      <c r="E56" s="1562">
        <f t="shared" si="2"/>
        <v>25000</v>
      </c>
      <c r="F56" s="1814">
        <f t="shared" si="3"/>
        <v>0</v>
      </c>
      <c r="G56" s="1815">
        <f t="shared" si="4"/>
        <v>0</v>
      </c>
    </row>
    <row r="57" spans="1:7">
      <c r="A57" s="1675" t="s">
        <v>2357</v>
      </c>
      <c r="B57" s="1688" t="s">
        <v>2358</v>
      </c>
      <c r="C57" s="2077" t="s">
        <v>2282</v>
      </c>
      <c r="D57" s="1865">
        <v>70610</v>
      </c>
      <c r="E57" s="1562">
        <f t="shared" si="2"/>
        <v>25000</v>
      </c>
      <c r="F57" s="1814">
        <f t="shared" si="3"/>
        <v>0</v>
      </c>
      <c r="G57" s="1815">
        <f t="shared" si="4"/>
        <v>0</v>
      </c>
    </row>
    <row r="58" spans="1:7">
      <c r="A58" s="1675" t="s">
        <v>2318</v>
      </c>
      <c r="B58" s="1688" t="s">
        <v>2319</v>
      </c>
      <c r="C58" s="2077" t="s">
        <v>2264</v>
      </c>
      <c r="D58" s="1865">
        <v>651602.31000000006</v>
      </c>
      <c r="E58" s="1562">
        <f t="shared" si="2"/>
        <v>25000</v>
      </c>
      <c r="F58" s="1814">
        <f t="shared" si="3"/>
        <v>25000</v>
      </c>
      <c r="G58" s="1815">
        <f t="shared" si="4"/>
        <v>626602.31000000006</v>
      </c>
    </row>
    <row r="59" spans="1:7">
      <c r="A59" s="1675" t="s">
        <v>2333</v>
      </c>
      <c r="B59" s="1688" t="s">
        <v>2359</v>
      </c>
      <c r="C59" s="2077" t="s">
        <v>2283</v>
      </c>
      <c r="D59" s="1865">
        <v>40250</v>
      </c>
      <c r="E59" s="1562">
        <f t="shared" si="2"/>
        <v>25000</v>
      </c>
      <c r="F59" s="1814">
        <f t="shared" si="3"/>
        <v>0</v>
      </c>
      <c r="G59" s="1815">
        <f t="shared" si="4"/>
        <v>0</v>
      </c>
    </row>
    <row r="60" spans="1:7">
      <c r="A60" s="1675" t="s">
        <v>2337</v>
      </c>
      <c r="B60" s="1688" t="s">
        <v>2360</v>
      </c>
      <c r="C60" s="2077" t="s">
        <v>2266</v>
      </c>
      <c r="D60" s="1865">
        <v>135500.76999999999</v>
      </c>
      <c r="E60" s="1562">
        <f t="shared" si="2"/>
        <v>25000</v>
      </c>
      <c r="F60" s="1814">
        <f t="shared" si="3"/>
        <v>0</v>
      </c>
      <c r="G60" s="1815">
        <f t="shared" si="4"/>
        <v>0</v>
      </c>
    </row>
    <row r="61" spans="1:7">
      <c r="A61" s="1675" t="s">
        <v>2361</v>
      </c>
      <c r="B61" s="1688" t="s">
        <v>2362</v>
      </c>
      <c r="C61" s="2077" t="s">
        <v>2284</v>
      </c>
      <c r="D61" s="1865">
        <v>104848</v>
      </c>
      <c r="E61" s="1562">
        <f t="shared" si="2"/>
        <v>25000</v>
      </c>
      <c r="F61" s="1814">
        <f t="shared" si="3"/>
        <v>0</v>
      </c>
      <c r="G61" s="1815">
        <f t="shared" si="4"/>
        <v>0</v>
      </c>
    </row>
    <row r="62" spans="1:7">
      <c r="A62" s="1675" t="s">
        <v>2318</v>
      </c>
      <c r="B62" s="1688" t="s">
        <v>2319</v>
      </c>
      <c r="C62" s="2077" t="s">
        <v>2248</v>
      </c>
      <c r="D62" s="1865">
        <v>157809.76999999999</v>
      </c>
      <c r="E62" s="1562">
        <f t="shared" si="2"/>
        <v>25000</v>
      </c>
      <c r="F62" s="1814">
        <f t="shared" si="3"/>
        <v>25000</v>
      </c>
      <c r="G62" s="1815">
        <f t="shared" si="4"/>
        <v>132809.76999999999</v>
      </c>
    </row>
    <row r="63" spans="1:7">
      <c r="A63" s="1675" t="s">
        <v>2363</v>
      </c>
      <c r="B63" s="1688" t="s">
        <v>2336</v>
      </c>
      <c r="C63" s="2077" t="s">
        <v>2285</v>
      </c>
      <c r="D63" s="1865">
        <v>92015.53</v>
      </c>
      <c r="E63" s="1562">
        <f t="shared" si="2"/>
        <v>25000</v>
      </c>
      <c r="F63" s="1814">
        <f t="shared" si="3"/>
        <v>25000</v>
      </c>
      <c r="G63" s="1815">
        <f t="shared" si="4"/>
        <v>67015.53</v>
      </c>
    </row>
    <row r="64" spans="1:7">
      <c r="A64" s="1677" t="s">
        <v>2341</v>
      </c>
      <c r="B64" s="1688" t="s">
        <v>2342</v>
      </c>
      <c r="C64" s="2077" t="s">
        <v>2268</v>
      </c>
      <c r="D64" s="1865">
        <v>45347.51</v>
      </c>
      <c r="E64" s="1562">
        <f t="shared" si="2"/>
        <v>25000</v>
      </c>
      <c r="F64" s="1814">
        <f t="shared" si="3"/>
        <v>0</v>
      </c>
      <c r="G64" s="1815">
        <f t="shared" si="4"/>
        <v>0</v>
      </c>
    </row>
    <row r="65" spans="1:7">
      <c r="A65" s="1675" t="s">
        <v>2324</v>
      </c>
      <c r="B65" s="1688" t="s">
        <v>2325</v>
      </c>
      <c r="C65" s="2077" t="s">
        <v>2269</v>
      </c>
      <c r="D65" s="1865">
        <v>39615.93</v>
      </c>
      <c r="E65" s="1562">
        <f t="shared" si="2"/>
        <v>25000</v>
      </c>
      <c r="F65" s="1814">
        <f t="shared" si="3"/>
        <v>0</v>
      </c>
      <c r="G65" s="1815">
        <f t="shared" si="4"/>
        <v>0</v>
      </c>
    </row>
    <row r="66" spans="1:7">
      <c r="A66" s="1675" t="s">
        <v>2364</v>
      </c>
      <c r="B66" s="1688" t="s">
        <v>2365</v>
      </c>
      <c r="C66" s="2077" t="s">
        <v>2286</v>
      </c>
      <c r="D66" s="1865">
        <v>26192.240000000002</v>
      </c>
      <c r="E66" s="1562">
        <f t="shared" si="2"/>
        <v>25000</v>
      </c>
      <c r="F66" s="1814">
        <f t="shared" si="3"/>
        <v>0</v>
      </c>
      <c r="G66" s="1815">
        <f t="shared" si="4"/>
        <v>0</v>
      </c>
    </row>
    <row r="67" spans="1:7">
      <c r="A67" s="1675" t="s">
        <v>2366</v>
      </c>
      <c r="B67" s="1688" t="s">
        <v>2344</v>
      </c>
      <c r="C67" s="2077" t="s">
        <v>2287</v>
      </c>
      <c r="D67" s="1865">
        <v>34636.959999999999</v>
      </c>
      <c r="E67" s="1562">
        <f t="shared" si="2"/>
        <v>25000</v>
      </c>
      <c r="F67" s="1814">
        <f t="shared" si="3"/>
        <v>25000</v>
      </c>
      <c r="G67" s="1815">
        <f t="shared" si="4"/>
        <v>9636.9599999999991</v>
      </c>
    </row>
    <row r="68" spans="1:7">
      <c r="A68" s="1675" t="s">
        <v>2366</v>
      </c>
      <c r="B68" s="1688" t="s">
        <v>2344</v>
      </c>
      <c r="C68" s="2077" t="s">
        <v>2288</v>
      </c>
      <c r="D68" s="1865">
        <v>29512</v>
      </c>
      <c r="E68" s="1562">
        <f t="shared" si="2"/>
        <v>25000</v>
      </c>
      <c r="F68" s="1814">
        <f t="shared" si="3"/>
        <v>25000</v>
      </c>
      <c r="G68" s="1815">
        <f t="shared" si="4"/>
        <v>4512</v>
      </c>
    </row>
    <row r="69" spans="1:7">
      <c r="A69" s="1675" t="s">
        <v>2366</v>
      </c>
      <c r="B69" s="1688" t="s">
        <v>2344</v>
      </c>
      <c r="C69" s="2077" t="s">
        <v>2271</v>
      </c>
      <c r="D69" s="1865">
        <v>42894.01</v>
      </c>
      <c r="E69" s="1562">
        <f t="shared" si="2"/>
        <v>25000</v>
      </c>
      <c r="F69" s="1814">
        <f t="shared" si="3"/>
        <v>25000</v>
      </c>
      <c r="G69" s="1815">
        <f t="shared" si="4"/>
        <v>17894.010000000002</v>
      </c>
    </row>
    <row r="70" spans="1:7">
      <c r="A70" s="1675" t="s">
        <v>2363</v>
      </c>
      <c r="B70" s="1688" t="s">
        <v>2336</v>
      </c>
      <c r="C70" s="2077" t="s">
        <v>2289</v>
      </c>
      <c r="D70" s="1865">
        <v>42289.33</v>
      </c>
      <c r="E70" s="1562">
        <f t="shared" si="2"/>
        <v>25000</v>
      </c>
      <c r="F70" s="1814">
        <f t="shared" si="3"/>
        <v>25000</v>
      </c>
      <c r="G70" s="1815">
        <f t="shared" si="4"/>
        <v>17289.330000000002</v>
      </c>
    </row>
    <row r="71" spans="1:7">
      <c r="A71" s="1675" t="s">
        <v>2354</v>
      </c>
      <c r="B71" s="1688" t="s">
        <v>2323</v>
      </c>
      <c r="C71" s="2077" t="s">
        <v>2250</v>
      </c>
      <c r="D71" s="1865">
        <v>67819.8</v>
      </c>
      <c r="E71" s="1562">
        <f t="shared" si="2"/>
        <v>25000</v>
      </c>
      <c r="F71" s="1814">
        <f t="shared" si="3"/>
        <v>0</v>
      </c>
      <c r="G71" s="1815">
        <f t="shared" si="4"/>
        <v>0</v>
      </c>
    </row>
    <row r="72" spans="1:7">
      <c r="A72" s="1675" t="s">
        <v>2367</v>
      </c>
      <c r="B72" s="1688" t="s">
        <v>2368</v>
      </c>
      <c r="C72" s="2077" t="s">
        <v>2290</v>
      </c>
      <c r="D72" s="1865">
        <v>25000</v>
      </c>
      <c r="E72" s="1562">
        <f t="shared" si="2"/>
        <v>25000</v>
      </c>
      <c r="F72" s="1814">
        <f t="shared" si="3"/>
        <v>25000</v>
      </c>
      <c r="G72" s="1815">
        <f t="shared" si="4"/>
        <v>0</v>
      </c>
    </row>
    <row r="73" spans="1:7" ht="30">
      <c r="A73" s="1675" t="s">
        <v>2369</v>
      </c>
      <c r="B73" s="1688" t="s">
        <v>2321</v>
      </c>
      <c r="C73" s="2077" t="s">
        <v>2251</v>
      </c>
      <c r="D73" s="1865">
        <v>291672.99</v>
      </c>
      <c r="E73" s="1562">
        <f t="shared" ref="E73:E84" si="5">IF(D73&lt;=25000,D73,IF(D73&gt;25000,25000,0))</f>
        <v>25000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815">
        <f t="shared" ref="G73:G84" si="7">IF(F73=0,0,D73-F73)</f>
        <v>266672.99</v>
      </c>
    </row>
    <row r="74" spans="1:7" ht="30">
      <c r="A74" s="1675" t="s">
        <v>2369</v>
      </c>
      <c r="B74" s="1688" t="s">
        <v>2321</v>
      </c>
      <c r="C74" s="2077" t="s">
        <v>2252</v>
      </c>
      <c r="D74" s="1865">
        <v>29416.85</v>
      </c>
      <c r="E74" s="1562">
        <f t="shared" si="5"/>
        <v>25000</v>
      </c>
      <c r="F74" s="1814">
        <f t="shared" si="6"/>
        <v>25000</v>
      </c>
      <c r="G74" s="1815">
        <f t="shared" si="7"/>
        <v>4416.8499999999985</v>
      </c>
    </row>
    <row r="75" spans="1:7">
      <c r="A75" s="1675" t="s">
        <v>2370</v>
      </c>
      <c r="B75" s="1688" t="s">
        <v>2371</v>
      </c>
      <c r="C75" s="2077" t="s">
        <v>2272</v>
      </c>
      <c r="D75" s="1865">
        <v>56919.46</v>
      </c>
      <c r="E75" s="1562">
        <f t="shared" si="5"/>
        <v>25000</v>
      </c>
      <c r="F75" s="1814">
        <f t="shared" si="6"/>
        <v>0</v>
      </c>
      <c r="G75" s="1815">
        <f t="shared" si="7"/>
        <v>0</v>
      </c>
    </row>
    <row r="76" spans="1:7">
      <c r="A76" s="1675" t="s">
        <v>2324</v>
      </c>
      <c r="B76" s="1688" t="s">
        <v>2325</v>
      </c>
      <c r="C76" s="2077" t="s">
        <v>2253</v>
      </c>
      <c r="D76" s="1865">
        <v>223413.47</v>
      </c>
      <c r="E76" s="1562">
        <f t="shared" si="5"/>
        <v>25000</v>
      </c>
      <c r="F76" s="1814">
        <f t="shared" si="6"/>
        <v>0</v>
      </c>
      <c r="G76" s="1815">
        <f t="shared" si="7"/>
        <v>0</v>
      </c>
    </row>
    <row r="77" spans="1:7">
      <c r="A77" s="1675" t="s">
        <v>2333</v>
      </c>
      <c r="B77" s="1688" t="s">
        <v>2372</v>
      </c>
      <c r="C77" s="2077" t="s">
        <v>2291</v>
      </c>
      <c r="D77" s="1865">
        <v>50489</v>
      </c>
      <c r="E77" s="1562">
        <f t="shared" si="5"/>
        <v>25000</v>
      </c>
      <c r="F77" s="1814">
        <f t="shared" si="6"/>
        <v>0</v>
      </c>
      <c r="G77" s="1815">
        <f t="shared" si="7"/>
        <v>0</v>
      </c>
    </row>
    <row r="78" spans="1:7">
      <c r="A78" s="1675" t="s">
        <v>2373</v>
      </c>
      <c r="B78" s="1688" t="s">
        <v>2327</v>
      </c>
      <c r="C78" s="2077" t="s">
        <v>2254</v>
      </c>
      <c r="D78" s="1865">
        <v>167954.46</v>
      </c>
      <c r="E78" s="1562">
        <f t="shared" si="5"/>
        <v>25000</v>
      </c>
      <c r="F78" s="1814">
        <f t="shared" si="6"/>
        <v>25000</v>
      </c>
      <c r="G78" s="1815">
        <f t="shared" si="7"/>
        <v>142954.46</v>
      </c>
    </row>
    <row r="79" spans="1:7">
      <c r="A79" s="1675" t="s">
        <v>2373</v>
      </c>
      <c r="B79" s="1688" t="s">
        <v>2327</v>
      </c>
      <c r="C79" s="2077" t="s">
        <v>2256</v>
      </c>
      <c r="D79" s="1865">
        <v>135866.68</v>
      </c>
      <c r="E79" s="1562">
        <f t="shared" si="5"/>
        <v>25000</v>
      </c>
      <c r="F79" s="1814">
        <f t="shared" si="6"/>
        <v>25000</v>
      </c>
      <c r="G79" s="1815">
        <f t="shared" si="7"/>
        <v>110866.68</v>
      </c>
    </row>
    <row r="80" spans="1:7">
      <c r="A80" s="1675" t="s">
        <v>2348</v>
      </c>
      <c r="B80" s="1688" t="s">
        <v>2349</v>
      </c>
      <c r="C80" s="2077" t="s">
        <v>2275</v>
      </c>
      <c r="D80" s="1865">
        <v>101434.21</v>
      </c>
      <c r="E80" s="1562">
        <f t="shared" si="5"/>
        <v>25000</v>
      </c>
      <c r="F80" s="1814">
        <f t="shared" si="6"/>
        <v>0</v>
      </c>
      <c r="G80" s="1815">
        <f t="shared" si="7"/>
        <v>0</v>
      </c>
    </row>
    <row r="81" spans="1:7">
      <c r="A81" s="1675" t="s">
        <v>2366</v>
      </c>
      <c r="B81" s="1688" t="s">
        <v>2344</v>
      </c>
      <c r="C81" s="2077" t="s">
        <v>2292</v>
      </c>
      <c r="D81" s="1865">
        <v>39890.39</v>
      </c>
      <c r="E81" s="1562">
        <f t="shared" si="5"/>
        <v>25000</v>
      </c>
      <c r="F81" s="1814">
        <f t="shared" si="6"/>
        <v>25000</v>
      </c>
      <c r="G81" s="1815">
        <f t="shared" si="7"/>
        <v>14890.39</v>
      </c>
    </row>
    <row r="82" spans="1:7">
      <c r="A82" s="1675" t="s">
        <v>2366</v>
      </c>
      <c r="B82" s="1688" t="s">
        <v>2344</v>
      </c>
      <c r="C82" s="2077" t="s">
        <v>2293</v>
      </c>
      <c r="D82" s="1865">
        <v>37530</v>
      </c>
      <c r="E82" s="1562">
        <f t="shared" si="5"/>
        <v>25000</v>
      </c>
      <c r="F82" s="1814">
        <f t="shared" si="6"/>
        <v>25000</v>
      </c>
      <c r="G82" s="1815">
        <f t="shared" si="7"/>
        <v>12530</v>
      </c>
    </row>
    <row r="83" spans="1:7">
      <c r="A83" s="1675" t="s">
        <v>2318</v>
      </c>
      <c r="B83" s="1688" t="s">
        <v>2319</v>
      </c>
      <c r="C83" s="2077" t="s">
        <v>2294</v>
      </c>
      <c r="D83" s="1865">
        <v>98866.92</v>
      </c>
      <c r="E83" s="1562">
        <f t="shared" si="5"/>
        <v>25000</v>
      </c>
      <c r="F83" s="1814">
        <f t="shared" si="6"/>
        <v>25000</v>
      </c>
      <c r="G83" s="1815">
        <f t="shared" si="7"/>
        <v>73866.92</v>
      </c>
    </row>
    <row r="84" spans="1:7">
      <c r="A84" s="1675" t="s">
        <v>2324</v>
      </c>
      <c r="B84" s="1688" t="s">
        <v>2325</v>
      </c>
      <c r="C84" s="2077" t="s">
        <v>2258</v>
      </c>
      <c r="D84" s="1865">
        <v>119712.16</v>
      </c>
      <c r="E84" s="1562">
        <f t="shared" si="5"/>
        <v>25000</v>
      </c>
      <c r="F84" s="1814">
        <f t="shared" si="6"/>
        <v>0</v>
      </c>
      <c r="G84" s="1815">
        <f t="shared" si="7"/>
        <v>0</v>
      </c>
    </row>
    <row r="85" spans="1:7">
      <c r="A85" s="1675" t="s">
        <v>2324</v>
      </c>
      <c r="B85" s="1688" t="s">
        <v>2325</v>
      </c>
      <c r="C85" s="2077" t="s">
        <v>2295</v>
      </c>
      <c r="D85" s="1865">
        <v>25900.43</v>
      </c>
      <c r="E85" s="1562">
        <f t="shared" si="2"/>
        <v>25000</v>
      </c>
      <c r="F85" s="1814">
        <f t="shared" si="3"/>
        <v>0</v>
      </c>
      <c r="G85" s="1815">
        <f t="shared" si="4"/>
        <v>0</v>
      </c>
    </row>
    <row r="86" spans="1:7">
      <c r="A86" s="1675" t="s">
        <v>2354</v>
      </c>
      <c r="B86" s="1688" t="s">
        <v>2355</v>
      </c>
      <c r="C86" s="2077" t="s">
        <v>2279</v>
      </c>
      <c r="D86" s="1865">
        <v>26880</v>
      </c>
      <c r="E86" s="1562">
        <f t="shared" si="2"/>
        <v>25000</v>
      </c>
      <c r="F86" s="1814">
        <f t="shared" si="3"/>
        <v>0</v>
      </c>
      <c r="G86" s="1815">
        <f t="shared" si="4"/>
        <v>0</v>
      </c>
    </row>
    <row r="87" spans="1:7">
      <c r="A87" s="1675" t="s">
        <v>2324</v>
      </c>
      <c r="B87" s="1688" t="s">
        <v>2325</v>
      </c>
      <c r="C87" s="2077" t="s">
        <v>2260</v>
      </c>
      <c r="D87" s="1865">
        <v>79764.679999999993</v>
      </c>
      <c r="E87" s="1562">
        <f t="shared" si="2"/>
        <v>25000</v>
      </c>
      <c r="F87" s="1814">
        <f t="shared" si="3"/>
        <v>0</v>
      </c>
      <c r="G87" s="1815">
        <f t="shared" si="4"/>
        <v>0</v>
      </c>
    </row>
    <row r="88" spans="1:7">
      <c r="A88" s="1675" t="s">
        <v>2324</v>
      </c>
      <c r="B88" s="1688" t="s">
        <v>2325</v>
      </c>
      <c r="C88" s="2077" t="s">
        <v>2262</v>
      </c>
      <c r="D88" s="1865">
        <v>82522.25</v>
      </c>
      <c r="E88" s="1562">
        <f t="shared" si="2"/>
        <v>25000</v>
      </c>
      <c r="F88" s="1814">
        <f t="shared" si="3"/>
        <v>0</v>
      </c>
      <c r="G88" s="1815">
        <f t="shared" si="4"/>
        <v>0</v>
      </c>
    </row>
    <row r="89" spans="1:7">
      <c r="A89" s="1675" t="s">
        <v>2333</v>
      </c>
      <c r="B89" s="1688" t="s">
        <v>2334</v>
      </c>
      <c r="C89" s="2077" t="s">
        <v>2263</v>
      </c>
      <c r="D89" s="1865">
        <v>170905</v>
      </c>
      <c r="E89" s="1562">
        <f t="shared" si="2"/>
        <v>25000</v>
      </c>
      <c r="F89" s="1814">
        <f t="shared" si="3"/>
        <v>0</v>
      </c>
      <c r="G89" s="1815">
        <f t="shared" si="4"/>
        <v>0</v>
      </c>
    </row>
    <row r="90" spans="1:7">
      <c r="A90" s="1675" t="s">
        <v>2339</v>
      </c>
      <c r="B90" s="1688" t="s">
        <v>2356</v>
      </c>
      <c r="C90" s="2077" t="s">
        <v>2296</v>
      </c>
      <c r="D90" s="1865">
        <v>25350.959999999999</v>
      </c>
      <c r="E90" s="1562">
        <f t="shared" si="2"/>
        <v>25000</v>
      </c>
      <c r="F90" s="1814">
        <f t="shared" si="3"/>
        <v>0</v>
      </c>
      <c r="G90" s="1815">
        <f t="shared" si="4"/>
        <v>0</v>
      </c>
    </row>
    <row r="91" spans="1:7">
      <c r="A91" s="1675" t="s">
        <v>2318</v>
      </c>
      <c r="B91" s="1688" t="s">
        <v>2319</v>
      </c>
      <c r="C91" s="2077" t="s">
        <v>2264</v>
      </c>
      <c r="D91" s="1865">
        <v>1059753.94</v>
      </c>
      <c r="E91" s="1562">
        <f t="shared" si="2"/>
        <v>25000</v>
      </c>
      <c r="F91" s="1814">
        <f t="shared" si="3"/>
        <v>25000</v>
      </c>
      <c r="G91" s="1815">
        <f t="shared" si="4"/>
        <v>1034753.94</v>
      </c>
    </row>
    <row r="92" spans="1:7">
      <c r="A92" s="1675" t="s">
        <v>2326</v>
      </c>
      <c r="B92" s="1688" t="s">
        <v>2327</v>
      </c>
      <c r="C92" s="2077" t="s">
        <v>2297</v>
      </c>
      <c r="D92" s="1865">
        <v>33430.18</v>
      </c>
      <c r="E92" s="1562">
        <f t="shared" si="2"/>
        <v>25000</v>
      </c>
      <c r="F92" s="1814">
        <f t="shared" si="3"/>
        <v>25000</v>
      </c>
      <c r="G92" s="1815">
        <f t="shared" si="4"/>
        <v>8430.18</v>
      </c>
    </row>
    <row r="93" spans="1:7">
      <c r="A93" s="1675" t="s">
        <v>2333</v>
      </c>
      <c r="B93" s="1688" t="s">
        <v>2374</v>
      </c>
      <c r="C93" s="2077" t="s">
        <v>2283</v>
      </c>
      <c r="D93" s="1865">
        <v>30100</v>
      </c>
      <c r="E93" s="1562">
        <f t="shared" ref="E93" si="8">IF(D93&lt;=25000,D93,IF(D93&gt;25000,25000,0))</f>
        <v>25000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c r="A94" s="1675" t="s">
        <v>2337</v>
      </c>
      <c r="B94" s="1688" t="s">
        <v>2360</v>
      </c>
      <c r="C94" s="2077" t="s">
        <v>2266</v>
      </c>
      <c r="D94" s="1865">
        <v>225834.6</v>
      </c>
      <c r="E94" s="1562">
        <f t="shared" si="2"/>
        <v>25000</v>
      </c>
      <c r="F94" s="1814">
        <f t="shared" si="3"/>
        <v>0</v>
      </c>
      <c r="G94" s="1815">
        <f t="shared" si="4"/>
        <v>0</v>
      </c>
    </row>
    <row r="95" spans="1:7">
      <c r="A95" s="1675" t="s">
        <v>2366</v>
      </c>
      <c r="B95" s="1688" t="s">
        <v>2344</v>
      </c>
      <c r="C95" s="2077" t="s">
        <v>2298</v>
      </c>
      <c r="D95" s="1865">
        <v>29445</v>
      </c>
      <c r="E95" s="1562">
        <f t="shared" ref="E95:E98" si="11">IF(D95&lt;=25000,D95,IF(D95&gt;25000,25000,0))</f>
        <v>25000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25000</v>
      </c>
      <c r="G95" s="1815">
        <f t="shared" ref="G95:G98" si="13">IF(F95=0,0,D95-F95)</f>
        <v>4445</v>
      </c>
    </row>
    <row r="96" spans="1:7">
      <c r="A96" s="1675" t="s">
        <v>2366</v>
      </c>
      <c r="B96" s="1688" t="s">
        <v>2344</v>
      </c>
      <c r="C96" s="2077" t="s">
        <v>2299</v>
      </c>
      <c r="D96" s="1865">
        <v>39640.959999999999</v>
      </c>
      <c r="E96" s="1562">
        <f t="shared" si="11"/>
        <v>25000</v>
      </c>
      <c r="F96" s="1814">
        <f t="shared" si="12"/>
        <v>25000</v>
      </c>
      <c r="G96" s="1815">
        <f t="shared" si="13"/>
        <v>14640.96</v>
      </c>
    </row>
    <row r="97" spans="1:7">
      <c r="A97" s="1675" t="s">
        <v>2324</v>
      </c>
      <c r="B97" s="1688" t="s">
        <v>2325</v>
      </c>
      <c r="C97" s="2077" t="s">
        <v>2269</v>
      </c>
      <c r="D97" s="1865">
        <v>57238.25</v>
      </c>
      <c r="E97" s="1562">
        <f t="shared" si="11"/>
        <v>25000</v>
      </c>
      <c r="F97" s="1814">
        <f t="shared" si="12"/>
        <v>0</v>
      </c>
      <c r="G97" s="1815">
        <f t="shared" si="13"/>
        <v>0</v>
      </c>
    </row>
    <row r="98" spans="1:7">
      <c r="A98" s="1675" t="s">
        <v>2366</v>
      </c>
      <c r="B98" s="1688" t="s">
        <v>2344</v>
      </c>
      <c r="C98" s="2077" t="s">
        <v>2271</v>
      </c>
      <c r="D98" s="1865">
        <v>91280.15</v>
      </c>
      <c r="E98" s="1562">
        <f t="shared" si="11"/>
        <v>25000</v>
      </c>
      <c r="F98" s="1814">
        <f t="shared" si="12"/>
        <v>25000</v>
      </c>
      <c r="G98" s="1815">
        <f t="shared" si="13"/>
        <v>66280.149999999994</v>
      </c>
    </row>
    <row r="99" spans="1:7">
      <c r="A99" s="1675" t="s">
        <v>2375</v>
      </c>
      <c r="B99" s="1688" t="s">
        <v>2376</v>
      </c>
      <c r="C99" s="2077" t="s">
        <v>2300</v>
      </c>
      <c r="D99" s="1865">
        <v>27350.57</v>
      </c>
      <c r="E99" s="1562">
        <f t="shared" ref="E99" si="14">IF(D99&lt;=25000,D99,IF(D99&gt;25000,25000,0))</f>
        <v>25000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c r="A100" s="1675" t="s">
        <v>2377</v>
      </c>
      <c r="B100" s="1688" t="s">
        <v>2323</v>
      </c>
      <c r="C100" s="2077" t="s">
        <v>2250</v>
      </c>
      <c r="D100" s="1865">
        <v>249009.6</v>
      </c>
      <c r="E100" s="1562">
        <f t="shared" ref="E100:E112" si="17">IF(D100&lt;=25000,D100,IF(D100&gt;25000,25000,0))</f>
        <v>25000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t="30">
      <c r="A101" s="1675" t="s">
        <v>2345</v>
      </c>
      <c r="B101" s="1688" t="s">
        <v>2378</v>
      </c>
      <c r="C101" s="2077" t="s">
        <v>2301</v>
      </c>
      <c r="D101" s="1865">
        <v>34050</v>
      </c>
      <c r="E101" s="1562">
        <f t="shared" si="17"/>
        <v>25000</v>
      </c>
      <c r="F101" s="1814">
        <f t="shared" si="18"/>
        <v>0</v>
      </c>
      <c r="G101" s="1815">
        <f t="shared" si="19"/>
        <v>0</v>
      </c>
    </row>
    <row r="102" spans="1:7" ht="30">
      <c r="A102" s="1675" t="s">
        <v>2379</v>
      </c>
      <c r="B102" s="1688" t="s">
        <v>2380</v>
      </c>
      <c r="C102" s="2077" t="s">
        <v>2306</v>
      </c>
      <c r="D102" s="1865">
        <v>26136.95</v>
      </c>
      <c r="E102" s="1562">
        <f t="shared" si="17"/>
        <v>25000</v>
      </c>
      <c r="F102" s="1814">
        <f t="shared" si="18"/>
        <v>25000</v>
      </c>
      <c r="G102" s="1815">
        <f t="shared" si="19"/>
        <v>1136.9500000000007</v>
      </c>
    </row>
    <row r="103" spans="1:7">
      <c r="A103" s="1675" t="s">
        <v>2324</v>
      </c>
      <c r="B103" s="1688" t="s">
        <v>2325</v>
      </c>
      <c r="C103" s="2077" t="s">
        <v>2253</v>
      </c>
      <c r="D103" s="1865">
        <v>129504.06</v>
      </c>
      <c r="E103" s="1562">
        <f t="shared" si="17"/>
        <v>25000</v>
      </c>
      <c r="F103" s="1814">
        <f t="shared" si="18"/>
        <v>0</v>
      </c>
      <c r="G103" s="1815">
        <f t="shared" si="19"/>
        <v>0</v>
      </c>
    </row>
    <row r="104" spans="1:7">
      <c r="A104" s="1675" t="s">
        <v>2333</v>
      </c>
      <c r="B104" s="1688" t="s">
        <v>2372</v>
      </c>
      <c r="C104" s="2077" t="s">
        <v>2291</v>
      </c>
      <c r="D104" s="1865">
        <v>36367</v>
      </c>
      <c r="E104" s="1562">
        <f t="shared" si="17"/>
        <v>25000</v>
      </c>
      <c r="F104" s="1814">
        <f t="shared" si="18"/>
        <v>0</v>
      </c>
      <c r="G104" s="1815">
        <f t="shared" si="19"/>
        <v>0</v>
      </c>
    </row>
    <row r="105" spans="1:7" ht="30">
      <c r="A105" s="1675" t="s">
        <v>2379</v>
      </c>
      <c r="B105" s="1688" t="s">
        <v>2380</v>
      </c>
      <c r="C105" s="2077" t="s">
        <v>2302</v>
      </c>
      <c r="D105" s="1865">
        <v>30072</v>
      </c>
      <c r="E105" s="1562">
        <f t="shared" si="17"/>
        <v>25000</v>
      </c>
      <c r="F105" s="1814">
        <f t="shared" si="18"/>
        <v>25000</v>
      </c>
      <c r="G105" s="1815">
        <f t="shared" si="19"/>
        <v>5072</v>
      </c>
    </row>
    <row r="106" spans="1:7">
      <c r="A106" s="1675" t="s">
        <v>2326</v>
      </c>
      <c r="B106" s="1688" t="s">
        <v>2327</v>
      </c>
      <c r="C106" s="2077" t="s">
        <v>2256</v>
      </c>
      <c r="D106" s="1865">
        <v>35239.339999999997</v>
      </c>
      <c r="E106" s="1562">
        <f t="shared" si="17"/>
        <v>25000</v>
      </c>
      <c r="F106" s="1814">
        <f t="shared" si="18"/>
        <v>25000</v>
      </c>
      <c r="G106" s="1815">
        <f t="shared" si="19"/>
        <v>10239.339999999997</v>
      </c>
    </row>
    <row r="107" spans="1:7">
      <c r="A107" s="1675" t="s">
        <v>2366</v>
      </c>
      <c r="B107" s="1688" t="s">
        <v>2344</v>
      </c>
      <c r="C107" s="2077" t="s">
        <v>2303</v>
      </c>
      <c r="D107" s="1865">
        <v>62971.51</v>
      </c>
      <c r="E107" s="1562">
        <f t="shared" si="17"/>
        <v>25000</v>
      </c>
      <c r="F107" s="1814">
        <f t="shared" si="18"/>
        <v>25000</v>
      </c>
      <c r="G107" s="1815">
        <f t="shared" si="19"/>
        <v>37971.51</v>
      </c>
    </row>
    <row r="108" spans="1:7">
      <c r="A108" s="1675" t="s">
        <v>2366</v>
      </c>
      <c r="B108" s="1688" t="s">
        <v>2344</v>
      </c>
      <c r="C108" s="2077" t="s">
        <v>2292</v>
      </c>
      <c r="D108" s="1865">
        <v>31074.01</v>
      </c>
      <c r="E108" s="1562">
        <f t="shared" si="17"/>
        <v>25000</v>
      </c>
      <c r="F108" s="1814">
        <f t="shared" si="18"/>
        <v>25000</v>
      </c>
      <c r="G108" s="1815">
        <f t="shared" si="19"/>
        <v>6074.0099999999984</v>
      </c>
    </row>
    <row r="109" spans="1:7" ht="30">
      <c r="A109" s="1675" t="s">
        <v>2379</v>
      </c>
      <c r="B109" s="1688" t="s">
        <v>2380</v>
      </c>
      <c r="C109" s="2077" t="s">
        <v>2304</v>
      </c>
      <c r="D109" s="1865">
        <v>31870.32</v>
      </c>
      <c r="E109" s="1562">
        <f t="shared" si="17"/>
        <v>25000</v>
      </c>
      <c r="F109" s="1814">
        <f t="shared" si="18"/>
        <v>25000</v>
      </c>
      <c r="G109" s="1815">
        <f t="shared" si="19"/>
        <v>6870.32</v>
      </c>
    </row>
    <row r="110" spans="1:7">
      <c r="A110" s="1675" t="s">
        <v>2339</v>
      </c>
      <c r="B110" s="1688" t="s">
        <v>2340</v>
      </c>
      <c r="C110" s="2077" t="s">
        <v>2305</v>
      </c>
      <c r="D110" s="1865">
        <v>70748.800000000003</v>
      </c>
      <c r="E110" s="1562">
        <f t="shared" si="17"/>
        <v>25000</v>
      </c>
      <c r="F110" s="1814">
        <f t="shared" si="18"/>
        <v>0</v>
      </c>
      <c r="G110" s="1815">
        <f t="shared" si="19"/>
        <v>0</v>
      </c>
    </row>
    <row r="111" spans="1:7">
      <c r="A111" s="1675" t="s">
        <v>2341</v>
      </c>
      <c r="B111" s="1688" t="s">
        <v>2342</v>
      </c>
      <c r="C111" s="2077" t="s">
        <v>2307</v>
      </c>
      <c r="D111" s="1865">
        <v>94576.16</v>
      </c>
      <c r="E111" s="1562">
        <f t="shared" si="17"/>
        <v>25000</v>
      </c>
      <c r="F111" s="1814">
        <f t="shared" si="18"/>
        <v>0</v>
      </c>
      <c r="G111" s="1815">
        <f t="shared" si="19"/>
        <v>0</v>
      </c>
    </row>
    <row r="112" spans="1:7">
      <c r="A112" s="1675" t="s">
        <v>2324</v>
      </c>
      <c r="B112" s="1688" t="s">
        <v>2325</v>
      </c>
      <c r="C112" s="2077" t="s">
        <v>2258</v>
      </c>
      <c r="D112" s="1865">
        <v>67885.039999999994</v>
      </c>
      <c r="E112" s="1562">
        <f t="shared" si="17"/>
        <v>25000</v>
      </c>
      <c r="F112" s="1814">
        <f t="shared" si="18"/>
        <v>0</v>
      </c>
      <c r="G112" s="1815">
        <f t="shared" si="19"/>
        <v>0</v>
      </c>
    </row>
    <row r="113" spans="1:7">
      <c r="A113" s="1675" t="s">
        <v>2324</v>
      </c>
      <c r="B113" s="1688" t="s">
        <v>2325</v>
      </c>
      <c r="C113" s="2077" t="s">
        <v>2295</v>
      </c>
      <c r="D113" s="1865">
        <v>37436.660000000003</v>
      </c>
      <c r="E113" s="1562">
        <f t="shared" ref="E113:E125" si="20">IF(D113&lt;=25000,D113,IF(D113&gt;25000,25000,0))</f>
        <v>25000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t="30">
      <c r="A114" s="1675" t="s">
        <v>2379</v>
      </c>
      <c r="B114" s="1688" t="s">
        <v>2380</v>
      </c>
      <c r="C114" s="2077" t="s">
        <v>2308</v>
      </c>
      <c r="D114" s="1865">
        <v>39343.019999999997</v>
      </c>
      <c r="E114" s="1562">
        <f t="shared" si="20"/>
        <v>25000</v>
      </c>
      <c r="F114" s="1814">
        <f t="shared" si="21"/>
        <v>25000</v>
      </c>
      <c r="G114" s="1815">
        <f t="shared" si="22"/>
        <v>14343.019999999997</v>
      </c>
    </row>
    <row r="115" spans="1:7">
      <c r="A115" s="1675" t="s">
        <v>2324</v>
      </c>
      <c r="B115" s="1688" t="s">
        <v>2325</v>
      </c>
      <c r="C115" s="2077" t="s">
        <v>2309</v>
      </c>
      <c r="D115" s="1865">
        <v>51395.24</v>
      </c>
      <c r="E115" s="1562">
        <f t="shared" si="20"/>
        <v>25000</v>
      </c>
      <c r="F115" s="1814">
        <f t="shared" si="21"/>
        <v>0</v>
      </c>
      <c r="G115" s="1815">
        <f t="shared" si="22"/>
        <v>0</v>
      </c>
    </row>
    <row r="116" spans="1:7">
      <c r="A116" s="1675" t="s">
        <v>2341</v>
      </c>
      <c r="B116" s="1688" t="s">
        <v>2381</v>
      </c>
      <c r="C116" s="2077" t="s">
        <v>2310</v>
      </c>
      <c r="D116" s="1865">
        <v>25693.01</v>
      </c>
      <c r="E116" s="1562">
        <f t="shared" si="20"/>
        <v>25000</v>
      </c>
      <c r="F116" s="1814">
        <f t="shared" si="21"/>
        <v>25000</v>
      </c>
      <c r="G116" s="1815">
        <f t="shared" si="22"/>
        <v>693.0099999999984</v>
      </c>
    </row>
    <row r="117" spans="1:7">
      <c r="A117" s="1675" t="s">
        <v>2324</v>
      </c>
      <c r="B117" s="1688" t="s">
        <v>2325</v>
      </c>
      <c r="C117" s="2077" t="s">
        <v>2260</v>
      </c>
      <c r="D117" s="1865">
        <v>118723.23</v>
      </c>
      <c r="E117" s="1562">
        <f t="shared" si="20"/>
        <v>25000</v>
      </c>
      <c r="F117" s="1814">
        <f t="shared" si="21"/>
        <v>0</v>
      </c>
      <c r="G117" s="1815">
        <f t="shared" si="22"/>
        <v>0</v>
      </c>
    </row>
    <row r="118" spans="1:7">
      <c r="A118" s="1675" t="s">
        <v>2357</v>
      </c>
      <c r="B118" s="1688" t="s">
        <v>2358</v>
      </c>
      <c r="C118" s="2077" t="s">
        <v>2261</v>
      </c>
      <c r="D118" s="1865">
        <v>64932.44</v>
      </c>
      <c r="E118" s="1562">
        <f t="shared" si="20"/>
        <v>25000</v>
      </c>
      <c r="F118" s="1814">
        <f t="shared" si="21"/>
        <v>0</v>
      </c>
      <c r="G118" s="1815">
        <f t="shared" si="22"/>
        <v>0</v>
      </c>
    </row>
    <row r="119" spans="1:7">
      <c r="A119" s="1675" t="s">
        <v>2324</v>
      </c>
      <c r="B119" s="1688" t="s">
        <v>2325</v>
      </c>
      <c r="C119" s="2077" t="s">
        <v>2262</v>
      </c>
      <c r="D119" s="1865">
        <v>60140.7</v>
      </c>
      <c r="E119" s="1562">
        <f t="shared" si="20"/>
        <v>25000</v>
      </c>
      <c r="F119" s="1814">
        <f t="shared" si="21"/>
        <v>0</v>
      </c>
      <c r="G119" s="1815">
        <f t="shared" si="22"/>
        <v>0</v>
      </c>
    </row>
    <row r="120" spans="1:7" ht="30">
      <c r="A120" s="1675" t="s">
        <v>2345</v>
      </c>
      <c r="B120" s="1688" t="s">
        <v>2378</v>
      </c>
      <c r="C120" s="2077" t="s">
        <v>2311</v>
      </c>
      <c r="D120" s="1865">
        <v>28337.31</v>
      </c>
      <c r="E120" s="1562">
        <f t="shared" si="20"/>
        <v>25000</v>
      </c>
      <c r="F120" s="1814">
        <f t="shared" si="21"/>
        <v>0</v>
      </c>
      <c r="G120" s="1815">
        <f t="shared" si="22"/>
        <v>0</v>
      </c>
    </row>
    <row r="121" spans="1:7">
      <c r="A121" s="1675" t="s">
        <v>2324</v>
      </c>
      <c r="B121" s="1688" t="s">
        <v>2325</v>
      </c>
      <c r="C121" s="2077" t="s">
        <v>2312</v>
      </c>
      <c r="D121" s="1865">
        <v>26718.75</v>
      </c>
      <c r="E121" s="1562">
        <f t="shared" si="20"/>
        <v>25000</v>
      </c>
      <c r="F121" s="1814">
        <f t="shared" si="21"/>
        <v>0</v>
      </c>
      <c r="G121" s="1815">
        <f t="shared" si="22"/>
        <v>0</v>
      </c>
    </row>
    <row r="122" spans="1:7" ht="30">
      <c r="A122" s="1675" t="s">
        <v>2379</v>
      </c>
      <c r="B122" s="1688" t="s">
        <v>2380</v>
      </c>
      <c r="C122" s="2077" t="s">
        <v>2313</v>
      </c>
      <c r="D122" s="1865">
        <v>25500</v>
      </c>
      <c r="E122" s="1562">
        <f t="shared" si="20"/>
        <v>25000</v>
      </c>
      <c r="F122" s="1814">
        <f t="shared" si="21"/>
        <v>25000</v>
      </c>
      <c r="G122" s="1815">
        <f t="shared" si="22"/>
        <v>500</v>
      </c>
    </row>
    <row r="123" spans="1:7">
      <c r="A123" s="1675" t="s">
        <v>2333</v>
      </c>
      <c r="B123" s="1688" t="s">
        <v>2359</v>
      </c>
      <c r="C123" s="2077" t="s">
        <v>2283</v>
      </c>
      <c r="D123" s="1865">
        <v>82522.25</v>
      </c>
      <c r="E123" s="1562">
        <f t="shared" si="20"/>
        <v>25000</v>
      </c>
      <c r="F123" s="1814">
        <f t="shared" si="21"/>
        <v>0</v>
      </c>
      <c r="G123" s="1815">
        <f t="shared" si="22"/>
        <v>0</v>
      </c>
    </row>
    <row r="124" spans="1:7">
      <c r="A124" s="1675" t="s">
        <v>2337</v>
      </c>
      <c r="B124" s="1688" t="s">
        <v>2360</v>
      </c>
      <c r="C124" s="2077" t="s">
        <v>2266</v>
      </c>
      <c r="D124" s="1865">
        <v>90333.72</v>
      </c>
      <c r="E124" s="1562">
        <f t="shared" si="20"/>
        <v>25000</v>
      </c>
      <c r="F124" s="1814">
        <f t="shared" si="21"/>
        <v>0</v>
      </c>
      <c r="G124" s="1815">
        <f t="shared" si="22"/>
        <v>0</v>
      </c>
    </row>
    <row r="125" spans="1:7">
      <c r="A125" s="1675" t="s">
        <v>2382</v>
      </c>
      <c r="B125" s="1688" t="s">
        <v>2344</v>
      </c>
      <c r="C125" s="2077" t="s">
        <v>2314</v>
      </c>
      <c r="D125" s="1865">
        <v>61013.94</v>
      </c>
      <c r="E125" s="1562">
        <f t="shared" si="20"/>
        <v>25000</v>
      </c>
      <c r="F125" s="1814">
        <f t="shared" si="21"/>
        <v>25000</v>
      </c>
      <c r="G125" s="1815">
        <f t="shared" si="22"/>
        <v>36013.94</v>
      </c>
    </row>
    <row r="126" spans="1:7">
      <c r="A126" s="1675" t="s">
        <v>2382</v>
      </c>
      <c r="B126" s="1688" t="s">
        <v>2344</v>
      </c>
      <c r="C126" s="2077" t="s">
        <v>2315</v>
      </c>
      <c r="D126" s="1865">
        <v>1306628.79</v>
      </c>
      <c r="E126" s="1562">
        <f t="shared" ref="E126:E134" si="23">IF(D126&lt;=25000,D126,IF(D126&gt;25000,25000,0))</f>
        <v>25000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25000</v>
      </c>
      <c r="G126" s="1815">
        <f t="shared" ref="G126:G134" si="25">IF(F126=0,0,D126-F126)</f>
        <v>1281628.79</v>
      </c>
    </row>
    <row r="127" spans="1:7">
      <c r="A127" s="1675" t="s">
        <v>2318</v>
      </c>
      <c r="B127" s="1688" t="s">
        <v>2321</v>
      </c>
      <c r="C127" s="2077" t="s">
        <v>2316</v>
      </c>
      <c r="D127" s="1865">
        <v>43082.91</v>
      </c>
      <c r="E127" s="1562">
        <f t="shared" si="23"/>
        <v>25000</v>
      </c>
      <c r="F127" s="1814">
        <f t="shared" si="24"/>
        <v>25000</v>
      </c>
      <c r="G127" s="1815">
        <f t="shared" si="25"/>
        <v>18082.910000000003</v>
      </c>
    </row>
    <row r="128" spans="1:7" ht="30">
      <c r="A128" s="1675" t="s">
        <v>2383</v>
      </c>
      <c r="B128" s="1688" t="s">
        <v>2384</v>
      </c>
      <c r="C128" s="2077" t="s">
        <v>2317</v>
      </c>
      <c r="D128" s="1865">
        <v>30000</v>
      </c>
      <c r="E128" s="1562">
        <f t="shared" si="23"/>
        <v>25000</v>
      </c>
      <c r="F128" s="1814">
        <f t="shared" si="24"/>
        <v>25000</v>
      </c>
      <c r="G128" s="1815">
        <f t="shared" si="25"/>
        <v>5000</v>
      </c>
    </row>
    <row r="129" spans="1:7">
      <c r="A129" s="1675"/>
      <c r="B129" s="1688"/>
      <c r="C129" s="1676"/>
      <c r="D129" s="1865"/>
      <c r="E129" s="1562">
        <f t="shared" si="23"/>
        <v>0</v>
      </c>
      <c r="F129" s="1814">
        <f t="shared" si="24"/>
        <v>0</v>
      </c>
      <c r="G129" s="1815">
        <f t="shared" si="25"/>
        <v>0</v>
      </c>
    </row>
    <row r="130" spans="1:7">
      <c r="A130" s="1675"/>
      <c r="B130" s="1688"/>
      <c r="C130" s="1676"/>
      <c r="D130" s="1865"/>
      <c r="E130" s="1562">
        <f t="shared" si="23"/>
        <v>0</v>
      </c>
      <c r="F130" s="1814">
        <f t="shared" si="24"/>
        <v>0</v>
      </c>
      <c r="G130" s="1815">
        <f t="shared" si="25"/>
        <v>0</v>
      </c>
    </row>
    <row r="131" spans="1:7">
      <c r="A131" s="1675"/>
      <c r="B131" s="1859"/>
      <c r="C131" s="1676"/>
      <c r="D131" s="1865"/>
      <c r="E131" s="1562">
        <f t="shared" si="23"/>
        <v>0</v>
      </c>
      <c r="F131" s="1814">
        <f t="shared" si="24"/>
        <v>0</v>
      </c>
      <c r="G131" s="1815">
        <f t="shared" si="25"/>
        <v>0</v>
      </c>
    </row>
    <row r="132" spans="1:7">
      <c r="A132" s="1675"/>
      <c r="B132" s="1859"/>
      <c r="C132" s="1676"/>
      <c r="D132" s="1865"/>
      <c r="E132" s="1562">
        <f t="shared" si="23"/>
        <v>0</v>
      </c>
      <c r="F132" s="1814">
        <f t="shared" si="24"/>
        <v>0</v>
      </c>
      <c r="G132" s="1815">
        <f t="shared" si="25"/>
        <v>0</v>
      </c>
    </row>
    <row r="133" spans="1:7">
      <c r="A133" s="1675"/>
      <c r="B133" s="1688"/>
      <c r="C133" s="1676"/>
      <c r="D133" s="1865"/>
      <c r="E133" s="1562">
        <f t="shared" si="23"/>
        <v>0</v>
      </c>
      <c r="F133" s="1814">
        <f t="shared" si="24"/>
        <v>0</v>
      </c>
      <c r="G133" s="1815">
        <f t="shared" si="25"/>
        <v>0</v>
      </c>
    </row>
    <row r="134" spans="1:7">
      <c r="A134" s="1675"/>
      <c r="B134" s="1688"/>
      <c r="C134" s="1676"/>
      <c r="D134" s="1865"/>
      <c r="E134" s="1562">
        <f t="shared" si="23"/>
        <v>0</v>
      </c>
      <c r="F134" s="1814">
        <f t="shared" si="24"/>
        <v>0</v>
      </c>
      <c r="G134" s="1815">
        <f t="shared" si="25"/>
        <v>0</v>
      </c>
    </row>
    <row r="135" spans="1:7">
      <c r="A135" s="1675"/>
      <c r="B135" s="1688"/>
      <c r="C135" s="1676"/>
      <c r="D135" s="1865"/>
      <c r="E135" s="1562">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c r="A136" s="1675"/>
      <c r="B136" s="1688"/>
      <c r="C136" s="1676"/>
      <c r="D136" s="1865"/>
      <c r="E136" s="1562">
        <f t="shared" si="26"/>
        <v>0</v>
      </c>
      <c r="F136" s="1814">
        <f t="shared" si="27"/>
        <v>0</v>
      </c>
      <c r="G136" s="1815">
        <f t="shared" si="28"/>
        <v>0</v>
      </c>
    </row>
    <row r="137" spans="1:7">
      <c r="A137" s="1675"/>
      <c r="B137" s="1688"/>
      <c r="C137" s="1676"/>
      <c r="D137" s="1865"/>
      <c r="E137" s="1562">
        <f t="shared" si="26"/>
        <v>0</v>
      </c>
      <c r="F137" s="1814">
        <f t="shared" si="27"/>
        <v>0</v>
      </c>
      <c r="G137" s="1815">
        <f t="shared" si="28"/>
        <v>0</v>
      </c>
    </row>
    <row r="138" spans="1:7">
      <c r="A138" s="1675"/>
      <c r="B138" s="1688"/>
      <c r="C138" s="1676"/>
      <c r="D138" s="1865"/>
      <c r="E138" s="1562">
        <f t="shared" si="26"/>
        <v>0</v>
      </c>
      <c r="F138" s="1814">
        <f t="shared" si="27"/>
        <v>0</v>
      </c>
      <c r="G138" s="1815">
        <f t="shared" si="28"/>
        <v>0</v>
      </c>
    </row>
    <row r="139" spans="1:7">
      <c r="A139" s="1675"/>
      <c r="B139" s="1688"/>
      <c r="C139" s="1676"/>
      <c r="D139" s="1865"/>
      <c r="E139" s="1562">
        <f t="shared" si="26"/>
        <v>0</v>
      </c>
      <c r="F139" s="1814">
        <f t="shared" si="27"/>
        <v>0</v>
      </c>
      <c r="G139" s="1815">
        <f t="shared" si="28"/>
        <v>0</v>
      </c>
    </row>
    <row r="140" spans="1:7">
      <c r="A140" s="1675"/>
      <c r="B140" s="1687"/>
      <c r="C140" s="1676"/>
      <c r="D140" s="1865"/>
      <c r="E140" s="1562">
        <f t="shared" si="2"/>
        <v>0</v>
      </c>
      <c r="F140" s="1814">
        <f t="shared" si="3"/>
        <v>0</v>
      </c>
      <c r="G140" s="1815">
        <f t="shared" si="4"/>
        <v>0</v>
      </c>
    </row>
    <row r="141" spans="1:7">
      <c r="A141" s="1818" t="s">
        <v>158</v>
      </c>
      <c r="B141" s="1819"/>
      <c r="C141" s="1820"/>
      <c r="D141" s="1816">
        <f>SUM(D17:D140)</f>
        <v>12325014.599999998</v>
      </c>
      <c r="E141" s="1563">
        <f t="shared" si="1"/>
        <v>25000</v>
      </c>
      <c r="F141" s="1816">
        <f>SUM(F17:F140)</f>
        <v>1150000</v>
      </c>
      <c r="G141" s="1817">
        <f>SUM(G17:G140)</f>
        <v>5767645.3399999999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tabSelected="1" defaultGridColor="0" topLeftCell="A4" colorId="8" zoomScale="110" zoomScaleNormal="110" workbookViewId="0">
      <selection activeCell="E40" sqref="E40"/>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6" t="s">
        <v>1176</v>
      </c>
      <c r="B1" s="1657"/>
      <c r="C1" s="1658"/>
    </row>
    <row r="2" spans="1:9">
      <c r="A2" s="953" t="s">
        <v>1177</v>
      </c>
      <c r="B2" s="954"/>
      <c r="C2" s="954"/>
      <c r="D2" s="954"/>
      <c r="E2" s="955"/>
      <c r="F2" s="955"/>
      <c r="G2" s="956"/>
    </row>
    <row r="3" spans="1:9" ht="12" customHeight="1">
      <c r="A3" s="957" t="s">
        <v>1422</v>
      </c>
      <c r="B3" s="958"/>
      <c r="C3" s="958"/>
      <c r="D3" s="958"/>
      <c r="E3" s="959"/>
      <c r="F3" s="959"/>
      <c r="G3" s="960"/>
    </row>
    <row r="4" spans="1:9">
      <c r="A4" s="961" t="s">
        <v>778</v>
      </c>
      <c r="B4" s="962"/>
      <c r="C4" s="962"/>
      <c r="D4" s="962"/>
      <c r="E4" s="963"/>
      <c r="F4" s="964"/>
      <c r="G4" s="965"/>
      <c r="H4" s="252"/>
      <c r="I4" s="252"/>
    </row>
    <row r="5" spans="1:9" s="343" customFormat="1" ht="57" customHeight="1">
      <c r="A5" s="2419" t="s">
        <v>1777</v>
      </c>
      <c r="B5" s="2420"/>
      <c r="C5" s="2420"/>
      <c r="D5" s="2420"/>
      <c r="E5" s="2420"/>
      <c r="F5" s="2420"/>
      <c r="G5" s="2421"/>
      <c r="H5" s="252"/>
      <c r="I5" s="610"/>
    </row>
    <row r="6" spans="1:9" s="669" customFormat="1">
      <c r="A6" s="1659" t="s">
        <v>214</v>
      </c>
      <c r="B6" s="967"/>
      <c r="C6" s="967"/>
      <c r="D6" s="968"/>
      <c r="E6" s="968"/>
      <c r="F6" s="969"/>
      <c r="G6" s="970"/>
      <c r="H6" s="162"/>
      <c r="I6" s="162"/>
    </row>
    <row r="7" spans="1:9" s="669" customFormat="1" ht="12" customHeight="1">
      <c r="A7" s="971" t="s">
        <v>963</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2070</v>
      </c>
      <c r="B10" s="972"/>
      <c r="C10" s="977"/>
      <c r="D10" s="973"/>
      <c r="E10" s="974"/>
      <c r="F10" s="975"/>
      <c r="G10" s="976"/>
      <c r="H10" s="162"/>
      <c r="I10" s="162"/>
    </row>
    <row r="11" spans="1:9" s="669" customFormat="1" ht="22.5" customHeight="1">
      <c r="A11" s="2424" t="s">
        <v>1940</v>
      </c>
      <c r="B11" s="2425"/>
      <c r="C11" s="2425"/>
      <c r="D11" s="2426"/>
      <c r="E11" s="978">
        <v>165494</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388</v>
      </c>
      <c r="B15" s="968"/>
      <c r="C15" s="968"/>
      <c r="D15" s="968"/>
      <c r="E15" s="968"/>
      <c r="F15" s="968"/>
      <c r="G15" s="982"/>
      <c r="H15" s="162"/>
      <c r="I15" s="162"/>
    </row>
    <row r="16" spans="1:9" s="669" customFormat="1">
      <c r="A16" s="983" t="s">
        <v>1442</v>
      </c>
      <c r="B16" s="984"/>
      <c r="C16" s="985"/>
      <c r="D16" s="964"/>
      <c r="E16" s="959"/>
      <c r="F16" s="959"/>
      <c r="G16" s="960"/>
      <c r="H16" s="162"/>
      <c r="I16" s="162"/>
    </row>
    <row r="17" spans="1:9" s="669" customFormat="1" ht="12" customHeight="1">
      <c r="A17" s="986"/>
      <c r="B17" s="987"/>
      <c r="C17" s="329"/>
      <c r="D17" s="1660" t="s">
        <v>552</v>
      </c>
      <c r="E17" s="1661"/>
      <c r="F17" s="1660" t="s">
        <v>452</v>
      </c>
      <c r="G17" s="1662"/>
      <c r="H17" s="162"/>
      <c r="I17" s="162"/>
    </row>
    <row r="18" spans="1:9" s="259" customFormat="1" ht="11.25">
      <c r="A18" s="989"/>
      <c r="C18" s="990" t="s">
        <v>453</v>
      </c>
      <c r="D18" s="1663" t="s">
        <v>454</v>
      </c>
      <c r="E18" s="1663" t="s">
        <v>55</v>
      </c>
      <c r="F18" s="1663" t="s">
        <v>454</v>
      </c>
      <c r="G18" s="1663" t="s">
        <v>55</v>
      </c>
      <c r="H18" s="178"/>
      <c r="I18" s="178"/>
    </row>
    <row r="19" spans="1:9" s="669" customFormat="1" ht="12" customHeight="1">
      <c r="A19" s="991" t="s">
        <v>475</v>
      </c>
      <c r="B19" s="992"/>
      <c r="C19" s="993" t="s">
        <v>590</v>
      </c>
      <c r="D19" s="1821"/>
      <c r="E19" s="1822">
        <f>'Expenditures 15-22'!K33-SUM('Expenditures 15-22'!G33,'Expenditures 15-22'!I33)+'Expenditures 15-22'!D229</f>
        <v>65431902</v>
      </c>
      <c r="F19" s="1821"/>
      <c r="G19" s="1823">
        <f>'Expenditures 15-22'!K33-SUM('Expenditures 15-22'!G33,'Expenditures 15-22'!I33)+'Expenditures 15-22'!D229</f>
        <v>65431902</v>
      </c>
      <c r="H19" s="988"/>
      <c r="I19" s="162"/>
    </row>
    <row r="20" spans="1:9" s="669" customFormat="1" ht="12" customHeight="1">
      <c r="A20" s="991" t="s">
        <v>56</v>
      </c>
      <c r="B20" s="992"/>
      <c r="C20" s="994"/>
      <c r="D20" s="1824"/>
      <c r="E20" s="1824"/>
      <c r="F20" s="1824"/>
      <c r="G20" s="1825"/>
      <c r="H20" s="988"/>
      <c r="I20" s="162"/>
    </row>
    <row r="21" spans="1:9" s="669" customFormat="1" ht="12" customHeight="1">
      <c r="A21" s="995" t="s">
        <v>420</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8828237</v>
      </c>
      <c r="F21" s="1824"/>
      <c r="G21" s="1827">
        <f>'Expenditures 15-22'!K42-SUM('Expenditures 15-22'!G42,'Expenditures 15-22'!I42)+'Expenditures 15-22'!K120-SUM('Expenditures 15-22'!G120,'Expenditures 15-22'!I120)+'Expenditures 15-22'!K180-SUM('Expenditures 15-22'!G180,'Expenditures 15-22'!I180)+'Expenditures 15-22'!D238</f>
        <v>8828237</v>
      </c>
      <c r="H21" s="988"/>
      <c r="I21" s="162"/>
    </row>
    <row r="22" spans="1:9" s="669" customFormat="1" ht="12" customHeight="1">
      <c r="A22" s="995" t="s">
        <v>584</v>
      </c>
      <c r="B22" s="996"/>
      <c r="C22" s="994">
        <v>2200</v>
      </c>
      <c r="D22" s="1824"/>
      <c r="E22" s="1826">
        <f>'Expenditures 15-22'!K47-SUM('Expenditures 15-22'!G47,'Expenditures 15-22'!I47)+'Expenditures 15-22'!D243</f>
        <v>4589585</v>
      </c>
      <c r="F22" s="1824"/>
      <c r="G22" s="1827">
        <f>'Expenditures 15-22'!K47-SUM('Expenditures 15-22'!G47,'Expenditures 15-22'!I47)+'Expenditures 15-22'!D243</f>
        <v>4589585</v>
      </c>
      <c r="H22" s="988"/>
      <c r="I22" s="162"/>
    </row>
    <row r="23" spans="1:9" s="669" customFormat="1" ht="12" customHeight="1">
      <c r="A23" s="995" t="s">
        <v>585</v>
      </c>
      <c r="B23" s="996"/>
      <c r="C23" s="994">
        <v>2300</v>
      </c>
      <c r="D23" s="1824"/>
      <c r="E23" s="1826">
        <f>'Expenditures 15-22'!K53-SUM('Expenditures 15-22'!G53,'Expenditures 15-22'!I53)+'Expenditures 15-22'!D257+'Expenditures 15-22'!K330-SUM('Expenditures 15-22'!G330,'Expenditures 15-22'!I330)</f>
        <v>4164289</v>
      </c>
      <c r="F23" s="1824"/>
      <c r="G23" s="1826">
        <f>'Expenditures 15-22'!K53-SUM('Expenditures 15-22'!G53,'Expenditures 15-22'!I53)+'Expenditures 15-22'!D257+'Expenditures 15-22'!K330-SUM('Expenditures 15-22'!G330,'Expenditures 15-22'!I330)</f>
        <v>4164289</v>
      </c>
      <c r="H23" s="988"/>
      <c r="I23" s="162"/>
    </row>
    <row r="24" spans="1:9" s="669" customFormat="1" ht="12" customHeight="1">
      <c r="A24" s="995" t="s">
        <v>586</v>
      </c>
      <c r="B24" s="996"/>
      <c r="C24" s="994">
        <v>2400</v>
      </c>
      <c r="D24" s="1824"/>
      <c r="E24" s="1826">
        <f>'Expenditures 15-22'!K57-SUM('Expenditures 15-22'!G57,'Expenditures 15-22'!I57)+'Expenditures 15-22'!D261</f>
        <v>5312018</v>
      </c>
      <c r="F24" s="1824"/>
      <c r="G24" s="1827">
        <f>'Expenditures 15-22'!K57-SUM('Expenditures 15-22'!G57,'Expenditures 15-22'!I57)+'Expenditures 15-22'!D261</f>
        <v>5312018</v>
      </c>
      <c r="H24" s="988"/>
      <c r="I24" s="162"/>
    </row>
    <row r="25" spans="1:9" s="669" customFormat="1" ht="12" customHeight="1">
      <c r="A25" s="991" t="s">
        <v>587</v>
      </c>
      <c r="B25" s="997"/>
      <c r="C25" s="994"/>
      <c r="D25" s="1824"/>
      <c r="E25" s="1826"/>
      <c r="F25" s="1824"/>
      <c r="G25" s="1827"/>
      <c r="H25" s="988"/>
      <c r="I25" s="162"/>
    </row>
    <row r="26" spans="1:9" s="669" customFormat="1" ht="12" customHeight="1">
      <c r="A26" s="995" t="s">
        <v>535</v>
      </c>
      <c r="B26" s="998"/>
      <c r="C26" s="994">
        <v>2510</v>
      </c>
      <c r="D26" s="1826">
        <f>'Expenditures 15-22'!K59-SUM('Expenditures 15-22'!G59,'Expenditures 15-22'!I59)+'Expenditures 15-22'!D263-E7</f>
        <v>467050</v>
      </c>
      <c r="E26" s="1826">
        <f>'Expenditures 15-22'!K122-SUM('Expenditures 15-22'!G122,'Expenditures 15-22'!I122)+E7</f>
        <v>0</v>
      </c>
      <c r="F26" s="1826">
        <f>'Expenditures 15-22'!K59-SUM('Expenditures 15-22'!G59,'Expenditures 15-22'!I59)+'Expenditures 15-22'!D263-E7</f>
        <v>467050</v>
      </c>
      <c r="G26" s="1827">
        <f>'Expenditures 15-22'!K122-SUM('Expenditures 15-22'!G122,'Expenditures 15-22'!I122)+E7</f>
        <v>0</v>
      </c>
      <c r="H26" s="988"/>
      <c r="I26" s="162"/>
    </row>
    <row r="27" spans="1:9" s="669" customFormat="1" ht="12" customHeight="1">
      <c r="A27" s="995" t="s">
        <v>482</v>
      </c>
      <c r="B27" s="998"/>
      <c r="C27" s="994">
        <v>2520</v>
      </c>
      <c r="D27" s="1826">
        <f>'Expenditures 15-22'!K60-SUM('Expenditures 15-22'!G60,'Expenditures 15-22'!I60)+'Expenditures 15-22'!D264-E8</f>
        <v>575200</v>
      </c>
      <c r="E27" s="1826">
        <f>E8</f>
        <v>0</v>
      </c>
      <c r="F27" s="1826">
        <f>'Expenditures 15-22'!K60-SUM('Expenditures 15-22'!G60,'Expenditures 15-22'!I60)+'Expenditures 15-22'!D264-E8</f>
        <v>575200</v>
      </c>
      <c r="G27" s="1827">
        <f>E8</f>
        <v>0</v>
      </c>
      <c r="H27" s="988"/>
      <c r="I27" s="162"/>
    </row>
    <row r="28" spans="1:9" s="669" customFormat="1" ht="12" customHeight="1">
      <c r="A28" s="995" t="s">
        <v>536</v>
      </c>
      <c r="B28" s="998"/>
      <c r="C28" s="994">
        <v>2540</v>
      </c>
      <c r="D28" s="1828"/>
      <c r="E28" s="1826">
        <f>'Expenditures 15-22'!K61-SUM('Expenditures 15-22'!G61,'Expenditures 15-22'!I61)+'Expenditures 15-22'!K124-SUM('Expenditures 15-22'!G124,'Expenditures 15-22'!I124)+'Expenditures 15-22'!D266</f>
        <v>7423617</v>
      </c>
      <c r="F28" s="1828">
        <f>'Expenditures 15-22'!K61-SUM('Expenditures 15-22'!G61,'Expenditures 15-22'!I61)+'Expenditures 15-22'!K124-SUM('Expenditures 15-22'!G124,'Expenditures 15-22'!I124)+'Expenditures 15-22'!D266-E9</f>
        <v>7423617</v>
      </c>
      <c r="G28" s="1827">
        <f>E9</f>
        <v>0</v>
      </c>
      <c r="H28" s="988"/>
      <c r="I28" s="162"/>
    </row>
    <row r="29" spans="1:9" ht="12" customHeight="1">
      <c r="A29" s="995" t="s">
        <v>537</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4356839</v>
      </c>
      <c r="F29" s="1824"/>
      <c r="G29" s="1827">
        <f>'Expenditures 15-22'!K62-SUM('Expenditures 15-22'!G62,'Expenditures 15-22'!I62)+'Expenditures 15-22'!K125-SUM('Expenditures 15-22'!G125,'Expenditures 15-22'!I125)+'Expenditures 15-22'!K182-SUM('Expenditures 15-22'!G182,'Expenditures 15-22'!I182)+'Expenditures 15-22'!D267</f>
        <v>4356839</v>
      </c>
      <c r="H29" s="986"/>
    </row>
    <row r="30" spans="1:9" ht="12" customHeight="1">
      <c r="A30" s="995" t="s">
        <v>102</v>
      </c>
      <c r="B30" s="998"/>
      <c r="C30" s="994">
        <v>2560</v>
      </c>
      <c r="D30" s="1824"/>
      <c r="E30" s="1826">
        <f>'Expenditures 15-22'!K63-SUM('Expenditures 15-22'!G63,'Expenditures 15-22'!I63)+'Expenditures 15-22'!D268-E10</f>
        <v>2233036</v>
      </c>
      <c r="F30" s="1824"/>
      <c r="G30" s="1826">
        <f>'Expenditures 15-22'!K63-SUM('Expenditures 15-22'!G63,'Expenditures 15-22'!I63)+'Expenditures 15-22'!D268-E10</f>
        <v>2233036</v>
      </c>
    </row>
    <row r="31" spans="1:9" ht="12" customHeight="1">
      <c r="A31" s="995" t="s">
        <v>103</v>
      </c>
      <c r="B31" s="998"/>
      <c r="C31" s="994">
        <v>2570</v>
      </c>
      <c r="D31" s="1826">
        <f>'Expenditures 15-22'!K64-SUM('Expenditures 15-22'!G64,'Expenditures 15-22'!I64)+'Expenditures 15-22'!D269-E12</f>
        <v>36862</v>
      </c>
      <c r="E31" s="1826">
        <f>E12</f>
        <v>0</v>
      </c>
      <c r="F31" s="1826">
        <f>'Expenditures 15-22'!K64-SUM('Expenditures 15-22'!G64,'Expenditures 15-22'!I64)+'Expenditures 15-22'!D269-E12</f>
        <v>36862</v>
      </c>
      <c r="G31" s="1826">
        <f>E12</f>
        <v>0</v>
      </c>
    </row>
    <row r="32" spans="1:9" ht="12" customHeight="1">
      <c r="A32" s="991" t="s">
        <v>538</v>
      </c>
      <c r="B32" s="997"/>
      <c r="C32" s="994"/>
      <c r="D32" s="1824"/>
      <c r="E32" s="1824"/>
      <c r="F32" s="1824"/>
      <c r="G32" s="1824"/>
    </row>
    <row r="33" spans="1:7" ht="12" customHeight="1">
      <c r="A33" s="995" t="s">
        <v>539</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c r="A34" s="995" t="s">
        <v>540</v>
      </c>
      <c r="B34" s="998"/>
      <c r="C34" s="994">
        <v>2620</v>
      </c>
      <c r="D34" s="1824"/>
      <c r="E34" s="1826">
        <f>'Expenditures 15-22'!K68-SUM('Expenditures 15-22'!G68,'Expenditures 15-22'!I68)+'Expenditures 15-22'!D273</f>
        <v>776419</v>
      </c>
      <c r="F34" s="1824"/>
      <c r="G34" s="1826">
        <f>'Expenditures 15-22'!K68-SUM('Expenditures 15-22'!G68,'Expenditures 15-22'!I68)+'Expenditures 15-22'!D273</f>
        <v>776419</v>
      </c>
    </row>
    <row r="35" spans="1:7" ht="12" customHeight="1">
      <c r="A35" s="995" t="s">
        <v>1120</v>
      </c>
      <c r="B35" s="998"/>
      <c r="C35" s="994">
        <v>2630</v>
      </c>
      <c r="D35" s="1824"/>
      <c r="E35" s="1826">
        <f>'Expenditures 15-22'!K69-SUM('Expenditures 15-22'!G69,'Expenditures 15-22'!I69)+'Expenditures 15-22'!D274</f>
        <v>183373</v>
      </c>
      <c r="F35" s="1824"/>
      <c r="G35" s="1826">
        <f>'Expenditures 15-22'!K69-SUM('Expenditures 15-22'!G69,'Expenditures 15-22'!I69)+'Expenditures 15-22'!D274</f>
        <v>183373</v>
      </c>
    </row>
    <row r="36" spans="1:7" ht="12" customHeight="1">
      <c r="A36" s="995" t="s">
        <v>422</v>
      </c>
      <c r="B36" s="998"/>
      <c r="C36" s="994">
        <v>2640</v>
      </c>
      <c r="D36" s="1826">
        <f>'Expenditures 15-22'!K70-SUM('Expenditures 15-22'!G70,'Expenditures 15-22'!I70)+'Expenditures 15-22'!D275-E13</f>
        <v>884116</v>
      </c>
      <c r="E36" s="1826">
        <f>E13</f>
        <v>0</v>
      </c>
      <c r="F36" s="1826">
        <f>'Expenditures 15-22'!K70-SUM('Expenditures 15-22'!G70,'Expenditures 15-22'!I70)+'Expenditures 15-22'!D275-E13</f>
        <v>884116</v>
      </c>
      <c r="G36" s="1826">
        <f>E13</f>
        <v>0</v>
      </c>
    </row>
    <row r="37" spans="1:7" ht="12" customHeight="1">
      <c r="A37" s="995" t="s">
        <v>423</v>
      </c>
      <c r="B37" s="998"/>
      <c r="C37" s="994">
        <v>2660</v>
      </c>
      <c r="D37" s="1826">
        <f>'Expenditures 15-22'!K71-SUM('Expenditures 15-22'!G71,'Expenditures 15-22'!I71)+'Expenditures 15-22'!D276-E14</f>
        <v>4511245</v>
      </c>
      <c r="E37" s="1826">
        <f>E14</f>
        <v>0</v>
      </c>
      <c r="F37" s="1826">
        <f>'Expenditures 15-22'!K71-SUM('Expenditures 15-22'!G71,'Expenditures 15-22'!I71)+'Expenditures 15-22'!D276-E14</f>
        <v>4511245</v>
      </c>
      <c r="G37" s="1826">
        <f>E14</f>
        <v>0</v>
      </c>
    </row>
    <row r="38" spans="1:7" ht="12" customHeight="1">
      <c r="A38" s="991" t="s">
        <v>541</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1625285</v>
      </c>
      <c r="F38" s="1824"/>
      <c r="G38" s="1826">
        <f>'Expenditures 15-22'!K73-SUM('Expenditures 15-22'!G73,'Expenditures 15-22'!I73)+'Expenditures 15-22'!K128-SUM('Expenditures 15-22'!G128,'Expenditures 15-22'!I128)+'Expenditures 15-22'!K183-SUM('Expenditures 15-22'!G183,'Expenditures 15-22'!I183)+'Expenditures 15-22'!D278</f>
        <v>1625285</v>
      </c>
    </row>
    <row r="39" spans="1:7" ht="12" customHeight="1">
      <c r="A39" s="991" t="s">
        <v>468</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5733096</v>
      </c>
      <c r="F39" s="1824"/>
      <c r="G39" s="1826">
        <f>'Expenditures 15-22'!K75-SUM('Expenditures 15-22'!G75,'Expenditures 15-22'!I75)+'Expenditures 15-22'!K130-SUM('Expenditures 15-22'!G130,'Expenditures 15-22'!I130)+'Expenditures 15-22'!K185-SUM('Expenditures 15-22'!G185,'Expenditures 15-22'!I185)+'Expenditures 15-22'!D280</f>
        <v>5733096</v>
      </c>
    </row>
    <row r="40" spans="1:7" ht="12" customHeight="1">
      <c r="A40" s="991" t="s">
        <v>1926</v>
      </c>
      <c r="B40" s="992"/>
      <c r="C40" s="994"/>
      <c r="D40" s="1824"/>
      <c r="E40" s="1828">
        <f>-'Contracts Paid in CY 29'!G141</f>
        <v>-5767645.3399999999</v>
      </c>
      <c r="F40" s="1824"/>
      <c r="G40" s="1828">
        <f>-'Contracts Paid in CY 29'!G141</f>
        <v>-5767645.3399999999</v>
      </c>
    </row>
    <row r="41" spans="1:7" ht="12" customHeight="1">
      <c r="A41" s="999" t="s">
        <v>158</v>
      </c>
      <c r="B41" s="1000"/>
      <c r="C41" s="1001"/>
      <c r="D41" s="1828">
        <f>SUM(D19:D39)</f>
        <v>6474473</v>
      </c>
      <c r="E41" s="1828">
        <f>SUM(E19:E40)</f>
        <v>104890050.66</v>
      </c>
      <c r="F41" s="1828">
        <f>SUM(F19:F39)</f>
        <v>13898090</v>
      </c>
      <c r="G41" s="1828">
        <f>SUM(G19:G40)</f>
        <v>97466433.659999996</v>
      </c>
    </row>
    <row r="42" spans="1:7">
      <c r="A42" s="988"/>
      <c r="B42" s="162"/>
      <c r="C42" s="1002"/>
      <c r="D42" s="2422" t="s">
        <v>542</v>
      </c>
      <c r="E42" s="2423"/>
      <c r="F42" s="1003" t="s">
        <v>543</v>
      </c>
      <c r="G42" s="1004"/>
    </row>
    <row r="43" spans="1:7" ht="12" customHeight="1">
      <c r="A43" s="988"/>
      <c r="B43" s="162"/>
      <c r="C43" s="1002"/>
      <c r="D43" s="1829" t="s">
        <v>492</v>
      </c>
      <c r="E43" s="1830">
        <f>D41</f>
        <v>6474473</v>
      </c>
      <c r="F43" s="1829" t="s">
        <v>494</v>
      </c>
      <c r="G43" s="1830">
        <f>F41</f>
        <v>13898090</v>
      </c>
    </row>
    <row r="44" spans="1:7" ht="12" customHeight="1">
      <c r="A44" s="988"/>
      <c r="B44" s="162"/>
      <c r="C44" s="1002"/>
      <c r="D44" s="1829" t="s">
        <v>493</v>
      </c>
      <c r="E44" s="1830">
        <f>E41</f>
        <v>104890050.66</v>
      </c>
      <c r="F44" s="1829" t="s">
        <v>493</v>
      </c>
      <c r="G44" s="1830">
        <f>G41</f>
        <v>97466433.659999996</v>
      </c>
    </row>
    <row r="45" spans="1:7" ht="12" customHeight="1">
      <c r="A45" s="988"/>
      <c r="B45" s="162"/>
      <c r="C45" s="162"/>
      <c r="D45" s="1831" t="s">
        <v>1062</v>
      </c>
      <c r="E45" s="1832">
        <f>(E43/E44)</f>
        <v>6.172628346788521E-2</v>
      </c>
      <c r="F45" s="1831" t="s">
        <v>1062</v>
      </c>
      <c r="G45" s="1832">
        <f>(G43/G44)</f>
        <v>0.14259360354234182</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6" sqref="A6:XFD6"/>
      <selection pane="bottomLeft" sqref="A1:F1"/>
    </sheetView>
  </sheetViews>
  <sheetFormatPr defaultColWidth="9.140625" defaultRowHeight="12.75"/>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c r="A1" s="2441" t="s">
        <v>1445</v>
      </c>
      <c r="B1" s="2441"/>
      <c r="C1" s="2441"/>
      <c r="D1" s="2441"/>
      <c r="E1" s="2441"/>
      <c r="F1" s="2441"/>
    </row>
    <row r="2" spans="1:10">
      <c r="A2" s="1910" t="s">
        <v>2042</v>
      </c>
      <c r="B2" s="1871"/>
      <c r="C2" s="1910"/>
      <c r="D2" s="1871"/>
      <c r="E2" s="1871"/>
      <c r="F2" s="1872"/>
    </row>
    <row r="3" spans="1:10">
      <c r="A3" s="1910" t="s">
        <v>1699</v>
      </c>
      <c r="B3" s="1871"/>
      <c r="C3" s="1910"/>
      <c r="D3" s="1871"/>
      <c r="E3" s="1871"/>
      <c r="F3" s="1872"/>
    </row>
    <row r="4" spans="1:10" ht="3.75" customHeight="1">
      <c r="A4" s="1871"/>
      <c r="B4" s="1871"/>
      <c r="C4" s="1871"/>
      <c r="D4" s="1871"/>
      <c r="E4" s="1871"/>
      <c r="F4" s="1872"/>
    </row>
    <row r="5" spans="1:10" ht="15">
      <c r="A5" s="2442" t="s">
        <v>1626</v>
      </c>
      <c r="B5" s="2443"/>
      <c r="C5" s="2444"/>
      <c r="D5" s="2444"/>
      <c r="E5" s="2444"/>
      <c r="F5" s="2444"/>
    </row>
    <row r="6" spans="1:10" ht="12" customHeight="1">
      <c r="A6" s="1873"/>
      <c r="B6" s="1874"/>
      <c r="C6" s="2445" t="str">
        <f>COVER!A17</f>
        <v>Evanston CCSD 65</v>
      </c>
      <c r="D6" s="2445"/>
      <c r="E6" s="2445"/>
      <c r="F6" s="1875"/>
    </row>
    <row r="7" spans="1:10" ht="11.25" customHeight="1" thickBot="1">
      <c r="A7" s="1873"/>
      <c r="B7" s="1874"/>
      <c r="C7" s="2446">
        <f>COVER!A13</f>
        <v>5016065004</v>
      </c>
      <c r="D7" s="2446"/>
      <c r="E7" s="2446"/>
      <c r="F7" s="1875"/>
    </row>
    <row r="8" spans="1:10" ht="25.5" customHeight="1" thickBot="1">
      <c r="A8" s="1916" t="s">
        <v>2019</v>
      </c>
      <c r="B8" s="1876"/>
      <c r="C8" s="1912" t="s">
        <v>1779</v>
      </c>
      <c r="D8" s="1911" t="s">
        <v>1780</v>
      </c>
      <c r="E8" s="1913" t="s">
        <v>1446</v>
      </c>
      <c r="F8" s="1911" t="s">
        <v>1781</v>
      </c>
      <c r="H8" s="1877" t="b">
        <v>0</v>
      </c>
    </row>
    <row r="9" spans="1:10" ht="15.75" customHeight="1">
      <c r="A9" s="1878" t="s">
        <v>1622</v>
      </c>
      <c r="B9" s="1879"/>
      <c r="C9" s="1880"/>
      <c r="D9" s="1880"/>
      <c r="E9" s="1881"/>
      <c r="F9" s="1882"/>
    </row>
    <row r="10" spans="1:10" ht="27.75" customHeight="1">
      <c r="A10" s="1883" t="s">
        <v>1778</v>
      </c>
      <c r="B10" s="1884"/>
      <c r="C10" s="1885"/>
      <c r="D10" s="1885"/>
      <c r="E10" s="1914" t="s">
        <v>1447</v>
      </c>
      <c r="F10" s="1915" t="s">
        <v>1448</v>
      </c>
    </row>
    <row r="11" spans="1:10" ht="12" customHeight="1">
      <c r="A11" s="1886" t="s">
        <v>1449</v>
      </c>
      <c r="B11" s="1887"/>
      <c r="C11" s="1888"/>
      <c r="D11" s="1888"/>
      <c r="E11" s="1889"/>
      <c r="F11" s="1890"/>
      <c r="H11" s="1901">
        <f>IF(C11="X",5,0)</f>
        <v>0</v>
      </c>
      <c r="I11" s="1901">
        <f>IF(D11="X",5,0)</f>
        <v>0</v>
      </c>
      <c r="J11" s="1901">
        <f>IF(E11="X",5,0)</f>
        <v>0</v>
      </c>
    </row>
    <row r="12" spans="1:10" ht="12" customHeight="1">
      <c r="A12" s="1886" t="s">
        <v>1450</v>
      </c>
      <c r="B12" s="1887"/>
      <c r="C12" s="1888"/>
      <c r="D12" s="1888"/>
      <c r="E12" s="1891"/>
      <c r="F12" s="1890"/>
      <c r="H12" s="1901">
        <f t="shared" ref="H12:H33" si="0">IF(C12="X",5,0)</f>
        <v>0</v>
      </c>
      <c r="I12" s="1901">
        <f t="shared" ref="I12:I33" si="1">IF(D12="X",5,0)</f>
        <v>0</v>
      </c>
      <c r="J12" s="1901">
        <f t="shared" ref="J12:J33" si="2">IF(E12="X",5,0)</f>
        <v>0</v>
      </c>
    </row>
    <row r="13" spans="1:10" ht="12" customHeight="1">
      <c r="A13" s="1886" t="s">
        <v>1451</v>
      </c>
      <c r="B13" s="1887"/>
      <c r="C13" s="1888"/>
      <c r="D13" s="1888"/>
      <c r="E13" s="1891"/>
      <c r="F13" s="1890"/>
      <c r="H13" s="1901">
        <f t="shared" si="0"/>
        <v>0</v>
      </c>
      <c r="I13" s="1901">
        <f t="shared" si="1"/>
        <v>0</v>
      </c>
      <c r="J13" s="1901">
        <f t="shared" si="2"/>
        <v>0</v>
      </c>
    </row>
    <row r="14" spans="1:10" ht="12" customHeight="1">
      <c r="A14" s="1886" t="s">
        <v>1452</v>
      </c>
      <c r="B14" s="1887"/>
      <c r="C14" s="1888"/>
      <c r="D14" s="1888"/>
      <c r="E14" s="1891"/>
      <c r="F14" s="1890"/>
      <c r="H14" s="1901">
        <f t="shared" si="0"/>
        <v>0</v>
      </c>
      <c r="I14" s="1901">
        <f t="shared" si="1"/>
        <v>0</v>
      </c>
      <c r="J14" s="1901">
        <f t="shared" si="2"/>
        <v>0</v>
      </c>
    </row>
    <row r="15" spans="1:10" ht="12" customHeight="1">
      <c r="A15" s="1886" t="s">
        <v>1453</v>
      </c>
      <c r="B15" s="1887"/>
      <c r="C15" s="1888"/>
      <c r="D15" s="1888"/>
      <c r="E15" s="1891"/>
      <c r="F15" s="1890"/>
      <c r="H15" s="1901">
        <f t="shared" si="0"/>
        <v>0</v>
      </c>
      <c r="I15" s="1901">
        <f t="shared" si="1"/>
        <v>0</v>
      </c>
      <c r="J15" s="1901">
        <f t="shared" si="2"/>
        <v>0</v>
      </c>
    </row>
    <row r="16" spans="1:10" ht="12" customHeight="1">
      <c r="A16" s="1886" t="s">
        <v>1454</v>
      </c>
      <c r="B16" s="1887"/>
      <c r="C16" s="1888"/>
      <c r="D16" s="1888"/>
      <c r="E16" s="1891"/>
      <c r="F16" s="1890"/>
      <c r="H16" s="1901">
        <f t="shared" si="0"/>
        <v>0</v>
      </c>
      <c r="I16" s="1901">
        <f t="shared" si="1"/>
        <v>0</v>
      </c>
      <c r="J16" s="1901">
        <f t="shared" si="2"/>
        <v>0</v>
      </c>
    </row>
    <row r="17" spans="1:12" ht="12" customHeight="1">
      <c r="A17" s="1886" t="s">
        <v>1455</v>
      </c>
      <c r="B17" s="1887"/>
      <c r="C17" s="1888"/>
      <c r="D17" s="1888"/>
      <c r="E17" s="1891"/>
      <c r="F17" s="1890"/>
      <c r="H17" s="1901">
        <f t="shared" si="0"/>
        <v>0</v>
      </c>
      <c r="I17" s="1901">
        <f t="shared" si="1"/>
        <v>0</v>
      </c>
      <c r="J17" s="1901">
        <f t="shared" si="2"/>
        <v>0</v>
      </c>
    </row>
    <row r="18" spans="1:12" ht="12" customHeight="1">
      <c r="A18" s="1886" t="s">
        <v>1456</v>
      </c>
      <c r="B18" s="1887"/>
      <c r="C18" s="1888"/>
      <c r="D18" s="1888"/>
      <c r="E18" s="1891"/>
      <c r="F18" s="1890"/>
      <c r="H18" s="1901">
        <f t="shared" si="0"/>
        <v>0</v>
      </c>
      <c r="I18" s="1901">
        <f t="shared" si="1"/>
        <v>0</v>
      </c>
      <c r="J18" s="1901">
        <f t="shared" si="2"/>
        <v>0</v>
      </c>
    </row>
    <row r="19" spans="1:12" ht="12" customHeight="1">
      <c r="A19" s="1886" t="s">
        <v>1607</v>
      </c>
      <c r="B19" s="1887"/>
      <c r="C19" s="1888"/>
      <c r="D19" s="1888"/>
      <c r="E19" s="1891"/>
      <c r="F19" s="1890"/>
      <c r="H19" s="1901">
        <f t="shared" si="0"/>
        <v>0</v>
      </c>
      <c r="I19" s="1901">
        <f t="shared" si="1"/>
        <v>0</v>
      </c>
      <c r="J19" s="1901">
        <f t="shared" si="2"/>
        <v>0</v>
      </c>
    </row>
    <row r="20" spans="1:12" ht="12" customHeight="1">
      <c r="A20" s="1886" t="s">
        <v>1608</v>
      </c>
      <c r="B20" s="1887"/>
      <c r="C20" s="1888" t="s">
        <v>2073</v>
      </c>
      <c r="D20" s="1888" t="s">
        <v>2073</v>
      </c>
      <c r="E20" s="1891"/>
      <c r="F20" s="1890" t="s">
        <v>2103</v>
      </c>
      <c r="H20" s="1901">
        <f t="shared" si="0"/>
        <v>5</v>
      </c>
      <c r="I20" s="1901">
        <f t="shared" si="1"/>
        <v>5</v>
      </c>
      <c r="J20" s="1901">
        <f t="shared" si="2"/>
        <v>0</v>
      </c>
    </row>
    <row r="21" spans="1:12" ht="12" customHeight="1">
      <c r="A21" s="1886" t="s">
        <v>1609</v>
      </c>
      <c r="B21" s="1887"/>
      <c r="C21" s="1888"/>
      <c r="D21" s="1888"/>
      <c r="E21" s="1891"/>
      <c r="F21" s="1890"/>
      <c r="H21" s="1901">
        <f t="shared" si="0"/>
        <v>0</v>
      </c>
      <c r="I21" s="1901">
        <f t="shared" si="1"/>
        <v>0</v>
      </c>
      <c r="J21" s="1901">
        <f t="shared" si="2"/>
        <v>0</v>
      </c>
    </row>
    <row r="22" spans="1:12" ht="12" customHeight="1">
      <c r="A22" s="1886" t="s">
        <v>1610</v>
      </c>
      <c r="B22" s="1887"/>
      <c r="C22" s="1888"/>
      <c r="D22" s="1888"/>
      <c r="E22" s="1891"/>
      <c r="F22" s="1890"/>
      <c r="H22" s="1901">
        <f t="shared" si="0"/>
        <v>0</v>
      </c>
      <c r="I22" s="1901">
        <f t="shared" si="1"/>
        <v>0</v>
      </c>
      <c r="J22" s="1901">
        <f t="shared" si="2"/>
        <v>0</v>
      </c>
    </row>
    <row r="23" spans="1:12" ht="12" customHeight="1">
      <c r="A23" s="1886" t="s">
        <v>1611</v>
      </c>
      <c r="B23" s="1887"/>
      <c r="C23" s="1888"/>
      <c r="D23" s="1888"/>
      <c r="E23" s="1891"/>
      <c r="F23" s="1890"/>
      <c r="H23" s="1901">
        <f t="shared" si="0"/>
        <v>0</v>
      </c>
      <c r="I23" s="1901">
        <f t="shared" si="1"/>
        <v>0</v>
      </c>
      <c r="J23" s="1901">
        <f t="shared" si="2"/>
        <v>0</v>
      </c>
    </row>
    <row r="24" spans="1:12" ht="12" customHeight="1">
      <c r="A24" s="1886" t="s">
        <v>1612</v>
      </c>
      <c r="B24" s="1887"/>
      <c r="C24" s="1888"/>
      <c r="D24" s="1888"/>
      <c r="E24" s="1891"/>
      <c r="F24" s="1890"/>
      <c r="H24" s="1901">
        <f t="shared" si="0"/>
        <v>0</v>
      </c>
      <c r="I24" s="1901">
        <f t="shared" si="1"/>
        <v>0</v>
      </c>
      <c r="J24" s="1901">
        <f t="shared" si="2"/>
        <v>0</v>
      </c>
    </row>
    <row r="25" spans="1:12" ht="12" customHeight="1">
      <c r="A25" s="1886" t="s">
        <v>1613</v>
      </c>
      <c r="B25" s="1887"/>
      <c r="C25" s="1888"/>
      <c r="D25" s="1888"/>
      <c r="E25" s="1891"/>
      <c r="F25" s="1890"/>
      <c r="H25" s="1901">
        <f t="shared" si="0"/>
        <v>0</v>
      </c>
      <c r="I25" s="1901">
        <f t="shared" si="1"/>
        <v>0</v>
      </c>
      <c r="J25" s="1901">
        <f t="shared" si="2"/>
        <v>0</v>
      </c>
    </row>
    <row r="26" spans="1:12" ht="12" customHeight="1">
      <c r="A26" s="1886" t="s">
        <v>1614</v>
      </c>
      <c r="B26" s="1887"/>
      <c r="C26" s="1888" t="s">
        <v>2073</v>
      </c>
      <c r="D26" s="1888" t="s">
        <v>2073</v>
      </c>
      <c r="E26" s="1891"/>
      <c r="F26" s="1890" t="s">
        <v>2104</v>
      </c>
      <c r="H26" s="1901">
        <f t="shared" si="0"/>
        <v>5</v>
      </c>
      <c r="I26" s="1901">
        <f t="shared" si="1"/>
        <v>5</v>
      </c>
      <c r="J26" s="1901">
        <f t="shared" si="2"/>
        <v>0</v>
      </c>
    </row>
    <row r="27" spans="1:12" ht="18.75">
      <c r="A27" s="1886" t="s">
        <v>1615</v>
      </c>
      <c r="B27" s="1887"/>
      <c r="C27" s="1888"/>
      <c r="D27" s="1888"/>
      <c r="E27" s="1891"/>
      <c r="F27" s="1890"/>
      <c r="H27" s="1901">
        <f t="shared" si="0"/>
        <v>0</v>
      </c>
      <c r="I27" s="1901">
        <f t="shared" si="1"/>
        <v>0</v>
      </c>
      <c r="J27" s="1901">
        <f t="shared" si="2"/>
        <v>0</v>
      </c>
    </row>
    <row r="28" spans="1:12" ht="12" customHeight="1">
      <c r="A28" s="1886" t="s">
        <v>1616</v>
      </c>
      <c r="B28" s="1887"/>
      <c r="C28" s="1888"/>
      <c r="D28" s="1888"/>
      <c r="E28" s="1891"/>
      <c r="F28" s="1890"/>
      <c r="H28" s="1901">
        <f t="shared" si="0"/>
        <v>0</v>
      </c>
      <c r="I28" s="1901">
        <f t="shared" si="1"/>
        <v>0</v>
      </c>
      <c r="J28" s="1901">
        <f t="shared" si="2"/>
        <v>0</v>
      </c>
    </row>
    <row r="29" spans="1:12" ht="12" customHeight="1">
      <c r="A29" s="1886" t="s">
        <v>1617</v>
      </c>
      <c r="B29" s="1887"/>
      <c r="C29" s="1888"/>
      <c r="D29" s="1888"/>
      <c r="E29" s="1891"/>
      <c r="F29" s="1890"/>
      <c r="H29" s="1901">
        <f t="shared" si="0"/>
        <v>0</v>
      </c>
      <c r="I29" s="1901">
        <f t="shared" si="1"/>
        <v>0</v>
      </c>
      <c r="J29" s="1901">
        <f t="shared" si="2"/>
        <v>0</v>
      </c>
    </row>
    <row r="30" spans="1:12" ht="12" customHeight="1">
      <c r="A30" s="1886" t="s">
        <v>1618</v>
      </c>
      <c r="B30" s="1887"/>
      <c r="C30" s="1888"/>
      <c r="D30" s="1888"/>
      <c r="E30" s="1891"/>
      <c r="F30" s="1890"/>
      <c r="H30" s="1901">
        <f t="shared" si="0"/>
        <v>0</v>
      </c>
      <c r="I30" s="1901">
        <f t="shared" si="1"/>
        <v>0</v>
      </c>
      <c r="J30" s="1901">
        <f t="shared" si="2"/>
        <v>0</v>
      </c>
    </row>
    <row r="31" spans="1:12" ht="12" customHeight="1">
      <c r="A31" s="1886" t="s">
        <v>1619</v>
      </c>
      <c r="B31" s="1887"/>
      <c r="C31" s="1888"/>
      <c r="D31" s="1888"/>
      <c r="E31" s="1891"/>
      <c r="F31" s="1890"/>
      <c r="H31" s="1901">
        <f t="shared" si="0"/>
        <v>0</v>
      </c>
      <c r="I31" s="1901">
        <f t="shared" si="1"/>
        <v>0</v>
      </c>
      <c r="J31" s="1901">
        <f t="shared" si="2"/>
        <v>0</v>
      </c>
      <c r="L31" s="1892"/>
    </row>
    <row r="32" spans="1:12" ht="12" customHeight="1">
      <c r="A32" s="1886" t="s">
        <v>1620</v>
      </c>
      <c r="B32" s="1887"/>
      <c r="C32" s="1888"/>
      <c r="D32" s="1888"/>
      <c r="E32" s="1891"/>
      <c r="F32" s="1890"/>
      <c r="H32" s="1901">
        <f t="shared" si="0"/>
        <v>0</v>
      </c>
      <c r="I32" s="1901">
        <f t="shared" si="1"/>
        <v>0</v>
      </c>
      <c r="J32" s="1901">
        <f t="shared" si="2"/>
        <v>0</v>
      </c>
    </row>
    <row r="33" spans="1:11" ht="12" customHeight="1">
      <c r="A33" s="1886" t="s">
        <v>1621</v>
      </c>
      <c r="B33" s="1887"/>
      <c r="C33" s="1888"/>
      <c r="D33" s="1888"/>
      <c r="E33" s="1891"/>
      <c r="F33" s="1890"/>
      <c r="H33" s="1901">
        <f t="shared" si="0"/>
        <v>0</v>
      </c>
      <c r="I33" s="1901">
        <f t="shared" si="1"/>
        <v>0</v>
      </c>
      <c r="J33" s="1901">
        <f t="shared" si="2"/>
        <v>0</v>
      </c>
    </row>
    <row r="34" spans="1:11" ht="12" customHeight="1">
      <c r="A34" s="1893"/>
      <c r="B34" s="1893"/>
      <c r="C34" s="1893"/>
      <c r="D34" s="1893"/>
      <c r="E34" s="1893"/>
      <c r="F34" s="1893"/>
      <c r="H34" s="1901">
        <f>SUM(H11:H32)</f>
        <v>10</v>
      </c>
      <c r="I34" s="1901">
        <f>SUM(I11:I32)</f>
        <v>10</v>
      </c>
      <c r="J34" s="1901">
        <f>SUM(J11:J32)</f>
        <v>0</v>
      </c>
      <c r="K34" s="1901">
        <f>SUM(H34:J34)</f>
        <v>20</v>
      </c>
    </row>
    <row r="35" spans="1:11" ht="12" customHeight="1">
      <c r="A35" s="1894" t="s">
        <v>1458</v>
      </c>
      <c r="B35" s="1895"/>
      <c r="C35" s="2447"/>
      <c r="D35" s="2447"/>
      <c r="E35" s="2447"/>
      <c r="F35" s="2448"/>
    </row>
    <row r="36" spans="1:11" ht="12" customHeight="1">
      <c r="A36" s="2430"/>
      <c r="B36" s="2431"/>
      <c r="C36" s="2431"/>
      <c r="D36" s="2431"/>
      <c r="E36" s="2431"/>
      <c r="F36" s="2432"/>
    </row>
    <row r="37" spans="1:11" ht="12" customHeight="1">
      <c r="A37" s="2430"/>
      <c r="B37" s="2431"/>
      <c r="C37" s="2431"/>
      <c r="D37" s="2431"/>
      <c r="E37" s="2431"/>
      <c r="F37" s="2432"/>
    </row>
    <row r="38" spans="1:11" ht="12" customHeight="1">
      <c r="A38" s="2433"/>
      <c r="B38" s="2434"/>
      <c r="C38" s="2434"/>
      <c r="D38" s="2434"/>
      <c r="E38" s="2434"/>
      <c r="F38" s="2435"/>
    </row>
    <row r="39" spans="1:11" ht="4.5" hidden="1" customHeight="1">
      <c r="A39" s="1896"/>
      <c r="B39" s="1896"/>
      <c r="C39" s="1896"/>
      <c r="D39" s="1896"/>
      <c r="E39" s="1896"/>
      <c r="F39" s="1896"/>
    </row>
    <row r="40" spans="1:11" s="1893" customFormat="1" ht="12" customHeight="1">
      <c r="A40" s="1897" t="s">
        <v>1457</v>
      </c>
      <c r="B40" s="1898"/>
      <c r="C40" s="2436"/>
      <c r="D40" s="2436"/>
      <c r="E40" s="2436"/>
      <c r="F40" s="2437"/>
      <c r="H40" s="1902"/>
      <c r="I40" s="1902"/>
      <c r="J40" s="1902"/>
      <c r="K40" s="1902"/>
    </row>
    <row r="41" spans="1:11" s="1893" customFormat="1" ht="12" customHeight="1">
      <c r="A41" s="2438"/>
      <c r="B41" s="2439"/>
      <c r="C41" s="2439"/>
      <c r="D41" s="2439"/>
      <c r="E41" s="2439"/>
      <c r="F41" s="2440"/>
      <c r="H41" s="1902"/>
      <c r="I41" s="1902"/>
      <c r="J41" s="1902"/>
      <c r="K41" s="1902"/>
    </row>
    <row r="42" spans="1:11" s="1893" customFormat="1" ht="12" customHeight="1">
      <c r="A42" s="2438"/>
      <c r="B42" s="2439"/>
      <c r="C42" s="2439"/>
      <c r="D42" s="2439"/>
      <c r="E42" s="2439"/>
      <c r="F42" s="2440"/>
      <c r="H42" s="1902"/>
      <c r="I42" s="1902"/>
      <c r="J42" s="1902"/>
      <c r="K42" s="1902"/>
    </row>
    <row r="43" spans="1:11" s="1893" customFormat="1" ht="15">
      <c r="A43" s="2427"/>
      <c r="B43" s="2428"/>
      <c r="C43" s="2428"/>
      <c r="D43" s="2428"/>
      <c r="E43" s="2428"/>
      <c r="F43" s="2429"/>
      <c r="H43" s="1902"/>
      <c r="I43" s="1902"/>
      <c r="J43" s="1902"/>
      <c r="K43" s="1902"/>
    </row>
    <row r="44" spans="1:11" s="1893" customFormat="1" ht="12" hidden="1" customHeight="1">
      <c r="A44" s="2427"/>
      <c r="B44" s="2428"/>
      <c r="C44" s="2428"/>
      <c r="D44" s="2428"/>
      <c r="E44" s="2428"/>
      <c r="F44" s="2429"/>
      <c r="H44" s="1902"/>
      <c r="I44" s="1902"/>
      <c r="J44" s="1902"/>
      <c r="K44" s="1902"/>
    </row>
    <row r="45" spans="1:11" s="1893" customFormat="1" ht="12" customHeight="1">
      <c r="H45" s="1902"/>
      <c r="I45" s="1902"/>
      <c r="J45" s="1902"/>
      <c r="K45" s="1902"/>
    </row>
    <row r="46" spans="1:11" s="1893" customFormat="1" ht="9.75" customHeight="1">
      <c r="H46" s="1902"/>
      <c r="I46" s="1902"/>
      <c r="J46" s="1902"/>
      <c r="K46" s="1902"/>
    </row>
    <row r="47" spans="1:11" s="1893" customFormat="1" ht="13.5" customHeight="1">
      <c r="H47" s="1902"/>
      <c r="I47" s="1902"/>
      <c r="J47" s="1902"/>
      <c r="K47" s="1902"/>
    </row>
    <row r="48" spans="1:11" s="1893" customFormat="1" ht="15">
      <c r="H48" s="1902"/>
      <c r="I48" s="1902"/>
      <c r="J48" s="1902"/>
      <c r="K48" s="1902"/>
    </row>
    <row r="49" spans="1:11" s="1893" customFormat="1" ht="15" hidden="1">
      <c r="A49" s="1893" t="b">
        <v>0</v>
      </c>
      <c r="H49" s="1902"/>
      <c r="I49" s="1902"/>
      <c r="J49" s="1902"/>
      <c r="K49" s="1902"/>
    </row>
    <row r="50" spans="1:11" s="1893" customFormat="1" ht="15">
      <c r="H50" s="1902"/>
      <c r="I50" s="1902"/>
      <c r="J50" s="1902"/>
      <c r="K50" s="1902"/>
    </row>
    <row r="51" spans="1:11" s="1893" customFormat="1" ht="15">
      <c r="H51" s="1902"/>
      <c r="I51" s="1902"/>
      <c r="J51" s="1902"/>
      <c r="K51" s="1902"/>
    </row>
    <row r="52" spans="1:11" s="1893" customFormat="1" ht="15">
      <c r="H52" s="1902"/>
      <c r="I52" s="1902"/>
      <c r="J52" s="1902"/>
      <c r="K52" s="1902"/>
    </row>
    <row r="53" spans="1:11" s="1893" customFormat="1" ht="15">
      <c r="H53" s="1902"/>
      <c r="I53" s="1902"/>
      <c r="J53" s="1902"/>
      <c r="K53" s="1902"/>
    </row>
    <row r="54" spans="1:11" s="1893" customFormat="1" ht="15">
      <c r="H54" s="1902"/>
      <c r="I54" s="1902"/>
      <c r="J54" s="1902"/>
      <c r="K54" s="1902"/>
    </row>
    <row r="55" spans="1:11" s="1893" customFormat="1" ht="15">
      <c r="H55" s="1902"/>
      <c r="I55" s="1902"/>
      <c r="J55" s="1902"/>
      <c r="K55" s="1902"/>
    </row>
    <row r="56" spans="1:11" s="1893" customFormat="1" ht="15">
      <c r="H56" s="1902"/>
      <c r="I56" s="1902"/>
      <c r="J56" s="1902"/>
      <c r="K56" s="1902"/>
    </row>
    <row r="57" spans="1:11" s="1893" customFormat="1" ht="15">
      <c r="H57" s="1902"/>
      <c r="I57" s="1902"/>
      <c r="J57" s="1902"/>
      <c r="K57" s="1902"/>
    </row>
    <row r="58" spans="1:11" s="1893" customFormat="1" ht="15">
      <c r="H58" s="1902"/>
      <c r="I58" s="1902"/>
      <c r="J58" s="1902"/>
      <c r="K58" s="1902"/>
    </row>
    <row r="59" spans="1:11" s="1893" customFormat="1" ht="15">
      <c r="H59" s="1902"/>
      <c r="I59" s="1902"/>
      <c r="J59" s="1902"/>
      <c r="K59" s="1902"/>
    </row>
    <row r="60" spans="1:11" s="1893" customFormat="1" ht="15">
      <c r="H60" s="1902"/>
      <c r="I60" s="1902"/>
      <c r="J60" s="1902"/>
      <c r="K60" s="1902"/>
    </row>
    <row r="61" spans="1:11" s="1893" customFormat="1" ht="15">
      <c r="H61" s="1902"/>
      <c r="I61" s="1902"/>
      <c r="J61" s="1902"/>
      <c r="K61" s="1902"/>
    </row>
    <row r="62" spans="1:11" s="1893" customFormat="1" ht="15">
      <c r="H62" s="1902"/>
      <c r="I62" s="1902"/>
      <c r="J62" s="1902"/>
      <c r="K62" s="1902"/>
    </row>
    <row r="63" spans="1:11" s="1893" customFormat="1" ht="15">
      <c r="H63" s="1902"/>
      <c r="I63" s="1902"/>
      <c r="J63" s="1902"/>
      <c r="K63" s="1902"/>
    </row>
    <row r="64" spans="1:11" s="1893" customFormat="1" ht="15">
      <c r="H64" s="1902"/>
      <c r="I64" s="1902"/>
      <c r="J64" s="1902"/>
      <c r="K64" s="1902"/>
    </row>
    <row r="65" spans="8:11" s="1893" customFormat="1" ht="15">
      <c r="H65" s="1902"/>
      <c r="I65" s="1902"/>
      <c r="J65" s="1902"/>
      <c r="K65" s="1902"/>
    </row>
    <row r="66" spans="8:11" s="1893" customFormat="1" ht="15">
      <c r="H66" s="1902"/>
      <c r="I66" s="1902"/>
      <c r="J66" s="1902"/>
      <c r="K66" s="1902"/>
    </row>
    <row r="67" spans="8:11" s="1893" customFormat="1" ht="15">
      <c r="H67" s="1902"/>
      <c r="I67" s="1902"/>
      <c r="J67" s="1902"/>
      <c r="K67" s="1902"/>
    </row>
    <row r="68" spans="8:11" s="1893" customFormat="1" ht="15">
      <c r="H68" s="1902"/>
      <c r="I68" s="1902"/>
      <c r="J68" s="1902"/>
      <c r="K68" s="1902"/>
    </row>
    <row r="69" spans="8:11" s="1893" customFormat="1" ht="15">
      <c r="H69" s="1902"/>
      <c r="I69" s="1902"/>
      <c r="J69" s="1902"/>
      <c r="K69" s="1902"/>
    </row>
    <row r="70" spans="8:11" s="1893" customFormat="1" ht="15">
      <c r="H70" s="1902"/>
      <c r="I70" s="1902"/>
      <c r="J70" s="1902"/>
      <c r="K70" s="1902"/>
    </row>
    <row r="71" spans="8:11" s="1893" customFormat="1" ht="15">
      <c r="H71" s="1902"/>
      <c r="I71" s="1902"/>
      <c r="J71" s="1902"/>
      <c r="K71" s="1902"/>
    </row>
    <row r="72" spans="8:11" s="1893" customFormat="1" ht="15">
      <c r="H72" s="1902"/>
      <c r="I72" s="1902"/>
      <c r="J72" s="1902"/>
      <c r="K72" s="1902"/>
    </row>
    <row r="73" spans="8:11" s="1893" customFormat="1" ht="15">
      <c r="H73" s="1902"/>
      <c r="I73" s="1902"/>
      <c r="J73" s="1902"/>
      <c r="K73" s="1902"/>
    </row>
    <row r="74" spans="8:11" s="1893" customFormat="1" ht="15">
      <c r="H74" s="1902"/>
      <c r="I74" s="1902"/>
      <c r="J74" s="1902"/>
      <c r="K74" s="1902"/>
    </row>
    <row r="75" spans="8:11" s="1893" customFormat="1" ht="15">
      <c r="H75" s="1902"/>
      <c r="I75" s="1902"/>
      <c r="J75" s="1902"/>
      <c r="K75" s="1902"/>
    </row>
    <row r="76" spans="8:11" s="1893" customFormat="1" ht="15">
      <c r="H76" s="1902"/>
      <c r="I76" s="1902"/>
      <c r="J76" s="1902"/>
      <c r="K76" s="1902"/>
    </row>
    <row r="77" spans="8:11" s="1893" customFormat="1" ht="15">
      <c r="H77" s="1902"/>
      <c r="I77" s="1902"/>
      <c r="J77" s="1902"/>
      <c r="K77" s="1902"/>
    </row>
    <row r="78" spans="8:11" s="1893" customFormat="1" ht="15">
      <c r="H78" s="1902"/>
      <c r="I78" s="1902"/>
      <c r="J78" s="1902"/>
      <c r="K78" s="1902"/>
    </row>
    <row r="79" spans="8:11" s="1893" customFormat="1" ht="15">
      <c r="H79" s="1902"/>
      <c r="I79" s="1902"/>
      <c r="J79" s="1902"/>
      <c r="K79" s="1902"/>
    </row>
    <row r="80" spans="8:11" s="1893" customFormat="1" ht="15">
      <c r="H80" s="1902"/>
      <c r="I80" s="1902"/>
      <c r="J80" s="1902"/>
      <c r="K80" s="1902"/>
    </row>
    <row r="81" spans="8:11" s="1893" customFormat="1" ht="15">
      <c r="H81" s="1902"/>
      <c r="I81" s="1902"/>
      <c r="J81" s="1902"/>
      <c r="K81" s="1902"/>
    </row>
    <row r="82" spans="8:11" s="1893" customFormat="1" ht="15">
      <c r="H82" s="1902"/>
      <c r="I82" s="1902"/>
      <c r="J82" s="1902"/>
      <c r="K82" s="1902"/>
    </row>
    <row r="83" spans="8:11" s="1893" customFormat="1" ht="15">
      <c r="H83" s="1902"/>
      <c r="I83" s="1902"/>
      <c r="J83" s="1902"/>
      <c r="K83" s="1902"/>
    </row>
    <row r="84" spans="8:11" s="1893" customFormat="1" ht="15">
      <c r="H84" s="1902"/>
      <c r="I84" s="1902"/>
      <c r="J84" s="1902"/>
      <c r="K84" s="1902"/>
    </row>
    <row r="85" spans="8:11" s="1893" customFormat="1" ht="15">
      <c r="H85" s="1902"/>
      <c r="I85" s="1902"/>
      <c r="J85" s="1902"/>
      <c r="K85" s="1902"/>
    </row>
    <row r="86" spans="8:11" s="1893" customFormat="1" ht="15">
      <c r="H86" s="1902"/>
      <c r="I86" s="1902"/>
      <c r="J86" s="1902"/>
      <c r="K86" s="1902"/>
    </row>
    <row r="87" spans="8:11" s="1893" customFormat="1" ht="15">
      <c r="H87" s="1902"/>
      <c r="I87" s="1902"/>
      <c r="J87" s="1902"/>
      <c r="K87" s="1902"/>
    </row>
    <row r="88" spans="8:11" s="1893" customFormat="1" ht="15">
      <c r="H88" s="1902"/>
      <c r="I88" s="1902"/>
      <c r="J88" s="1902"/>
      <c r="K88" s="1902"/>
    </row>
    <row r="89" spans="8:11" s="1893" customFormat="1" ht="15">
      <c r="H89" s="1902"/>
      <c r="I89" s="1902"/>
      <c r="J89" s="1902"/>
      <c r="K89" s="1902"/>
    </row>
    <row r="90" spans="8:11" s="1893" customFormat="1" ht="15">
      <c r="H90" s="1902"/>
      <c r="I90" s="1902"/>
      <c r="J90" s="1902"/>
      <c r="K90" s="1902"/>
    </row>
    <row r="91" spans="8:11" s="1893" customFormat="1" ht="15">
      <c r="H91" s="1902"/>
      <c r="I91" s="1902"/>
      <c r="J91" s="1902"/>
      <c r="K91" s="1902"/>
    </row>
    <row r="92" spans="8:11" s="1893" customFormat="1" ht="15">
      <c r="H92" s="1902"/>
      <c r="I92" s="1902"/>
      <c r="J92" s="1902"/>
      <c r="K92" s="1902"/>
    </row>
    <row r="93" spans="8:11" s="1893" customFormat="1" ht="15">
      <c r="H93" s="1902"/>
      <c r="I93" s="1902"/>
      <c r="J93" s="1902"/>
      <c r="K93" s="1902"/>
    </row>
    <row r="94" spans="8:11" s="1893" customFormat="1" ht="15">
      <c r="H94" s="1902"/>
      <c r="I94" s="1902"/>
      <c r="J94" s="1902"/>
      <c r="K94" s="1902"/>
    </row>
    <row r="95" spans="8:11" s="1893" customFormat="1" ht="15">
      <c r="H95" s="1902"/>
      <c r="I95" s="1902"/>
      <c r="J95" s="1902"/>
      <c r="K95" s="1902"/>
    </row>
    <row r="96" spans="8:11" s="1893" customFormat="1" ht="15">
      <c r="H96" s="1902"/>
      <c r="I96" s="1902"/>
      <c r="J96" s="1902"/>
      <c r="K96" s="1902"/>
    </row>
    <row r="97" spans="8:11" s="1893" customFormat="1" ht="1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A6" sqref="A6:XFD6"/>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424</v>
      </c>
      <c r="G1" s="1014"/>
    </row>
    <row r="2" spans="1:17" ht="11.85" customHeight="1">
      <c r="A2" s="1009"/>
      <c r="B2" s="1010"/>
      <c r="E2" s="1012"/>
      <c r="F2" s="1015" t="s">
        <v>307</v>
      </c>
      <c r="G2" s="1014"/>
    </row>
    <row r="3" spans="1:17" ht="11.85" customHeight="1">
      <c r="E3" s="1012"/>
      <c r="F3" s="1015" t="s">
        <v>425</v>
      </c>
      <c r="G3" s="1012"/>
    </row>
    <row r="4" spans="1:17" ht="11.85" customHeight="1">
      <c r="E4" s="1012"/>
      <c r="F4" s="1015" t="s">
        <v>922</v>
      </c>
      <c r="G4" s="1012"/>
    </row>
    <row r="5" spans="1:17" ht="12.2" customHeight="1">
      <c r="F5" s="1015"/>
    </row>
    <row r="6" spans="1:17">
      <c r="A6" s="1917" t="s">
        <v>692</v>
      </c>
      <c r="B6" s="1664"/>
      <c r="C6" s="1664"/>
      <c r="D6" s="1664"/>
      <c r="E6" s="1665"/>
      <c r="F6" s="1016"/>
      <c r="G6" s="1010"/>
      <c r="H6" s="1017" t="s">
        <v>1085</v>
      </c>
      <c r="I6" s="2454" t="str">
        <f>COVER!A17</f>
        <v>Evanston CCSD 65</v>
      </c>
      <c r="J6" s="2455"/>
      <c r="Q6" s="1685"/>
    </row>
    <row r="7" spans="1:17">
      <c r="A7" s="2456" t="s">
        <v>923</v>
      </c>
      <c r="B7" s="2457"/>
      <c r="C7" s="2457"/>
      <c r="D7" s="2457"/>
      <c r="E7" s="2458"/>
      <c r="F7" s="1018"/>
      <c r="G7" s="1010"/>
      <c r="H7" s="1017" t="s">
        <v>389</v>
      </c>
      <c r="I7" s="2459">
        <f>COVER!A13</f>
        <v>5016065004</v>
      </c>
      <c r="J7" s="2459"/>
    </row>
    <row r="8" spans="1:17" ht="8.25" customHeight="1">
      <c r="A8" s="1666"/>
      <c r="B8" s="1667"/>
      <c r="C8" s="1667"/>
      <c r="D8" s="1667"/>
      <c r="E8" s="1668"/>
      <c r="F8" s="1019"/>
      <c r="G8" s="1020"/>
      <c r="H8" s="1020"/>
      <c r="I8" s="1020"/>
      <c r="J8" s="1020"/>
    </row>
    <row r="9" spans="1:17" ht="13.5" customHeight="1">
      <c r="A9" s="1021"/>
      <c r="B9" s="1022"/>
      <c r="C9" s="1022"/>
      <c r="D9" s="1023"/>
      <c r="E9" s="1918" t="s">
        <v>1700</v>
      </c>
      <c r="F9" s="1024"/>
      <c r="G9" s="1024"/>
      <c r="H9" s="1919" t="s">
        <v>1701</v>
      </c>
      <c r="I9" s="1024"/>
      <c r="J9" s="1025"/>
    </row>
    <row r="10" spans="1:17" s="1033" customFormat="1" ht="13.5" customHeight="1">
      <c r="A10" s="1026"/>
      <c r="B10" s="1027"/>
      <c r="C10" s="1028"/>
      <c r="D10" s="1029"/>
      <c r="E10" s="1030" t="s">
        <v>444</v>
      </c>
      <c r="F10" s="1031" t="s">
        <v>445</v>
      </c>
      <c r="G10" s="1032"/>
      <c r="H10" s="1031" t="s">
        <v>444</v>
      </c>
      <c r="I10" s="1031" t="s">
        <v>445</v>
      </c>
      <c r="J10" s="1031"/>
    </row>
    <row r="11" spans="1:17" s="1033" customFormat="1" ht="22.5">
      <c r="A11" s="2460" t="s">
        <v>501</v>
      </c>
      <c r="B11" s="2461"/>
      <c r="C11" s="2462"/>
      <c r="D11" s="1034" t="s">
        <v>925</v>
      </c>
      <c r="E11" s="1034" t="s">
        <v>66</v>
      </c>
      <c r="F11" s="1034" t="s">
        <v>6</v>
      </c>
      <c r="G11" s="1035" t="s">
        <v>158</v>
      </c>
      <c r="H11" s="1035" t="s">
        <v>66</v>
      </c>
      <c r="I11" s="1034" t="s">
        <v>6</v>
      </c>
      <c r="J11" s="1035" t="s">
        <v>158</v>
      </c>
    </row>
    <row r="12" spans="1:17" ht="15" customHeight="1">
      <c r="A12" s="1036">
        <v>1</v>
      </c>
      <c r="B12" s="1037" t="s">
        <v>871</v>
      </c>
      <c r="C12" s="1038"/>
      <c r="D12" s="1039">
        <v>2320</v>
      </c>
      <c r="E12" s="1833">
        <f>'Expenditures 15-22'!K50</f>
        <v>454369</v>
      </c>
      <c r="F12" s="1040"/>
      <c r="G12" s="1833">
        <f t="shared" ref="G12:G18" si="0">SUM(E12:F12)</f>
        <v>454369</v>
      </c>
      <c r="H12" s="1041">
        <f>'Expenditures 15-22'!L50</f>
        <v>450166</v>
      </c>
      <c r="I12" s="1040"/>
      <c r="J12" s="1833">
        <f t="shared" ref="J12:J18" si="1">SUM(H12:I12)</f>
        <v>450166</v>
      </c>
    </row>
    <row r="13" spans="1:17" ht="15" customHeight="1">
      <c r="A13" s="1036">
        <v>2</v>
      </c>
      <c r="B13" s="1037" t="s">
        <v>44</v>
      </c>
      <c r="C13" s="1038"/>
      <c r="D13" s="1039">
        <v>2330</v>
      </c>
      <c r="E13" s="1833">
        <f>'Expenditures 15-22'!K51</f>
        <v>2481757</v>
      </c>
      <c r="F13" s="1040"/>
      <c r="G13" s="1833">
        <f t="shared" si="0"/>
        <v>2481757</v>
      </c>
      <c r="H13" s="1041">
        <f>'Expenditures 15-22'!L51</f>
        <v>2110699</v>
      </c>
      <c r="I13" s="1040"/>
      <c r="J13" s="1833">
        <f t="shared" si="1"/>
        <v>2110699</v>
      </c>
    </row>
    <row r="14" spans="1:17" ht="15" customHeight="1">
      <c r="A14" s="1036">
        <v>3</v>
      </c>
      <c r="B14" s="1037" t="s">
        <v>45</v>
      </c>
      <c r="C14" s="1038"/>
      <c r="D14" s="1042">
        <v>2490</v>
      </c>
      <c r="E14" s="1833">
        <f>'Expenditures 15-22'!K56</f>
        <v>81543</v>
      </c>
      <c r="F14" s="1040"/>
      <c r="G14" s="1833">
        <f t="shared" si="0"/>
        <v>81543</v>
      </c>
      <c r="H14" s="1041">
        <f>'Expenditures 15-22'!L56</f>
        <v>55500</v>
      </c>
      <c r="I14" s="1040"/>
      <c r="J14" s="1833">
        <f t="shared" si="1"/>
        <v>55500</v>
      </c>
    </row>
    <row r="15" spans="1:17" ht="15" customHeight="1">
      <c r="A15" s="1036">
        <v>4</v>
      </c>
      <c r="B15" s="1037" t="s">
        <v>1127</v>
      </c>
      <c r="C15" s="1038"/>
      <c r="D15" s="1039">
        <v>2510</v>
      </c>
      <c r="E15" s="1833">
        <f>'Expenditures 15-22'!K59</f>
        <v>430419</v>
      </c>
      <c r="F15" s="1833">
        <f>'Expenditures 15-22'!K122</f>
        <v>0</v>
      </c>
      <c r="G15" s="1833">
        <f t="shared" si="0"/>
        <v>430419</v>
      </c>
      <c r="H15" s="1041">
        <f>'Expenditures 15-22'!L59</f>
        <v>439030</v>
      </c>
      <c r="I15" s="1041">
        <v>0</v>
      </c>
      <c r="J15" s="1833">
        <f t="shared" si="1"/>
        <v>439030</v>
      </c>
    </row>
    <row r="16" spans="1:17" ht="15" customHeight="1">
      <c r="A16" s="1036">
        <v>5</v>
      </c>
      <c r="B16" s="1037" t="s">
        <v>103</v>
      </c>
      <c r="C16" s="1038"/>
      <c r="D16" s="1039">
        <v>2570</v>
      </c>
      <c r="E16" s="1833">
        <f>'Expenditures 15-22'!K64</f>
        <v>0</v>
      </c>
      <c r="F16" s="1040"/>
      <c r="G16" s="1833">
        <f t="shared" si="0"/>
        <v>0</v>
      </c>
      <c r="H16" s="1041"/>
      <c r="I16" s="1040"/>
      <c r="J16" s="1833">
        <f t="shared" si="1"/>
        <v>0</v>
      </c>
    </row>
    <row r="17" spans="1:10" ht="15" customHeight="1">
      <c r="A17" s="1036">
        <v>6</v>
      </c>
      <c r="B17" s="1037" t="s">
        <v>1119</v>
      </c>
      <c r="C17" s="1038"/>
      <c r="D17" s="1039">
        <v>2610</v>
      </c>
      <c r="E17" s="1833">
        <f>'Expenditures 15-22'!K67</f>
        <v>0</v>
      </c>
      <c r="F17" s="1040"/>
      <c r="G17" s="1833">
        <f t="shared" si="0"/>
        <v>0</v>
      </c>
      <c r="H17" s="1041"/>
      <c r="I17" s="1040"/>
      <c r="J17" s="1833">
        <f t="shared" si="1"/>
        <v>0</v>
      </c>
    </row>
    <row r="18" spans="1:10" ht="22.5" customHeight="1">
      <c r="A18" s="1043">
        <v>7</v>
      </c>
      <c r="B18" s="2463" t="s">
        <v>7</v>
      </c>
      <c r="C18" s="2464"/>
      <c r="D18" s="2465"/>
      <c r="E18" s="1044"/>
      <c r="F18" s="1044"/>
      <c r="G18" s="1834">
        <f t="shared" si="0"/>
        <v>0</v>
      </c>
      <c r="H18" s="1041"/>
      <c r="I18" s="1041"/>
      <c r="J18" s="1833">
        <f t="shared" si="1"/>
        <v>0</v>
      </c>
    </row>
    <row r="19" spans="1:10" ht="12.75" customHeight="1" thickBot="1">
      <c r="A19" s="1036">
        <v>8</v>
      </c>
      <c r="B19" s="1045" t="s">
        <v>1222</v>
      </c>
      <c r="D19" s="1046"/>
      <c r="E19" s="1835">
        <f t="shared" ref="E19:J19" si="2">SUM(E12:E17)-E18</f>
        <v>3448088</v>
      </c>
      <c r="F19" s="1835">
        <f t="shared" si="2"/>
        <v>0</v>
      </c>
      <c r="G19" s="1835">
        <f t="shared" si="2"/>
        <v>3448088</v>
      </c>
      <c r="H19" s="1835">
        <f t="shared" si="2"/>
        <v>3055395</v>
      </c>
      <c r="I19" s="1835">
        <f t="shared" si="2"/>
        <v>0</v>
      </c>
      <c r="J19" s="1835">
        <f t="shared" si="2"/>
        <v>3055395</v>
      </c>
    </row>
    <row r="20" spans="1:10" ht="13.5" thickTop="1">
      <c r="A20" s="1036">
        <v>9</v>
      </c>
      <c r="B20" s="2466" t="s">
        <v>1702</v>
      </c>
      <c r="C20" s="2466"/>
      <c r="D20" s="2467"/>
      <c r="E20" s="1047"/>
      <c r="F20" s="1047"/>
      <c r="G20" s="1047"/>
      <c r="H20" s="1047"/>
      <c r="I20" s="1047"/>
      <c r="J20" s="1836">
        <f>IF(AND(G19&gt;0,J19&gt;0),(((J19-G19)/G19)),"Enter Budget Data")</f>
        <v>-0.11388717457327076</v>
      </c>
    </row>
    <row r="21" spans="1:10" ht="9" customHeight="1">
      <c r="B21" s="1048"/>
    </row>
    <row r="22" spans="1:10">
      <c r="A22" s="1049" t="s">
        <v>135</v>
      </c>
      <c r="B22" s="1048"/>
    </row>
    <row r="23" spans="1:10">
      <c r="A23" s="1012" t="s">
        <v>1703</v>
      </c>
      <c r="B23" s="1048"/>
    </row>
    <row r="24" spans="1:10">
      <c r="A24" s="1012" t="s">
        <v>1704</v>
      </c>
      <c r="B24" s="1048"/>
    </row>
    <row r="25" spans="1:10">
      <c r="A25" s="1050"/>
      <c r="B25" s="1048"/>
    </row>
    <row r="26" spans="1:10" ht="20.100000000000001" customHeight="1">
      <c r="B26" s="1048"/>
      <c r="C26" s="2472"/>
      <c r="D26" s="2472"/>
      <c r="E26" s="1051"/>
      <c r="F26" s="2471"/>
      <c r="G26" s="2471"/>
    </row>
    <row r="27" spans="1:10">
      <c r="B27" s="1048"/>
      <c r="C27" s="1052" t="s">
        <v>1092</v>
      </c>
      <c r="D27" s="1053"/>
      <c r="E27" s="1054"/>
      <c r="F27" s="2468" t="s">
        <v>1588</v>
      </c>
      <c r="G27" s="2468"/>
    </row>
    <row r="28" spans="1:10" ht="28.5" customHeight="1">
      <c r="B28" s="1048"/>
      <c r="C28" s="2470"/>
      <c r="D28" s="2470"/>
      <c r="E28" s="1055"/>
      <c r="F28" s="2470"/>
      <c r="G28" s="2470"/>
    </row>
    <row r="29" spans="1:10">
      <c r="B29" s="1048"/>
      <c r="C29" s="1056" t="s">
        <v>1641</v>
      </c>
      <c r="E29" s="1057"/>
      <c r="F29" s="2469" t="s">
        <v>1589</v>
      </c>
      <c r="G29" s="2469"/>
    </row>
    <row r="30" spans="1:10" ht="9" customHeight="1">
      <c r="B30" s="1048"/>
      <c r="C30" s="1058"/>
      <c r="E30" s="1059"/>
      <c r="F30" s="1060"/>
      <c r="G30" s="1060"/>
    </row>
    <row r="31" spans="1:10" ht="15" customHeight="1">
      <c r="A31" s="1012"/>
      <c r="B31" s="1061" t="s">
        <v>1093</v>
      </c>
    </row>
    <row r="32" spans="1:10" ht="9" customHeight="1">
      <c r="A32" s="1012"/>
      <c r="B32" s="1049"/>
    </row>
    <row r="33" spans="1:10" ht="12.75" customHeight="1">
      <c r="A33" s="1012"/>
      <c r="B33" s="1062"/>
      <c r="C33" s="2451" t="s">
        <v>134</v>
      </c>
      <c r="D33" s="2452"/>
      <c r="E33" s="2452"/>
      <c r="F33" s="2452"/>
      <c r="G33" s="2452"/>
      <c r="H33" s="2452"/>
      <c r="I33" s="2452"/>
    </row>
    <row r="34" spans="1:10" ht="10.35" customHeight="1">
      <c r="C34" s="2452"/>
      <c r="D34" s="2452"/>
      <c r="E34" s="2452"/>
      <c r="F34" s="2452"/>
      <c r="G34" s="2452"/>
      <c r="H34" s="2452"/>
      <c r="I34" s="2452"/>
    </row>
    <row r="35" spans="1:10" ht="7.5" customHeight="1">
      <c r="C35" s="1063"/>
    </row>
    <row r="36" spans="1:10" ht="13.5" customHeight="1">
      <c r="B36" s="1062"/>
      <c r="C36" s="2453" t="s">
        <v>1939</v>
      </c>
      <c r="D36" s="2452"/>
      <c r="E36" s="2452"/>
      <c r="F36" s="2452"/>
      <c r="G36" s="2452"/>
      <c r="H36" s="2452"/>
      <c r="I36" s="2452"/>
      <c r="J36" s="1064"/>
    </row>
    <row r="37" spans="1:10" ht="22.5" customHeight="1">
      <c r="C37" s="2452"/>
      <c r="D37" s="2452"/>
      <c r="E37" s="2452"/>
      <c r="F37" s="2452"/>
      <c r="G37" s="2452"/>
      <c r="H37" s="2452"/>
      <c r="I37" s="2452"/>
      <c r="J37" s="1064"/>
    </row>
    <row r="38" spans="1:10" ht="7.5" customHeight="1">
      <c r="C38" s="1063"/>
      <c r="D38" s="1065"/>
      <c r="E38" s="1066"/>
      <c r="F38" s="1067"/>
      <c r="G38" s="1066"/>
    </row>
    <row r="39" spans="1:10" ht="13.5" customHeight="1">
      <c r="B39" s="1062"/>
      <c r="C39" s="2449" t="s">
        <v>936</v>
      </c>
      <c r="D39" s="2450"/>
      <c r="E39" s="2450"/>
      <c r="F39" s="2450"/>
      <c r="G39" s="2450"/>
      <c r="H39" s="2450"/>
      <c r="I39" s="2450"/>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6" sqref="A6:XFD6"/>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276</v>
      </c>
    </row>
    <row r="3" spans="1:1">
      <c r="A3" s="329" t="s">
        <v>277</v>
      </c>
    </row>
    <row r="5" spans="1:1">
      <c r="A5" s="1069">
        <v>1</v>
      </c>
    </row>
    <row r="6" spans="1:1">
      <c r="A6" s="1069">
        <v>2</v>
      </c>
    </row>
    <row r="7" spans="1:1">
      <c r="A7" s="1069">
        <v>3</v>
      </c>
    </row>
    <row r="8" spans="1:1">
      <c r="A8" s="1069">
        <v>4</v>
      </c>
    </row>
    <row r="9" spans="1:1">
      <c r="A9" s="1070"/>
    </row>
    <row r="10" spans="1:1">
      <c r="A10" s="1070"/>
    </row>
    <row r="11" spans="1:1">
      <c r="A11" s="1070"/>
    </row>
    <row r="12" spans="1:1">
      <c r="A12" s="1070"/>
    </row>
    <row r="13" spans="1:1">
      <c r="A13" s="1070"/>
    </row>
    <row r="14" spans="1:1">
      <c r="A14" s="1070"/>
    </row>
    <row r="15" spans="1:1">
      <c r="A15" s="1070"/>
    </row>
    <row r="16" spans="1:1">
      <c r="A16" s="1070"/>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Evanston CCSD 65</v>
      </c>
    </row>
    <row r="65" spans="2:2">
      <c r="B65" s="1071">
        <f>COVER!A13</f>
        <v>5016065004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6" sqref="A6:XFD6"/>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1480</v>
      </c>
      <c r="D6" s="24"/>
    </row>
    <row r="7" spans="1:4" ht="13.5" customHeight="1">
      <c r="A7" s="23"/>
      <c r="B7" s="25"/>
      <c r="C7" s="65" t="s">
        <v>1481</v>
      </c>
      <c r="D7" s="24"/>
    </row>
    <row r="8" spans="1:4" ht="13.5" customHeight="1">
      <c r="A8" s="23"/>
      <c r="B8" s="146" t="s">
        <v>999</v>
      </c>
      <c r="C8" s="65" t="s">
        <v>1466</v>
      </c>
      <c r="D8" s="24"/>
    </row>
    <row r="9" spans="1:4" ht="13.5" customHeight="1">
      <c r="A9" s="14"/>
      <c r="B9" s="144" t="s">
        <v>1000</v>
      </c>
      <c r="C9" s="142" t="s">
        <v>1385</v>
      </c>
    </row>
    <row r="10" spans="1:4" ht="13.5" customHeight="1">
      <c r="B10" s="18" t="s">
        <v>1001</v>
      </c>
      <c r="C10" s="15" t="s">
        <v>964</v>
      </c>
    </row>
    <row r="11" spans="1:4" ht="12.75" customHeight="1">
      <c r="B11" s="18" t="s">
        <v>1002</v>
      </c>
      <c r="C11" s="16" t="s">
        <v>913</v>
      </c>
    </row>
    <row r="12" spans="1:4" ht="21.75" customHeight="1">
      <c r="B12" s="18" t="s">
        <v>1003</v>
      </c>
      <c r="C12" s="145" t="s">
        <v>1465</v>
      </c>
    </row>
    <row r="13" spans="1:4" s="19" customFormat="1" ht="12.75" customHeight="1">
      <c r="B13" s="18" t="s">
        <v>970</v>
      </c>
      <c r="C13" s="16" t="s">
        <v>1188</v>
      </c>
    </row>
    <row r="14" spans="1:4" ht="21.75" customHeight="1">
      <c r="B14" s="18" t="s">
        <v>971</v>
      </c>
      <c r="C14" s="16" t="s">
        <v>897</v>
      </c>
    </row>
    <row r="15" spans="1:4" ht="12.75" customHeight="1">
      <c r="B15" s="143" t="s">
        <v>1391</v>
      </c>
      <c r="C15" s="142" t="s">
        <v>1392</v>
      </c>
    </row>
    <row r="16" spans="1:4" ht="12.75" customHeight="1">
      <c r="C16" s="142" t="s">
        <v>1393</v>
      </c>
    </row>
    <row r="17" spans="3:3" ht="12.75" customHeight="1">
      <c r="C17" s="66" t="s">
        <v>1394</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1572</v>
      </c>
    </row>
    <row r="15" spans="1:6">
      <c r="A15" s="389" t="s">
        <v>911</v>
      </c>
    </row>
    <row r="16" spans="1:6" s="1072" customFormat="1" ht="45" customHeight="1">
      <c r="A16" s="1074"/>
      <c r="B16" s="1074" t="s">
        <v>1782</v>
      </c>
    </row>
    <row r="17" spans="1:2" ht="6" customHeight="1"/>
    <row r="18" spans="1:2" ht="24.75" customHeight="1">
      <c r="A18" s="2473" t="s">
        <v>1783</v>
      </c>
      <c r="B18" s="247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shapeId="64514" r:id="rId4">
          <objectPr defaultSize="0" autoPict="0" r:id="rId5">
            <anchor moveWithCells="1">
              <from>
                <xdr:col>1</xdr:col>
                <xdr:colOff>66675</xdr:colOff>
                <xdr:row>1</xdr:row>
                <xdr:rowOff>28575</xdr:rowOff>
              </from>
              <to>
                <xdr:col>1</xdr:col>
                <xdr:colOff>1190625</xdr:colOff>
                <xdr:row>10</xdr:row>
                <xdr:rowOff>0</xdr:rowOff>
              </to>
            </anchor>
          </objectPr>
        </oleObject>
      </mc:Choice>
      <mc:Fallback>
        <oleObject progId="Acrobat Document" shapeId="64514"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6" sqref="A6:XFD6"/>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74" t="s">
        <v>1789</v>
      </c>
      <c r="B1" s="2475"/>
      <c r="C1" s="2475"/>
      <c r="D1" s="2475"/>
      <c r="E1" s="2475"/>
      <c r="F1" s="2476"/>
    </row>
    <row r="2" spans="1:8" ht="45" customHeight="1">
      <c r="A2" s="2484" t="s">
        <v>1790</v>
      </c>
      <c r="B2" s="2485"/>
      <c r="C2" s="2485"/>
      <c r="D2" s="2485"/>
      <c r="E2" s="2485"/>
      <c r="F2" s="2486"/>
      <c r="G2" s="1075"/>
      <c r="H2" s="1075"/>
    </row>
    <row r="3" spans="1:8" ht="57" customHeight="1">
      <c r="A3" s="2487" t="s">
        <v>1785</v>
      </c>
      <c r="B3" s="2488"/>
      <c r="C3" s="2488"/>
      <c r="D3" s="2488"/>
      <c r="E3" s="2488"/>
      <c r="F3" s="2489"/>
      <c r="G3" s="1075"/>
      <c r="H3" s="1075"/>
    </row>
    <row r="4" spans="1:8" ht="14.25" customHeight="1">
      <c r="A4" s="2493" t="s">
        <v>2050</v>
      </c>
      <c r="B4" s="2494"/>
      <c r="C4" s="2494"/>
      <c r="D4" s="2494"/>
      <c r="E4" s="2494"/>
      <c r="F4" s="2495"/>
      <c r="G4" s="1075"/>
      <c r="H4" s="1075"/>
    </row>
    <row r="5" spans="1:8" ht="14.25" customHeight="1">
      <c r="A5" s="2496" t="s">
        <v>2051</v>
      </c>
      <c r="B5" s="2497"/>
      <c r="C5" s="2497"/>
      <c r="D5" s="2497"/>
      <c r="E5" s="2497"/>
      <c r="F5" s="2498"/>
      <c r="G5" s="1075"/>
      <c r="H5" s="1075"/>
    </row>
    <row r="6" spans="1:8" s="1076" customFormat="1" ht="41.25" customHeight="1">
      <c r="A6" s="2490" t="s">
        <v>1791</v>
      </c>
      <c r="B6" s="2491"/>
      <c r="C6" s="2491"/>
      <c r="D6" s="2491"/>
      <c r="E6" s="2491"/>
      <c r="F6" s="2492"/>
    </row>
    <row r="7" spans="1:8" ht="42" customHeight="1">
      <c r="A7" s="1077" t="s">
        <v>501</v>
      </c>
      <c r="B7" s="1078" t="s">
        <v>1575</v>
      </c>
      <c r="C7" s="1078" t="s">
        <v>1576</v>
      </c>
      <c r="D7" s="1078" t="s">
        <v>1574</v>
      </c>
      <c r="E7" s="1078" t="s">
        <v>1577</v>
      </c>
      <c r="F7" s="1078" t="s">
        <v>1433</v>
      </c>
    </row>
    <row r="8" spans="1:8" s="1080" customFormat="1" ht="14.25" customHeight="1">
      <c r="A8" s="1079" t="s">
        <v>1434</v>
      </c>
      <c r="B8" s="1837">
        <f>'Acct Summary 7-8'!C8</f>
        <v>122756571</v>
      </c>
      <c r="C8" s="1837">
        <f>'Acct Summary 7-8'!D8</f>
        <v>8558744</v>
      </c>
      <c r="D8" s="1837">
        <f>'Acct Summary 7-8'!F8</f>
        <v>4807193</v>
      </c>
      <c r="E8" s="1837">
        <f>'Acct Summary 7-8'!I8</f>
        <v>189213</v>
      </c>
      <c r="F8" s="1837">
        <f>SUM(B8:E8)</f>
        <v>136311721</v>
      </c>
    </row>
    <row r="9" spans="1:8" s="1080" customFormat="1" ht="14.25" customHeight="1" thickBot="1">
      <c r="A9" s="1079" t="s">
        <v>1435</v>
      </c>
      <c r="B9" s="1838">
        <f>'Acct Summary 7-8'!C17</f>
        <v>105190692</v>
      </c>
      <c r="C9" s="1838">
        <f>'Acct Summary 7-8'!D17</f>
        <v>6971960</v>
      </c>
      <c r="D9" s="1838">
        <f>'Acct Summary 7-8'!F17</f>
        <v>4270988</v>
      </c>
      <c r="E9" s="1837"/>
      <c r="F9" s="1837">
        <f>SUM(B9:E9)</f>
        <v>116433640</v>
      </c>
    </row>
    <row r="10" spans="1:8" s="1080" customFormat="1" ht="14.25" thickTop="1" thickBot="1">
      <c r="A10" s="1081" t="s">
        <v>1436</v>
      </c>
      <c r="B10" s="1839">
        <f>(B8-B9)</f>
        <v>17565879</v>
      </c>
      <c r="C10" s="1839">
        <f>(C8-C9)</f>
        <v>1586784</v>
      </c>
      <c r="D10" s="1839">
        <f>(D8-D9)</f>
        <v>536205</v>
      </c>
      <c r="E10" s="1838">
        <f>(E8-E9)</f>
        <v>189213</v>
      </c>
      <c r="F10" s="1840">
        <f>SUM(F8-F9)</f>
        <v>19878081</v>
      </c>
    </row>
    <row r="11" spans="1:8" s="1080" customFormat="1" ht="14.25" thickTop="1" thickBot="1">
      <c r="A11" s="1082" t="s">
        <v>1784</v>
      </c>
      <c r="B11" s="1841">
        <f>'Acct Summary 7-8'!C81</f>
        <v>22249625</v>
      </c>
      <c r="C11" s="1841">
        <f>'Acct Summary 7-8'!D81</f>
        <v>3541966</v>
      </c>
      <c r="D11" s="1841">
        <f>'Acct Summary 7-8'!F81</f>
        <v>1260854</v>
      </c>
      <c r="E11" s="1841">
        <f>'Acct Summary 7-8'!I81</f>
        <v>12506198</v>
      </c>
      <c r="F11" s="1842">
        <f>SUM(B11:E11)</f>
        <v>39558643</v>
      </c>
    </row>
    <row r="12" spans="1:8" ht="16.5" customHeight="1" thickTop="1">
      <c r="A12" s="1083"/>
      <c r="B12" s="1084"/>
      <c r="C12" s="2478" t="str">
        <f>IF(AND(F10&lt;0,F11&gt;=0,ABS(F10*3)&gt;ABS(F11)),A16,IF(AND(F10&lt;0,F11&gt;0,ABS(F10*3)&lt;=ABS(F11)),A17,IF(AND(F10&lt;0,F11&lt;0),A16,IF(F11=0,A19,A18))))</f>
        <v>Balanced - no deficit reduction plan is required.</v>
      </c>
      <c r="D12" s="2479"/>
      <c r="E12" s="2479"/>
      <c r="F12" s="2480"/>
    </row>
    <row r="13" spans="1:8" ht="19.5" customHeight="1">
      <c r="A13" s="1085"/>
      <c r="B13" s="1086"/>
      <c r="C13" s="2478"/>
      <c r="D13" s="2479"/>
      <c r="E13" s="2479"/>
      <c r="F13" s="2480"/>
      <c r="H13" s="1075"/>
    </row>
    <row r="14" spans="1:8" ht="19.5" customHeight="1">
      <c r="A14" s="1085"/>
      <c r="B14" s="1086"/>
      <c r="C14" s="2478"/>
      <c r="D14" s="2479"/>
      <c r="E14" s="2479"/>
      <c r="F14" s="2480"/>
      <c r="H14" s="1075"/>
    </row>
    <row r="15" spans="1:8" ht="17.25" customHeight="1">
      <c r="A15" s="1085"/>
      <c r="B15" s="1086"/>
      <c r="C15" s="2481"/>
      <c r="D15" s="2482"/>
      <c r="E15" s="2482"/>
      <c r="F15" s="2483"/>
      <c r="H15" s="1075"/>
    </row>
    <row r="16" spans="1:8" s="310" customFormat="1" ht="51.75" hidden="1" customHeight="1">
      <c r="A16" s="2477" t="s">
        <v>1786</v>
      </c>
      <c r="B16" s="2477"/>
      <c r="C16" s="2477"/>
      <c r="D16" s="2477"/>
      <c r="E16" s="2477"/>
      <c r="F16" s="310" t="s">
        <v>1437</v>
      </c>
    </row>
    <row r="17" spans="1:6" hidden="1">
      <c r="A17" s="316" t="s">
        <v>1787</v>
      </c>
      <c r="F17" s="1087" t="s">
        <v>1438</v>
      </c>
    </row>
    <row r="18" spans="1:6" hidden="1">
      <c r="A18" s="316" t="s">
        <v>1788</v>
      </c>
      <c r="F18" s="316" t="s">
        <v>1476</v>
      </c>
    </row>
    <row r="19" spans="1:6" hidden="1">
      <c r="A19" s="316" t="s">
        <v>1475</v>
      </c>
      <c r="F19" s="316" t="s">
        <v>1440</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sheetPr>
  <dimension ref="A1:L82"/>
  <sheetViews>
    <sheetView showGridLines="0" defaultGridColor="0" colorId="8" zoomScale="110" zoomScaleNormal="110" workbookViewId="0">
      <selection activeCell="A6" sqref="A6:XFD6"/>
    </sheetView>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920"/>
      <c r="B2" s="1921"/>
      <c r="C2" s="1922"/>
      <c r="D2" s="1923"/>
    </row>
    <row r="3" spans="1:4" ht="36" customHeight="1">
      <c r="A3" s="2499" t="s">
        <v>685</v>
      </c>
      <c r="B3" s="2500"/>
      <c r="C3" s="2500"/>
      <c r="D3" s="2501"/>
    </row>
    <row r="4" spans="1:4">
      <c r="A4" s="1153" t="s">
        <v>1792</v>
      </c>
      <c r="B4" s="1154"/>
      <c r="C4" s="1155"/>
      <c r="D4" s="1156"/>
    </row>
    <row r="5" spans="1:4" ht="21" customHeight="1">
      <c r="A5" s="1149"/>
      <c r="B5" s="1150">
        <v>1</v>
      </c>
      <c r="C5" s="1151" t="s">
        <v>1941</v>
      </c>
      <c r="D5" s="1152"/>
    </row>
    <row r="6" spans="1:4" s="669" customFormat="1" ht="14.25" customHeight="1">
      <c r="A6" s="1139"/>
      <c r="B6" s="1094">
        <f t="shared" ref="B6:B13" si="0">B5+1</f>
        <v>2</v>
      </c>
      <c r="C6" s="1095" t="s">
        <v>918</v>
      </c>
      <c r="D6" s="1096"/>
    </row>
    <row r="7" spans="1:4" s="669" customFormat="1" ht="12.75">
      <c r="A7" s="1139"/>
      <c r="B7" s="1094">
        <f t="shared" si="0"/>
        <v>3</v>
      </c>
      <c r="C7" s="2510" t="s">
        <v>1583</v>
      </c>
      <c r="D7" s="2511"/>
    </row>
    <row r="8" spans="1:4" s="669" customFormat="1" ht="12.75">
      <c r="A8" s="1139"/>
      <c r="B8" s="1094"/>
      <c r="C8" s="1097" t="s">
        <v>1582</v>
      </c>
      <c r="D8" s="1098"/>
    </row>
    <row r="9" spans="1:4" s="669" customFormat="1" ht="14.25" customHeight="1">
      <c r="A9" s="1139"/>
      <c r="B9" s="1094">
        <f>B7+1</f>
        <v>4</v>
      </c>
      <c r="C9" s="1095" t="s">
        <v>2043</v>
      </c>
      <c r="D9" s="1096"/>
    </row>
    <row r="10" spans="1:4" s="669" customFormat="1" ht="14.25" customHeight="1">
      <c r="A10" s="1139"/>
      <c r="B10" s="1094">
        <f t="shared" si="0"/>
        <v>5</v>
      </c>
      <c r="C10" s="1095" t="s">
        <v>659</v>
      </c>
      <c r="D10" s="1096"/>
    </row>
    <row r="11" spans="1:4" s="669" customFormat="1" ht="14.25" customHeight="1">
      <c r="A11" s="1139"/>
      <c r="B11" s="1094">
        <f t="shared" si="0"/>
        <v>6</v>
      </c>
      <c r="C11" s="1095" t="s">
        <v>810</v>
      </c>
      <c r="D11" s="1096"/>
    </row>
    <row r="12" spans="1:4" s="669" customFormat="1" ht="14.25" customHeight="1">
      <c r="A12" s="1139"/>
      <c r="B12" s="1094">
        <f t="shared" si="0"/>
        <v>7</v>
      </c>
      <c r="C12" s="1095" t="s">
        <v>1121</v>
      </c>
      <c r="D12" s="1096"/>
    </row>
    <row r="13" spans="1:4" s="669" customFormat="1" ht="14.25" customHeight="1">
      <c r="A13" s="1139"/>
      <c r="B13" s="1094">
        <f t="shared" si="0"/>
        <v>8</v>
      </c>
      <c r="C13" s="1135" t="s">
        <v>811</v>
      </c>
      <c r="D13" s="1096"/>
    </row>
    <row r="14" spans="1:4" s="669" customFormat="1" ht="14.25" customHeight="1">
      <c r="A14" s="1139"/>
      <c r="B14" s="1136">
        <v>9</v>
      </c>
      <c r="C14" s="1137" t="s">
        <v>1584</v>
      </c>
      <c r="D14" s="1138"/>
    </row>
    <row r="15" spans="1:4" s="669" customFormat="1" ht="21.75" customHeight="1">
      <c r="A15" s="2502" t="s">
        <v>1064</v>
      </c>
      <c r="B15" s="2503"/>
      <c r="C15" s="2503"/>
      <c r="D15" s="2504"/>
    </row>
    <row r="16" spans="1:4" s="669" customFormat="1" ht="24" customHeight="1">
      <c r="A16" s="2505" t="s">
        <v>683</v>
      </c>
      <c r="B16" s="2506"/>
      <c r="C16" s="2506"/>
      <c r="D16" s="2507"/>
    </row>
    <row r="17" spans="1:10" s="669" customFormat="1" ht="12.75" customHeight="1">
      <c r="A17" s="1157" t="s">
        <v>1793</v>
      </c>
      <c r="B17" s="1158"/>
      <c r="C17" s="1159"/>
      <c r="D17" s="1160"/>
    </row>
    <row r="18" spans="1:10" s="669" customFormat="1" ht="12.75" customHeight="1">
      <c r="A18" s="1161" t="s">
        <v>1794</v>
      </c>
      <c r="B18" s="1162"/>
      <c r="C18" s="1163"/>
      <c r="D18" s="1164"/>
    </row>
    <row r="19" spans="1:10" ht="6.75" customHeight="1" thickBot="1">
      <c r="A19" s="1165"/>
      <c r="B19" s="1166"/>
      <c r="C19" s="1167"/>
      <c r="D19" s="1168"/>
    </row>
    <row r="20" spans="1:10" s="1172" customFormat="1" ht="12.75" thickTop="1">
      <c r="A20" s="1169"/>
      <c r="B20" s="1170" t="s">
        <v>1795</v>
      </c>
      <c r="C20" s="1171"/>
      <c r="D20" s="1174" t="s">
        <v>733</v>
      </c>
    </row>
    <row r="21" spans="1:10">
      <c r="A21" s="1099"/>
      <c r="B21" s="1100">
        <v>1</v>
      </c>
      <c r="C21" s="2514" t="s">
        <v>331</v>
      </c>
      <c r="D21" s="2515"/>
    </row>
    <row r="22" spans="1:10" ht="12.75">
      <c r="A22" s="1140"/>
      <c r="B22" s="1141">
        <v>2</v>
      </c>
      <c r="C22" s="2512" t="s">
        <v>1604</v>
      </c>
      <c r="D22" s="2513"/>
    </row>
    <row r="23" spans="1:10" ht="12.2" customHeight="1">
      <c r="A23" s="1140"/>
      <c r="B23" s="1141"/>
      <c r="C23" s="1142" t="s">
        <v>1010</v>
      </c>
      <c r="D23" s="1143" t="str">
        <f>IF(COVER!O11="X","CASH",IF(COVER!O12="X","ACCRUAL ","PLEASE CHECK AN ACCOUNTING BASIS."))</f>
        <v>CASH</v>
      </c>
    </row>
    <row r="24" spans="1:10" ht="12.2" customHeight="1">
      <c r="A24" s="1140"/>
      <c r="B24" s="1141"/>
      <c r="C24" s="1142" t="s">
        <v>1398</v>
      </c>
      <c r="D24" s="1143" t="str">
        <f>IF(COVER!O11="X","OK",IF(AND('Aud Quest 2'!J90=0,'Aud Quest 2'!I77&lt;DATE(2017,12,31)),"ENTER ACCOUNTING INFO",IF(AND('Aud Quest 2'!J90&gt;0,'Aud Quest 2'!I77&lt;DATE(2017,12,31)),"OK")))</f>
        <v>OK</v>
      </c>
    </row>
    <row r="25" spans="1:10">
      <c r="A25" s="1101"/>
      <c r="B25" s="1102"/>
      <c r="C25" s="1103" t="s">
        <v>1606</v>
      </c>
      <c r="D25" s="1104" t="str">
        <f>IF(AND(COVER!J29="X",COVER!J30="X",COVER!L30&lt;&gt;"X"),"OK",IF(AND(COVER!J29="X",COVER!J30&lt;&gt;"X",COVER!L30="X"),"OK",IF(AND(COVER!L29="X",COVER!J30&lt;&gt;"X"),"OK","PLEASE CHECK YES or NO.")))</f>
        <v>OK</v>
      </c>
    </row>
    <row r="26" spans="1:10">
      <c r="A26" s="1101"/>
      <c r="B26" s="1144"/>
      <c r="C26" s="1105" t="s">
        <v>1605</v>
      </c>
      <c r="D26" s="1106" t="str">
        <f>IF(AND(COVER!J29="X",COVER!J30="X",COVER!L29&lt;&gt;"X"),"OK",IF(AND(COVER!J29="X",COVER!J30&lt;&gt;"X",COVER!L30="X"),"SENDING AN A-133 SEPERATELY!",IF(AND(COVER!L29="X",COVER!J30&lt;&gt;"X"),"OK","PLEASE CHECK YES or NO.")))</f>
        <v>OK</v>
      </c>
    </row>
    <row r="27" spans="1:10" ht="12" hidden="1" customHeight="1">
      <c r="A27" s="1107"/>
      <c r="B27" s="1144"/>
      <c r="C27" s="1103" t="s">
        <v>1031</v>
      </c>
      <c r="D27" s="1106" t="str">
        <f>IF(AND(COVER!J29="X",COVER!J31="X",COVER!L29&lt;&gt;"X"),"OK",IF(AND(COVER!J29="X",COVER!J31&lt;&gt;"X",COVER!L31="X"),"NO FINDINGS WERE ISSUED",IF(AND(COVER!L29="X",COVER!J31&lt;&gt;"X"),"OK","PLEASE CHECK YES or NO.")))</f>
        <v>OK</v>
      </c>
    </row>
    <row r="28" spans="1:10" ht="24" hidden="1" customHeight="1">
      <c r="A28" s="1107"/>
      <c r="B28" s="1144"/>
      <c r="C28" s="1103" t="s">
        <v>896</v>
      </c>
      <c r="D28" s="1108" t="str">
        <f>IF('Aud Quest 2'!B53="X",IF('Aud Quest 2'!F53&gt;"00/00/00 ","Enter Effective Date","ok"))</f>
        <v>ok</v>
      </c>
    </row>
    <row r="29" spans="1:10">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9"/>
      <c r="B30" s="1141">
        <f>B22+1</f>
        <v>3</v>
      </c>
      <c r="C30" s="1109" t="s">
        <v>878</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1034</v>
      </c>
      <c r="D32" s="1104" t="str">
        <f>IF(OR(COVER!B6="x",'FP Info 3'!B31="X",'FP Info 3'!B32="X"),"OK","ENTRY IS REQUIRED!")</f>
        <v>OK</v>
      </c>
    </row>
    <row r="33" spans="1:12" s="1117" customFormat="1" ht="12.75" customHeight="1">
      <c r="A33" s="1114"/>
      <c r="B33" s="1141">
        <f>B30+1</f>
        <v>4</v>
      </c>
      <c r="C33" s="1115" t="s">
        <v>812</v>
      </c>
      <c r="D33" s="1116"/>
    </row>
    <row r="34" spans="1:12" s="1117" customFormat="1">
      <c r="A34" s="1118"/>
      <c r="B34" s="1141"/>
      <c r="C34" s="1119" t="s">
        <v>879</v>
      </c>
      <c r="D34" s="1104" t="str">
        <f>IF('Assets-Liab 5-6'!C4&lt;-0.49, "ERROR!","OK")</f>
        <v>OK</v>
      </c>
    </row>
    <row r="35" spans="1:12">
      <c r="A35" s="1118"/>
      <c r="B35" s="1141"/>
      <c r="C35" s="1119" t="s">
        <v>323</v>
      </c>
      <c r="D35" s="1104" t="str">
        <f>IF('Assets-Liab 5-6'!D4&lt;-0.49, "ERROR!","OK")</f>
        <v>OK</v>
      </c>
      <c r="L35" s="1173"/>
    </row>
    <row r="36" spans="1:12">
      <c r="A36" s="1118"/>
      <c r="B36" s="1141"/>
      <c r="C36" s="1119" t="s">
        <v>813</v>
      </c>
      <c r="D36" s="1104" t="str">
        <f>IF('Assets-Liab 5-6'!E4&lt;-0.49, "ERROR!","OK")</f>
        <v>OK</v>
      </c>
    </row>
    <row r="37" spans="1:12">
      <c r="A37" s="1118"/>
      <c r="B37" s="1141"/>
      <c r="C37" s="1119" t="s">
        <v>324</v>
      </c>
      <c r="D37" s="1104" t="str">
        <f>IF('Assets-Liab 5-6'!F4&lt;-0.49, "ERROR!","OK")</f>
        <v>OK</v>
      </c>
    </row>
    <row r="38" spans="1:12">
      <c r="A38" s="1118"/>
      <c r="B38" s="1141"/>
      <c r="C38" s="1119" t="s">
        <v>325</v>
      </c>
      <c r="D38" s="1104" t="str">
        <f>IF('Assets-Liab 5-6'!G4&lt;-0.49, "ERROR!","OK")</f>
        <v>OK</v>
      </c>
    </row>
    <row r="39" spans="1:12">
      <c r="A39" s="1118"/>
      <c r="B39" s="1141"/>
      <c r="C39" s="1119" t="s">
        <v>814</v>
      </c>
      <c r="D39" s="1104" t="str">
        <f>IF('Assets-Liab 5-6'!H4&lt;-0.49, "ERROR!","OK")</f>
        <v>OK</v>
      </c>
    </row>
    <row r="40" spans="1:12">
      <c r="A40" s="1118"/>
      <c r="B40" s="1141"/>
      <c r="C40" s="1119" t="s">
        <v>326</v>
      </c>
      <c r="D40" s="1104" t="str">
        <f>IF('Assets-Liab 5-6'!I4&lt;-0.49, "ERROR!","OK")</f>
        <v>OK</v>
      </c>
    </row>
    <row r="41" spans="1:12">
      <c r="A41" s="1118"/>
      <c r="B41" s="1141"/>
      <c r="C41" s="1119" t="s">
        <v>815</v>
      </c>
      <c r="D41" s="1104" t="str">
        <f>IF('Assets-Liab 5-6'!J4&lt;-0.49, "ERROR!","OK")</f>
        <v>OK</v>
      </c>
    </row>
    <row r="42" spans="1:12">
      <c r="A42" s="1118"/>
      <c r="B42" s="1141"/>
      <c r="C42" s="1119" t="s">
        <v>327</v>
      </c>
      <c r="D42" s="1104" t="str">
        <f>IF('Assets-Liab 5-6'!K4&lt;-0.49, "ERROR!","OK")</f>
        <v>OK</v>
      </c>
    </row>
    <row r="43" spans="1:12">
      <c r="A43" s="1120"/>
      <c r="B43" s="1121">
        <f>B33+1</f>
        <v>5</v>
      </c>
      <c r="C43" s="2516" t="s">
        <v>556</v>
      </c>
      <c r="D43" s="2517"/>
    </row>
    <row r="44" spans="1:12">
      <c r="A44" s="1120"/>
      <c r="B44" s="1122"/>
      <c r="C44" s="1123" t="s">
        <v>1401</v>
      </c>
      <c r="D44" s="1124" t="str">
        <f>IF(SUM('Assets-Liab 5-6'!C13)&lt;&gt;SUM('Assets-Liab 5-6'!C41),"ERROR!","OK")</f>
        <v>OK</v>
      </c>
    </row>
    <row r="45" spans="1:12">
      <c r="A45" s="1120"/>
      <c r="B45" s="1122"/>
      <c r="C45" s="1123" t="s">
        <v>1402</v>
      </c>
      <c r="D45" s="1124" t="str">
        <f>IF(SUM('Assets-Liab 5-6'!D13)&lt;&gt;SUM('Assets-Liab 5-6'!D41),"ERROR!","OK")</f>
        <v>OK</v>
      </c>
    </row>
    <row r="46" spans="1:12">
      <c r="A46" s="1120"/>
      <c r="B46" s="1122"/>
      <c r="C46" s="1123" t="s">
        <v>1403</v>
      </c>
      <c r="D46" s="1124" t="str">
        <f>IF(SUM('Assets-Liab 5-6'!E13)&lt;&gt;SUM('Assets-Liab 5-6'!E41),"ERROR!","OK")</f>
        <v>OK</v>
      </c>
    </row>
    <row r="47" spans="1:12">
      <c r="A47" s="1120"/>
      <c r="B47" s="1122"/>
      <c r="C47" s="1123" t="s">
        <v>1404</v>
      </c>
      <c r="D47" s="1124" t="str">
        <f>IF(SUM('Assets-Liab 5-6'!F13)&lt;&gt;SUM('Assets-Liab 5-6'!F41),"ERROR!","OK")</f>
        <v>OK</v>
      </c>
    </row>
    <row r="48" spans="1:12">
      <c r="A48" s="1120"/>
      <c r="B48" s="1122"/>
      <c r="C48" s="1123" t="s">
        <v>1405</v>
      </c>
      <c r="D48" s="1124" t="str">
        <f>IF(SUM('Assets-Liab 5-6'!G13)&lt;&gt;SUM('Assets-Liab 5-6'!G41),"ERROR!","OK")</f>
        <v>OK</v>
      </c>
    </row>
    <row r="49" spans="1:4">
      <c r="A49" s="1120"/>
      <c r="B49" s="1122"/>
      <c r="C49" s="1123" t="s">
        <v>1406</v>
      </c>
      <c r="D49" s="1124" t="str">
        <f>IF(SUM('Assets-Liab 5-6'!H13)&lt;&gt;SUM('Assets-Liab 5-6'!H41),"ERROR!","OK")</f>
        <v>OK</v>
      </c>
    </row>
    <row r="50" spans="1:4">
      <c r="A50" s="1120"/>
      <c r="B50" s="1122"/>
      <c r="C50" s="1123" t="s">
        <v>1407</v>
      </c>
      <c r="D50" s="1124" t="str">
        <f>IF(SUM('Assets-Liab 5-6'!I13)&lt;&gt;SUM('Assets-Liab 5-6'!I41),"ERROR!","OK")</f>
        <v>OK</v>
      </c>
    </row>
    <row r="51" spans="1:4">
      <c r="A51" s="1120"/>
      <c r="B51" s="1122"/>
      <c r="C51" s="1123" t="s">
        <v>1408</v>
      </c>
      <c r="D51" s="1124" t="str">
        <f>IF(SUM('Assets-Liab 5-6'!J13)&lt;&gt;SUM('Assets-Liab 5-6'!J41),"ERROR!","OK")</f>
        <v>OK</v>
      </c>
    </row>
    <row r="52" spans="1:4">
      <c r="A52" s="1120"/>
      <c r="B52" s="1122"/>
      <c r="C52" s="1123" t="s">
        <v>1409</v>
      </c>
      <c r="D52" s="1124" t="str">
        <f>IF(SUM('Assets-Liab 5-6'!K13)&lt;&gt;SUM('Assets-Liab 5-6'!K41),"ERROR!","OK")</f>
        <v>OK</v>
      </c>
    </row>
    <row r="53" spans="1:4">
      <c r="A53" s="1120"/>
      <c r="B53" s="1122"/>
      <c r="C53" s="1123" t="s">
        <v>1410</v>
      </c>
      <c r="D53" s="1124" t="str">
        <f>IF(SUM('Assets-Liab 5-6'!L13)&lt;&gt;('Assets-Liab 5-6'!L41),"ERROR!","OK")</f>
        <v>OK</v>
      </c>
    </row>
    <row r="54" spans="1:4">
      <c r="A54" s="1120"/>
      <c r="B54" s="1122"/>
      <c r="C54" s="1123" t="s">
        <v>1411</v>
      </c>
      <c r="D54" s="1124" t="str">
        <f>IF(SUM('Assets-Liab 5-6'!M23)&lt;&gt;('Assets-Liab 5-6'!M41),"ERROR!","OK")</f>
        <v>OK</v>
      </c>
    </row>
    <row r="55" spans="1:4">
      <c r="A55" s="1120"/>
      <c r="B55" s="1122"/>
      <c r="C55" s="1123" t="s">
        <v>1412</v>
      </c>
      <c r="D55" s="1124" t="str">
        <f>IF(SUM('Assets-Liab 5-6'!N23)&lt;&gt;('Assets-Liab 5-6'!N41),"ERROR!","OK")</f>
        <v>OK</v>
      </c>
    </row>
    <row r="56" spans="1:4">
      <c r="A56" s="1101"/>
      <c r="B56" s="1121">
        <f>B43+1</f>
        <v>6</v>
      </c>
      <c r="C56" s="2508" t="s">
        <v>816</v>
      </c>
      <c r="D56" s="2509"/>
    </row>
    <row r="57" spans="1:4" s="1117" customFormat="1">
      <c r="A57" s="1101"/>
      <c r="B57" s="1111"/>
      <c r="C57" s="1119" t="s">
        <v>1413</v>
      </c>
      <c r="D57" s="1125" t="str">
        <f>IF('Assets-Liab 5-6'!C38+'Assets-Liab 5-6'!C39='Acct Summary 7-8'!C81,"OK","ERROR!")</f>
        <v>OK</v>
      </c>
    </row>
    <row r="58" spans="1:4">
      <c r="A58" s="1101"/>
      <c r="B58" s="1111"/>
      <c r="C58" s="1119" t="s">
        <v>1414</v>
      </c>
      <c r="D58" s="1125" t="str">
        <f>IF((('Assets-Liab 5-6'!D38+'Assets-Liab 5-6'!D39) ='Acct Summary 7-8'!D81), "OK", "ERROR!" )</f>
        <v>OK</v>
      </c>
    </row>
    <row r="59" spans="1:4" s="1117" customFormat="1">
      <c r="A59" s="1101"/>
      <c r="B59" s="1111"/>
      <c r="C59" s="1119" t="s">
        <v>1415</v>
      </c>
      <c r="D59" s="1125" t="str">
        <f>IF((('Assets-Liab 5-6'!E38 + 'Assets-Liab 5-6'!E39) ='Acct Summary 7-8'!E81), "OK", "ERROR!" )</f>
        <v>OK</v>
      </c>
    </row>
    <row r="60" spans="1:4">
      <c r="A60" s="1101"/>
      <c r="B60" s="1111"/>
      <c r="C60" s="1119" t="s">
        <v>1416</v>
      </c>
      <c r="D60" s="1125" t="str">
        <f>IF((('Assets-Liab 5-6'!F38 + 'Assets-Liab 5-6'!F39) ='Acct Summary 7-8'!F81), "OK", "ERROR!" )</f>
        <v>OK</v>
      </c>
    </row>
    <row r="61" spans="1:4" ht="12.75" customHeight="1">
      <c r="A61" s="1101"/>
      <c r="B61" s="1111"/>
      <c r="C61" s="1119" t="s">
        <v>1429</v>
      </c>
      <c r="D61" s="1125" t="str">
        <f>IF((('Assets-Liab 5-6'!G38 + 'Assets-Liab 5-6'!G39) ='Acct Summary 7-8'!G81), "OK", "ERROR!" )</f>
        <v>OK</v>
      </c>
    </row>
    <row r="62" spans="1:4">
      <c r="A62" s="1101"/>
      <c r="B62" s="1111"/>
      <c r="C62" s="1119" t="s">
        <v>1417</v>
      </c>
      <c r="D62" s="1125" t="str">
        <f>IF((('Assets-Liab 5-6'!H38 + 'Assets-Liab 5-6'!H39) ='Acct Summary 7-8'!H81), "OK", "ERROR!" )</f>
        <v>OK</v>
      </c>
    </row>
    <row r="63" spans="1:4" ht="12.75" customHeight="1">
      <c r="A63" s="1101"/>
      <c r="B63" s="1111"/>
      <c r="C63" s="1119" t="s">
        <v>1418</v>
      </c>
      <c r="D63" s="1125" t="str">
        <f>IF((('Assets-Liab 5-6'!I38 + 'Assets-Liab 5-6'!I39) ='Acct Summary 7-8'!I81), "OK", "ERROR!" )</f>
        <v>OK</v>
      </c>
    </row>
    <row r="64" spans="1:4">
      <c r="A64" s="1101"/>
      <c r="B64" s="1111"/>
      <c r="C64" s="1119" t="s">
        <v>1419</v>
      </c>
      <c r="D64" s="1125" t="str">
        <f>IF((('Assets-Liab 5-6'!J38 + 'Assets-Liab 5-6'!J39) ='Acct Summary 7-8'!J81), "OK", "ERROR!" )</f>
        <v>OK</v>
      </c>
    </row>
    <row r="65" spans="1:4">
      <c r="A65" s="1118"/>
      <c r="B65" s="1111"/>
      <c r="C65" s="1119" t="s">
        <v>1430</v>
      </c>
      <c r="D65" s="1125" t="str">
        <f>IF((('Assets-Liab 5-6'!K38 + 'Assets-Liab 5-6'!K39) ='Acct Summary 7-8'!K81), "OK", "ERROR!" )</f>
        <v>OK</v>
      </c>
    </row>
    <row r="66" spans="1:4">
      <c r="A66" s="1099"/>
      <c r="B66" s="1141">
        <f>B56+1+1</f>
        <v>8</v>
      </c>
      <c r="C66" s="1147" t="s">
        <v>2044</v>
      </c>
      <c r="D66" s="1126"/>
    </row>
    <row r="67" spans="1:4">
      <c r="A67" s="1120"/>
      <c r="B67" s="1141"/>
      <c r="C67" s="1148" t="s">
        <v>1078</v>
      </c>
      <c r="D67" s="1126"/>
    </row>
    <row r="68" spans="1:4">
      <c r="A68" s="1101"/>
      <c r="B68" s="1111"/>
      <c r="C68" s="1103" t="s">
        <v>2045</v>
      </c>
      <c r="D68" s="1125" t="str">
        <f>IF('Short-Term Long-Term Debt 24'!F49=SUM(,'Acct Summary 7-8'!C33:K33),"OK","ERROR!")</f>
        <v>OK</v>
      </c>
    </row>
    <row r="69" spans="1:4">
      <c r="A69" s="1101"/>
      <c r="B69" s="1111"/>
      <c r="C69" s="1103" t="s">
        <v>2046</v>
      </c>
      <c r="D69" s="1125" t="str">
        <f>IF('Expenditures 15-22'!H170&lt;&gt;'Short-Term Long-Term Debt 24'!H49,"ERROR!","OK")</f>
        <v>OK</v>
      </c>
    </row>
    <row r="70" spans="1:4">
      <c r="A70" s="1099"/>
      <c r="B70" s="1121">
        <f>B66+1</f>
        <v>9</v>
      </c>
      <c r="C70" s="2508" t="s">
        <v>1796</v>
      </c>
      <c r="D70" s="2509"/>
    </row>
    <row r="71" spans="1:4">
      <c r="A71" s="1099"/>
      <c r="B71" s="1121"/>
      <c r="C71" s="1103" t="s">
        <v>1420</v>
      </c>
      <c r="D71" s="1127" t="str">
        <f>IF(SUM('Acct Summary 7-8'!C27:K27) =SUM( 'Acct Summary 7-8'!C49:K49),"OK", "ERROR")</f>
        <v>OK</v>
      </c>
    </row>
    <row r="72" spans="1:4">
      <c r="A72" s="1101"/>
      <c r="B72" s="1111"/>
      <c r="C72" s="1119" t="s">
        <v>1421</v>
      </c>
      <c r="D72" s="1125" t="str">
        <f>IF(SUM('Acct Summary 7-8'!C28:K28)=SUM('Acct Summary 7-8'!C50:K50),"OK","ERROR!")</f>
        <v>OK</v>
      </c>
    </row>
    <row r="73" spans="1:4" ht="24">
      <c r="A73" s="1128"/>
      <c r="B73" s="1111"/>
      <c r="C73" s="1119" t="s">
        <v>1797</v>
      </c>
      <c r="D73" s="1127" t="str">
        <f>IF(SUM('Acct Summary 7-8'!C42:K42)&gt;=SUM( 'Acct Summary 7-8'!C74:K74),"OK", "ERROR")</f>
        <v>OK</v>
      </c>
    </row>
    <row r="74" spans="1:4">
      <c r="A74" s="1099"/>
      <c r="B74" s="1121">
        <f>B70+1</f>
        <v>10</v>
      </c>
      <c r="C74" s="1115" t="s">
        <v>2047</v>
      </c>
      <c r="D74" s="1129"/>
    </row>
    <row r="75" spans="1:4">
      <c r="A75" s="1101"/>
      <c r="B75" s="1111"/>
      <c r="C75" s="1119" t="s">
        <v>1443</v>
      </c>
      <c r="D75" s="1125" t="str">
        <f>IF(SUM('Assets-Liab 5-6'!C38:H38)&gt;=SUM('Rest Tax Levies-Tort Im 25'!G25:K25),"OK","ERROR")</f>
        <v>OK</v>
      </c>
    </row>
    <row r="76" spans="1:4">
      <c r="A76" s="1101"/>
      <c r="B76" s="1111"/>
      <c r="C76" s="1119" t="s">
        <v>1489</v>
      </c>
      <c r="D76" s="1125" t="str">
        <f>IF(SUM('Assets-Liab 5-6'!C39:K39)&gt;0,"OK","ENTRY IS REQUIRED!")</f>
        <v>OK</v>
      </c>
    </row>
    <row r="77" spans="1:4">
      <c r="A77" s="1101"/>
      <c r="B77" s="1130">
        <f>B74+1</f>
        <v>11</v>
      </c>
      <c r="C77" s="1175" t="s">
        <v>1444</v>
      </c>
      <c r="D77" s="1125"/>
    </row>
    <row r="78" spans="1:4">
      <c r="A78" s="1101"/>
      <c r="B78" s="1111"/>
      <c r="C78" s="1119" t="s">
        <v>2048</v>
      </c>
      <c r="D78" s="1125" t="str">
        <f>IF(ISNUMBER('Acct Summary 7-8'!C9),"OK","ENTRY IS REQUIRED!")</f>
        <v>OK</v>
      </c>
    </row>
    <row r="79" spans="1:4">
      <c r="A79" s="1120"/>
      <c r="B79" s="1121">
        <f>B74+1+1</f>
        <v>12</v>
      </c>
      <c r="C79" s="1131" t="s">
        <v>2014</v>
      </c>
      <c r="D79" s="1132" t="str">
        <f>IF(OR(COVER!$B$6="X",'PCTC-OEPP 27-28'!F78&gt;0),"OK","PLEASE ENTER 9 MO ADA.")</f>
        <v>OK</v>
      </c>
    </row>
    <row r="80" spans="1:4">
      <c r="A80" s="1099"/>
      <c r="B80" s="1121">
        <v>13</v>
      </c>
      <c r="C80" s="1131" t="s">
        <v>2049</v>
      </c>
      <c r="D80" s="1132" t="str">
        <f>IF('Contracts Paid in CY 29'!D141&gt;0,"OK","PLEASE ENTER CONTRACTS PAID IN CURRENT YEAR.")</f>
        <v>OK</v>
      </c>
    </row>
    <row r="81" spans="1:4">
      <c r="A81" s="1099"/>
      <c r="B81" s="1121">
        <v>14</v>
      </c>
      <c r="C81" s="1131" t="s">
        <v>1495</v>
      </c>
      <c r="D81" s="1124" t="str">
        <f>IF('Shared Outsourced Services 31'!B8="X","OK",IF('Shared Outsourced Services 31'!K34&gt;0,"OK","ENTRY REQUIRED!"))</f>
        <v>OK</v>
      </c>
    </row>
    <row r="82" spans="1:4">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f>COVER!A13</f>
        <v>5016065004</v>
      </c>
    </row>
    <row r="3" spans="1:2">
      <c r="A3" t="s">
        <v>1012</v>
      </c>
      <c r="B3" s="138" t="str">
        <f>COVER!A15</f>
        <v>Cook County</v>
      </c>
    </row>
    <row r="4" spans="1:2">
      <c r="A4" t="s">
        <v>1063</v>
      </c>
      <c r="B4" s="138" t="str">
        <f>COVER!A17</f>
        <v>Evanston CCSD 65</v>
      </c>
    </row>
    <row r="5" spans="1:2">
      <c r="A5" t="s">
        <v>727</v>
      </c>
      <c r="B5" s="138" t="str">
        <f>COVER!A38</f>
        <v>Dr. Paul Goren</v>
      </c>
    </row>
    <row r="6" spans="1:2">
      <c r="A6" t="s">
        <v>732</v>
      </c>
      <c r="B6" s="138">
        <f>COVER!P35</f>
        <v>0</v>
      </c>
    </row>
    <row r="7" spans="1:2">
      <c r="A7" t="s">
        <v>728</v>
      </c>
      <c r="B7" s="138">
        <f>COVER!I38</f>
        <v>0</v>
      </c>
    </row>
    <row r="8" spans="1:2">
      <c r="A8" t="s">
        <v>729</v>
      </c>
      <c r="B8" s="138">
        <f>COVER!T38</f>
        <v>0</v>
      </c>
    </row>
    <row r="9" spans="1:2">
      <c r="A9" s="3" t="s">
        <v>1013</v>
      </c>
      <c r="B9" s="158" t="str">
        <f>AUDITCHECK!D23</f>
        <v>CASH</v>
      </c>
    </row>
    <row r="10" spans="1:2">
      <c r="A10" t="s">
        <v>1032</v>
      </c>
      <c r="B10" s="138" t="str">
        <f>COVER!B5</f>
        <v>x</v>
      </c>
    </row>
    <row r="11" spans="1:2">
      <c r="A11" t="s">
        <v>1033</v>
      </c>
      <c r="B11" s="138">
        <f>COVER!B6</f>
        <v>0</v>
      </c>
    </row>
    <row r="12" spans="1:2">
      <c r="A12" s="1" t="s">
        <v>1623</v>
      </c>
      <c r="B12" s="138" t="str">
        <f>IF(COVER!J29="x","Yes",IF(COVER!L29="X","No",0))</f>
        <v>Yes</v>
      </c>
    </row>
    <row r="13" spans="1:2">
      <c r="A13" s="1" t="s">
        <v>1624</v>
      </c>
      <c r="B13" s="138" t="str">
        <f>IF(COVER!J30="x","Yes",IF(COVER!L30="x","No",0))</f>
        <v>Yes</v>
      </c>
    </row>
    <row r="14" spans="1:2">
      <c r="A14" t="s">
        <v>496</v>
      </c>
      <c r="B14" s="138" t="str">
        <f>IF(COVER!J31="x","Yes",IF(COVER!L31="x","No",0))</f>
        <v>Yes</v>
      </c>
    </row>
    <row r="15" spans="1:2">
      <c r="A15" t="s">
        <v>597</v>
      </c>
      <c r="B15" s="138" t="str">
        <f>COVER!T23</f>
        <v>066-003346</v>
      </c>
    </row>
    <row r="16" spans="1:2">
      <c r="A16" t="s">
        <v>441</v>
      </c>
      <c r="B16" s="138" t="str">
        <f>COVER!T13</f>
        <v>RSM US LLP</v>
      </c>
    </row>
    <row r="17" spans="1:2">
      <c r="A17" t="s">
        <v>938</v>
      </c>
      <c r="B17" s="138" t="str">
        <f>COVER!T15</f>
        <v>John George</v>
      </c>
    </row>
    <row r="18" spans="1:2">
      <c r="A18" t="s">
        <v>1211</v>
      </c>
      <c r="B18" s="138" t="str">
        <f>COVER!T17</f>
        <v>One South Wacker, Suite 800</v>
      </c>
    </row>
    <row r="19" spans="1:2">
      <c r="A19" t="s">
        <v>940</v>
      </c>
      <c r="B19" s="138" t="str">
        <f>COVER!T25</f>
        <v>john.george@rsmus.com</v>
      </c>
    </row>
    <row r="20" spans="1:2">
      <c r="A20" t="s">
        <v>941</v>
      </c>
      <c r="B20" s="138" t="str">
        <f>COVER!T19</f>
        <v>Chicago</v>
      </c>
    </row>
    <row r="21" spans="1:2">
      <c r="A21" t="s">
        <v>499</v>
      </c>
      <c r="B21" s="138" t="str">
        <f>COVER!X19</f>
        <v>IL</v>
      </c>
    </row>
    <row r="22" spans="1:2">
      <c r="A22" t="s">
        <v>942</v>
      </c>
      <c r="B22" s="138">
        <f>COVER!Z19</f>
        <v>60606</v>
      </c>
    </row>
    <row r="23" spans="1:2">
      <c r="A23" t="s">
        <v>1213</v>
      </c>
      <c r="B23" s="138" t="str">
        <f>COVER!T21</f>
        <v>312-634-3400</v>
      </c>
    </row>
    <row r="24" spans="1:2">
      <c r="A24" t="s">
        <v>1212</v>
      </c>
      <c r="B24" s="138">
        <f>COVER!Y21</f>
        <v>0</v>
      </c>
    </row>
    <row r="25" spans="1:2">
      <c r="A25" t="s">
        <v>784</v>
      </c>
      <c r="B25" s="138" t="str">
        <f>COVER!B34</f>
        <v>x</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0</v>
      </c>
    </row>
    <row r="48" spans="1:2">
      <c r="A48" t="s">
        <v>503</v>
      </c>
      <c r="B48" s="138" t="str">
        <f>IF('Aud Quest 2'!B51="x","Yes",IF('Aud Quest 2'!B51&lt;&gt;"x","0"))</f>
        <v>0</v>
      </c>
    </row>
    <row r="49" spans="1:4">
      <c r="A49" s="1" t="s">
        <v>1559</v>
      </c>
      <c r="B49" s="138" t="str">
        <f>IF('Aud Quest 2'!B53="x","Yes",IF('Aud Quest 2'!B53&lt;&gt;"x","0"))</f>
        <v>Yes</v>
      </c>
    </row>
    <row r="50" spans="1:4">
      <c r="A50" s="1" t="s">
        <v>1558</v>
      </c>
      <c r="B50" s="150">
        <f>'Aud Quest 2'!H53</f>
        <v>34742</v>
      </c>
    </row>
    <row r="51" spans="1:4">
      <c r="A51" s="1" t="s">
        <v>1560</v>
      </c>
      <c r="B51" s="138" t="str">
        <f>IF('Aud Quest 2'!B54="x","Yes",IF('Aud Quest 2'!B54&lt;&gt;"x","0"))</f>
        <v>0</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22314365</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64740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64740</v>
      </c>
      <c r="C91" s="2" t="s">
        <v>593</v>
      </c>
      <c r="D91" s="2" t="str">
        <f t="shared" si="0"/>
        <v>Error?</v>
      </c>
    </row>
    <row r="92" spans="1:4">
      <c r="A92" s="5">
        <v>31</v>
      </c>
      <c r="B92" s="138">
        <f>'Assets-Liab 5-6'!C39</f>
        <v>21856681</v>
      </c>
      <c r="D92" s="2" t="str">
        <f t="shared" si="0"/>
        <v>Error?</v>
      </c>
    </row>
    <row r="93" spans="1:4">
      <c r="A93" s="5">
        <v>32</v>
      </c>
      <c r="B93" s="138">
        <f>'Assets-Liab 5-6'!C41</f>
        <v>22314365</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3541966</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593</v>
      </c>
      <c r="D122" s="2" t="str">
        <f t="shared" si="0"/>
        <v>Error?</v>
      </c>
    </row>
    <row r="123" spans="1:4">
      <c r="A123" s="5">
        <v>62</v>
      </c>
      <c r="B123" s="138">
        <f>'Assets-Liab 5-6'!D39</f>
        <v>3541966</v>
      </c>
      <c r="D123" s="2" t="str">
        <f t="shared" si="0"/>
        <v>Error?</v>
      </c>
    </row>
    <row r="124" spans="1:4">
      <c r="A124" s="5">
        <v>63</v>
      </c>
      <c r="B124" s="138">
        <f>'Assets-Liab 5-6'!D41</f>
        <v>3541966</v>
      </c>
      <c r="C124" s="2" t="s">
        <v>593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4082473</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593</v>
      </c>
      <c r="D139" s="2" t="str">
        <f t="shared" si="1"/>
        <v>Error?</v>
      </c>
    </row>
    <row r="140" spans="1:4">
      <c r="A140" s="5">
        <v>79</v>
      </c>
      <c r="B140" s="138">
        <f>'Assets-Liab 5-6'!E39</f>
        <v>4082473</v>
      </c>
      <c r="D140" s="2" t="str">
        <f t="shared" si="1"/>
        <v>Error?</v>
      </c>
    </row>
    <row r="141" spans="1:4">
      <c r="A141" s="5">
        <v>80</v>
      </c>
      <c r="B141" s="138">
        <f>'Assets-Liab 5-6'!E41</f>
        <v>4082473</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1260854</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593</v>
      </c>
      <c r="D169" s="2" t="str">
        <f t="shared" si="1"/>
        <v>Error?</v>
      </c>
    </row>
    <row r="170" spans="1:4">
      <c r="A170" s="5">
        <v>109</v>
      </c>
      <c r="B170" s="138">
        <f>'Assets-Liab 5-6'!F39</f>
        <v>1260854</v>
      </c>
      <c r="D170" s="2" t="str">
        <f t="shared" si="1"/>
        <v>Error?</v>
      </c>
    </row>
    <row r="171" spans="1:4">
      <c r="A171" s="5">
        <v>110</v>
      </c>
      <c r="B171" s="138">
        <f>'Assets-Liab 5-6'!F41</f>
        <v>1260854</v>
      </c>
      <c r="C171" s="2" t="s">
        <v>593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665198</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593</v>
      </c>
      <c r="D188" s="2" t="str">
        <f t="shared" si="1"/>
        <v>Error?</v>
      </c>
    </row>
    <row r="189" spans="1:4">
      <c r="A189" s="5">
        <v>128</v>
      </c>
      <c r="B189" s="138">
        <f>'Assets-Liab 5-6'!G39</f>
        <v>665198</v>
      </c>
      <c r="D189" s="2" t="str">
        <f t="shared" si="1"/>
        <v>Error?</v>
      </c>
    </row>
    <row r="190" spans="1:4">
      <c r="A190" s="5">
        <v>129</v>
      </c>
      <c r="B190" s="138">
        <f>'Assets-Liab 5-6'!G41</f>
        <v>665198</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1050748</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593</v>
      </c>
      <c r="D211" s="2" t="str">
        <f t="shared" si="2"/>
        <v>Error?</v>
      </c>
    </row>
    <row r="212" spans="1:4">
      <c r="A212" s="5">
        <v>151</v>
      </c>
      <c r="B212" s="138">
        <f>'Assets-Liab 5-6'!H39</f>
        <v>1050748</v>
      </c>
      <c r="D212" s="2" t="str">
        <f t="shared" si="2"/>
        <v>Error?</v>
      </c>
    </row>
    <row r="213" spans="1:4">
      <c r="A213" s="12">
        <v>152</v>
      </c>
      <c r="B213" s="138">
        <f>'Assets-Liab 5-6'!H41</f>
        <v>1050748</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2966736</v>
      </c>
      <c r="D273" s="2" t="str">
        <f t="shared" si="3"/>
        <v>Error?</v>
      </c>
    </row>
    <row r="274" spans="1:4">
      <c r="A274" s="5">
        <v>213</v>
      </c>
      <c r="B274" s="138">
        <f>'Assets-Liab 5-6'!M17</f>
        <v>85381260</v>
      </c>
      <c r="D274" s="2" t="str">
        <f t="shared" si="3"/>
        <v>Error?</v>
      </c>
    </row>
    <row r="275" spans="1:4">
      <c r="A275" s="5">
        <v>214</v>
      </c>
      <c r="B275" s="138">
        <f>'Assets-Liab 5-6'!M18</f>
        <v>0</v>
      </c>
      <c r="D275" s="2" t="str">
        <f t="shared" si="3"/>
        <v>Error?</v>
      </c>
    </row>
    <row r="276" spans="1:4">
      <c r="A276" s="5">
        <v>215</v>
      </c>
      <c r="B276" s="138">
        <f>'Assets-Liab 5-6'!M19</f>
        <v>3239882</v>
      </c>
      <c r="D276" s="2" t="str">
        <f t="shared" si="3"/>
        <v>Error?</v>
      </c>
    </row>
    <row r="277" spans="1:4">
      <c r="A277" s="10">
        <v>216</v>
      </c>
      <c r="D277" s="2" t="str">
        <f t="shared" si="3"/>
        <v>OK</v>
      </c>
    </row>
    <row r="278" spans="1:4">
      <c r="A278" s="10">
        <v>217</v>
      </c>
      <c r="D278" s="2" t="str">
        <f t="shared" si="3"/>
        <v>OK</v>
      </c>
    </row>
    <row r="279" spans="1:4">
      <c r="A279" s="5">
        <v>218</v>
      </c>
      <c r="B279" s="138">
        <f>'Assets-Liab 5-6'!M23</f>
        <v>91587878</v>
      </c>
      <c r="C279" s="2" t="s">
        <v>593</v>
      </c>
      <c r="D279" s="2" t="str">
        <f t="shared" si="3"/>
        <v>Error?</v>
      </c>
    </row>
    <row r="280" spans="1:4">
      <c r="A280" s="5">
        <v>219</v>
      </c>
      <c r="B280" s="138">
        <f>'Assets-Liab 5-6'!M40</f>
        <v>91587878</v>
      </c>
      <c r="D280" s="2" t="str">
        <f t="shared" si="3"/>
        <v>Error?</v>
      </c>
    </row>
    <row r="281" spans="1:4">
      <c r="A281" s="5">
        <v>220</v>
      </c>
      <c r="B281" s="138">
        <f>'Assets-Liab 5-6'!M41</f>
        <v>91587878</v>
      </c>
      <c r="C281" s="2" t="s">
        <v>593</v>
      </c>
      <c r="D281" s="2" t="str">
        <f t="shared" si="3"/>
        <v>Error?</v>
      </c>
    </row>
    <row r="282" spans="1:4">
      <c r="A282" s="5">
        <v>221</v>
      </c>
      <c r="B282" s="138">
        <f>'Assets-Liab 5-6'!N21</f>
        <v>0</v>
      </c>
      <c r="D282" s="2" t="str">
        <f t="shared" si="3"/>
        <v>Error?</v>
      </c>
    </row>
    <row r="283" spans="1:4">
      <c r="A283" s="5">
        <v>222</v>
      </c>
      <c r="B283" s="138">
        <f>'Assets-Liab 5-6'!N22</f>
        <v>74862479</v>
      </c>
      <c r="D283" s="2" t="str">
        <f t="shared" si="3"/>
        <v>Error?</v>
      </c>
    </row>
    <row r="284" spans="1:4">
      <c r="A284" s="5">
        <v>223</v>
      </c>
      <c r="B284" s="138">
        <f>'Assets-Liab 5-6'!N23</f>
        <v>74862479</v>
      </c>
      <c r="C284" s="2" t="s">
        <v>593</v>
      </c>
      <c r="D284" s="2" t="str">
        <f t="shared" si="3"/>
        <v>Error?</v>
      </c>
    </row>
    <row r="285" spans="1:4">
      <c r="A285" s="5">
        <v>224</v>
      </c>
      <c r="B285" s="138">
        <f>'Assets-Liab 5-6'!N36</f>
        <v>74862479</v>
      </c>
      <c r="D285" s="2" t="str">
        <f t="shared" si="3"/>
        <v>Error?</v>
      </c>
    </row>
    <row r="286" spans="1:4">
      <c r="A286" s="10">
        <v>225</v>
      </c>
      <c r="D286" s="2" t="str">
        <f t="shared" si="3"/>
        <v>OK</v>
      </c>
    </row>
    <row r="287" spans="1:4">
      <c r="A287" s="5">
        <v>226</v>
      </c>
      <c r="B287" s="138">
        <f>'Assets-Liab 5-6'!N37</f>
        <v>74862479</v>
      </c>
      <c r="C287" s="2" t="s">
        <v>593</v>
      </c>
      <c r="D287" s="2" t="str">
        <f t="shared" si="3"/>
        <v>Error?</v>
      </c>
    </row>
    <row r="288" spans="1:4">
      <c r="A288" s="5">
        <v>227</v>
      </c>
      <c r="B288" s="138">
        <f>'Assets-Liab 5-6'!N41</f>
        <v>74862479</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39608428</v>
      </c>
      <c r="D705" s="2" t="str">
        <f t="shared" si="10"/>
        <v>Error?</v>
      </c>
    </row>
    <row r="706" spans="1:4">
      <c r="A706" s="5">
        <v>645</v>
      </c>
      <c r="B706" s="138">
        <f>'Expenditures 15-22'!C16</f>
        <v>93626</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2073569</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145780</v>
      </c>
      <c r="D718" s="2" t="str">
        <f t="shared" si="10"/>
        <v>Error?</v>
      </c>
    </row>
    <row r="719" spans="1:4">
      <c r="A719" s="5">
        <v>658</v>
      </c>
      <c r="B719" s="138">
        <f>'Expenditures 15-22'!C15</f>
        <v>281824</v>
      </c>
      <c r="D719" s="2" t="str">
        <f t="shared" si="10"/>
        <v>Error?</v>
      </c>
    </row>
    <row r="720" spans="1:4">
      <c r="A720" s="5">
        <v>659</v>
      </c>
      <c r="B720" s="138">
        <f>'Expenditures 15-22'!C33</f>
        <v>54084053</v>
      </c>
      <c r="C720" s="2" t="s">
        <v>593</v>
      </c>
      <c r="D720" s="2" t="str">
        <f t="shared" si="10"/>
        <v>Error?</v>
      </c>
    </row>
    <row r="721" spans="1:4">
      <c r="A721" s="5">
        <v>660</v>
      </c>
      <c r="B721" s="138">
        <f>'Expenditures 15-22'!C36</f>
        <v>2567746</v>
      </c>
      <c r="D721" s="2" t="str">
        <f t="shared" si="10"/>
        <v>Error?</v>
      </c>
    </row>
    <row r="722" spans="1:4">
      <c r="A722" s="5">
        <v>661</v>
      </c>
      <c r="B722" s="138">
        <f>'Expenditures 15-22'!C37</f>
        <v>0</v>
      </c>
      <c r="D722" s="2" t="str">
        <f t="shared" si="10"/>
        <v>Error?</v>
      </c>
    </row>
    <row r="723" spans="1:4">
      <c r="A723" s="5">
        <v>662</v>
      </c>
      <c r="B723" s="138">
        <f>'Expenditures 15-22'!C38</f>
        <v>790753</v>
      </c>
      <c r="D723" s="2" t="str">
        <f t="shared" si="10"/>
        <v>Error?</v>
      </c>
    </row>
    <row r="724" spans="1:4">
      <c r="A724" s="5">
        <v>663</v>
      </c>
      <c r="B724" s="138">
        <f>'Expenditures 15-22'!C39</f>
        <v>1198173</v>
      </c>
      <c r="D724" s="2" t="str">
        <f t="shared" si="10"/>
        <v>Error?</v>
      </c>
    </row>
    <row r="725" spans="1:4">
      <c r="A725" s="5">
        <v>664</v>
      </c>
      <c r="B725" s="138">
        <f>'Expenditures 15-22'!C40</f>
        <v>1540506</v>
      </c>
      <c r="D725" s="2" t="str">
        <f t="shared" si="10"/>
        <v>Error?</v>
      </c>
    </row>
    <row r="726" spans="1:4">
      <c r="A726" s="5">
        <v>665</v>
      </c>
      <c r="B726" s="138">
        <f>'Expenditures 15-22'!C41</f>
        <v>1444846</v>
      </c>
      <c r="D726" s="2" t="str">
        <f t="shared" si="10"/>
        <v>Error?</v>
      </c>
    </row>
    <row r="727" spans="1:4">
      <c r="A727" s="5">
        <v>666</v>
      </c>
      <c r="B727" s="138">
        <f>'Expenditures 15-22'!C42</f>
        <v>7542024</v>
      </c>
      <c r="C727" s="2" t="s">
        <v>593</v>
      </c>
      <c r="D727" s="2" t="str">
        <f t="shared" si="10"/>
        <v>Error?</v>
      </c>
    </row>
    <row r="728" spans="1:4">
      <c r="A728" s="5">
        <v>667</v>
      </c>
      <c r="B728" s="138">
        <f>'Expenditures 15-22'!C44</f>
        <v>2245422</v>
      </c>
      <c r="D728" s="2" t="str">
        <f t="shared" si="10"/>
        <v>Error?</v>
      </c>
    </row>
    <row r="729" spans="1:4">
      <c r="A729" s="5">
        <v>668</v>
      </c>
      <c r="B729" s="138">
        <f>'Expenditures 15-22'!C45</f>
        <v>1251755</v>
      </c>
      <c r="D729" s="2" t="str">
        <f t="shared" si="10"/>
        <v>Error?</v>
      </c>
    </row>
    <row r="730" spans="1:4">
      <c r="A730" s="5">
        <v>669</v>
      </c>
      <c r="B730" s="138">
        <f>'Expenditures 15-22'!C46</f>
        <v>91307</v>
      </c>
      <c r="D730" s="2" t="str">
        <f t="shared" si="10"/>
        <v>Error?</v>
      </c>
    </row>
    <row r="731" spans="1:4">
      <c r="A731" s="5">
        <v>670</v>
      </c>
      <c r="B731" s="138">
        <f>'Expenditures 15-22'!C47</f>
        <v>3588484</v>
      </c>
      <c r="C731" s="2" t="s">
        <v>593</v>
      </c>
      <c r="D731" s="2" t="str">
        <f t="shared" si="10"/>
        <v>Error?</v>
      </c>
    </row>
    <row r="732" spans="1:4">
      <c r="A732" s="5">
        <v>671</v>
      </c>
      <c r="B732" s="138">
        <f>'Expenditures 15-22'!C49</f>
        <v>63874</v>
      </c>
      <c r="D732" s="2" t="str">
        <f t="shared" si="10"/>
        <v>Error?</v>
      </c>
    </row>
    <row r="733" spans="1:4">
      <c r="A733" s="5">
        <v>672</v>
      </c>
      <c r="B733" s="138">
        <f>'Expenditures 15-22'!C50</f>
        <v>370712</v>
      </c>
      <c r="D733" s="2" t="str">
        <f t="shared" si="10"/>
        <v>Error?</v>
      </c>
    </row>
    <row r="734" spans="1:4">
      <c r="A734" s="5">
        <v>673</v>
      </c>
      <c r="B734" s="138">
        <f>'Expenditures 15-22'!C53</f>
        <v>2399031</v>
      </c>
      <c r="C734" s="2" t="s">
        <v>593</v>
      </c>
      <c r="D734" s="2" t="str">
        <f t="shared" si="10"/>
        <v>Error?</v>
      </c>
    </row>
    <row r="735" spans="1:4">
      <c r="A735" s="5">
        <v>674</v>
      </c>
      <c r="B735" s="138">
        <f>'Expenditures 15-22'!C55</f>
        <v>4507435</v>
      </c>
      <c r="D735" s="2" t="str">
        <f t="shared" si="10"/>
        <v>Error?</v>
      </c>
    </row>
    <row r="736" spans="1:4">
      <c r="A736" s="5">
        <v>675</v>
      </c>
      <c r="B736" s="138">
        <f>'Expenditures 15-22'!C56</f>
        <v>80250</v>
      </c>
      <c r="D736" s="2" t="str">
        <f t="shared" si="10"/>
        <v>Error?</v>
      </c>
    </row>
    <row r="737" spans="1:4">
      <c r="A737" s="5">
        <v>676</v>
      </c>
      <c r="B737" s="138">
        <f>'Expenditures 15-22'!C57</f>
        <v>4587685</v>
      </c>
      <c r="C737" s="2" t="s">
        <v>593</v>
      </c>
      <c r="D737" s="2" t="str">
        <f t="shared" si="10"/>
        <v>Error?</v>
      </c>
    </row>
    <row r="738" spans="1:4">
      <c r="A738" s="5">
        <v>677</v>
      </c>
      <c r="B738" s="138">
        <f>'Expenditures 15-22'!C59</f>
        <v>356039</v>
      </c>
      <c r="D738" s="2" t="str">
        <f t="shared" si="10"/>
        <v>Error?</v>
      </c>
    </row>
    <row r="739" spans="1:4">
      <c r="A739" s="5">
        <v>678</v>
      </c>
      <c r="B739" s="138">
        <f>'Expenditures 15-22'!C60</f>
        <v>436389</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791773</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1584201</v>
      </c>
      <c r="C745" s="2" t="s">
        <v>593</v>
      </c>
      <c r="D745" s="2" t="str">
        <f t="shared" si="10"/>
        <v>Error?</v>
      </c>
    </row>
    <row r="746" spans="1:4">
      <c r="A746" s="5">
        <v>685</v>
      </c>
      <c r="B746" s="138">
        <f>'Expenditures 15-22'!C67</f>
        <v>0</v>
      </c>
      <c r="D746" s="2" t="str">
        <f t="shared" si="10"/>
        <v>Error?</v>
      </c>
    </row>
    <row r="747" spans="1:4">
      <c r="A747" s="5">
        <v>686</v>
      </c>
      <c r="B747" s="138">
        <f>'Expenditures 15-22'!C68</f>
        <v>606717</v>
      </c>
      <c r="D747" s="2" t="str">
        <f t="shared" si="10"/>
        <v>Error?</v>
      </c>
    </row>
    <row r="748" spans="1:4">
      <c r="A748" s="5">
        <v>687</v>
      </c>
      <c r="B748" s="138">
        <f>'Expenditures 15-22'!C69</f>
        <v>107770</v>
      </c>
      <c r="D748" s="2" t="str">
        <f t="shared" si="10"/>
        <v>Error?</v>
      </c>
    </row>
    <row r="749" spans="1:4">
      <c r="A749" s="5">
        <v>688</v>
      </c>
      <c r="B749" s="138">
        <f>'Expenditures 15-22'!C70</f>
        <v>536008</v>
      </c>
      <c r="D749" s="2" t="str">
        <f t="shared" si="10"/>
        <v>Error?</v>
      </c>
    </row>
    <row r="750" spans="1:4">
      <c r="A750" s="10">
        <v>689</v>
      </c>
      <c r="D750" s="2" t="str">
        <f t="shared" si="10"/>
        <v>OK</v>
      </c>
    </row>
    <row r="751" spans="1:4">
      <c r="A751" s="5">
        <v>690</v>
      </c>
      <c r="B751" s="138">
        <f>'Expenditures 15-22'!C71</f>
        <v>888867</v>
      </c>
      <c r="D751" s="2" t="str">
        <f t="shared" si="10"/>
        <v>Error?</v>
      </c>
    </row>
    <row r="752" spans="1:4">
      <c r="A752" s="10">
        <v>691</v>
      </c>
      <c r="D752" s="2" t="str">
        <f t="shared" si="10"/>
        <v>OK</v>
      </c>
    </row>
    <row r="753" spans="1:4">
      <c r="A753" s="5">
        <v>692</v>
      </c>
      <c r="B753" s="138">
        <f>'Expenditures 15-22'!C72</f>
        <v>2139362</v>
      </c>
      <c r="C753" s="2" t="s">
        <v>593</v>
      </c>
      <c r="D753" s="2" t="str">
        <f t="shared" si="10"/>
        <v>Error?</v>
      </c>
    </row>
    <row r="754" spans="1:4">
      <c r="A754" s="5">
        <v>693</v>
      </c>
      <c r="B754" s="138">
        <f>'Expenditures 15-22'!C73</f>
        <v>0</v>
      </c>
      <c r="D754" s="2" t="str">
        <f t="shared" si="10"/>
        <v>Error?</v>
      </c>
    </row>
    <row r="755" spans="1:4">
      <c r="A755" s="5">
        <v>694</v>
      </c>
      <c r="B755" s="138">
        <f>'Expenditures 15-22'!C74</f>
        <v>21840787</v>
      </c>
      <c r="C755" s="2" t="s">
        <v>593</v>
      </c>
      <c r="D755" s="2" t="str">
        <f t="shared" si="10"/>
        <v>Error?</v>
      </c>
    </row>
    <row r="756" spans="1:4">
      <c r="A756" s="5">
        <v>695</v>
      </c>
      <c r="B756" s="138">
        <f>'Expenditures 15-22'!C75</f>
        <v>3567414</v>
      </c>
      <c r="D756" s="2" t="str">
        <f t="shared" si="10"/>
        <v>Error?</v>
      </c>
    </row>
    <row r="757" spans="1:4">
      <c r="A757" s="5">
        <v>696</v>
      </c>
      <c r="B757" s="138">
        <f>'Expenditures 15-22'!C114</f>
        <v>79492254</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3882249</v>
      </c>
      <c r="D763" s="2" t="str">
        <f t="shared" si="10"/>
        <v>Error?</v>
      </c>
    </row>
    <row r="764" spans="1:4">
      <c r="A764" s="5">
        <v>703</v>
      </c>
      <c r="B764" s="138">
        <f>'Expenditures 15-22'!D16</f>
        <v>10913</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214807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141</v>
      </c>
      <c r="D777" s="2" t="str">
        <f t="shared" si="11"/>
        <v>Error?</v>
      </c>
    </row>
    <row r="778" spans="1:4">
      <c r="A778" s="5">
        <v>717</v>
      </c>
      <c r="B778" s="138">
        <f>'Expenditures 15-22'!D33</f>
        <v>5640783</v>
      </c>
      <c r="C778" s="2" t="s">
        <v>593</v>
      </c>
      <c r="D778" s="2" t="str">
        <f t="shared" si="11"/>
        <v>Error?</v>
      </c>
    </row>
    <row r="779" spans="1:4">
      <c r="A779" s="5">
        <v>718</v>
      </c>
      <c r="B779" s="138">
        <f>'Expenditures 15-22'!D36</f>
        <v>265721</v>
      </c>
      <c r="D779" s="2" t="str">
        <f t="shared" si="11"/>
        <v>Error?</v>
      </c>
    </row>
    <row r="780" spans="1:4">
      <c r="A780" s="5">
        <v>719</v>
      </c>
      <c r="B780" s="138">
        <f>'Expenditures 15-22'!D37</f>
        <v>0</v>
      </c>
      <c r="D780" s="2" t="str">
        <f t="shared" si="11"/>
        <v>Error?</v>
      </c>
    </row>
    <row r="781" spans="1:4">
      <c r="A781" s="5">
        <v>720</v>
      </c>
      <c r="B781" s="138">
        <f>'Expenditures 15-22'!D38</f>
        <v>125391</v>
      </c>
      <c r="D781" s="2" t="str">
        <f t="shared" si="11"/>
        <v>Error?</v>
      </c>
    </row>
    <row r="782" spans="1:4">
      <c r="A782" s="5">
        <v>721</v>
      </c>
      <c r="B782" s="138">
        <f>'Expenditures 15-22'!D39</f>
        <v>98290</v>
      </c>
      <c r="D782" s="2" t="str">
        <f t="shared" si="11"/>
        <v>Error?</v>
      </c>
    </row>
    <row r="783" spans="1:4">
      <c r="A783" s="5">
        <v>722</v>
      </c>
      <c r="B783" s="138">
        <f>'Expenditures 15-22'!D40</f>
        <v>134838</v>
      </c>
      <c r="D783" s="2" t="str">
        <f t="shared" si="11"/>
        <v>Error?</v>
      </c>
    </row>
    <row r="784" spans="1:4">
      <c r="A784" s="5">
        <v>723</v>
      </c>
      <c r="B784" s="138">
        <f>'Expenditures 15-22'!D41</f>
        <v>85708</v>
      </c>
      <c r="D784" s="2" t="str">
        <f t="shared" si="11"/>
        <v>Error?</v>
      </c>
    </row>
    <row r="785" spans="1:4">
      <c r="A785" s="5">
        <v>724</v>
      </c>
      <c r="B785" s="138">
        <f>'Expenditures 15-22'!D42</f>
        <v>709948</v>
      </c>
      <c r="C785" s="2" t="s">
        <v>593</v>
      </c>
      <c r="D785" s="2" t="str">
        <f t="shared" si="11"/>
        <v>Error?</v>
      </c>
    </row>
    <row r="786" spans="1:4">
      <c r="A786" s="5">
        <v>725</v>
      </c>
      <c r="B786" s="138">
        <f>'Expenditures 15-22'!D44</f>
        <v>210395</v>
      </c>
      <c r="D786" s="2" t="str">
        <f t="shared" si="11"/>
        <v>Error?</v>
      </c>
    </row>
    <row r="787" spans="1:4">
      <c r="A787" s="5">
        <v>726</v>
      </c>
      <c r="B787" s="138">
        <f>'Expenditures 15-22'!D45</f>
        <v>129332</v>
      </c>
      <c r="D787" s="2" t="str">
        <f t="shared" si="11"/>
        <v>Error?</v>
      </c>
    </row>
    <row r="788" spans="1:4">
      <c r="A788" s="5">
        <v>727</v>
      </c>
      <c r="B788" s="138">
        <f>'Expenditures 15-22'!D46</f>
        <v>0</v>
      </c>
      <c r="D788" s="2" t="str">
        <f t="shared" si="11"/>
        <v>Error?</v>
      </c>
    </row>
    <row r="789" spans="1:4">
      <c r="A789" s="5">
        <v>728</v>
      </c>
      <c r="B789" s="138">
        <f>'Expenditures 15-22'!D47</f>
        <v>339727</v>
      </c>
      <c r="C789" s="2" t="s">
        <v>593</v>
      </c>
      <c r="D789" s="2" t="str">
        <f t="shared" si="11"/>
        <v>Error?</v>
      </c>
    </row>
    <row r="790" spans="1:4">
      <c r="A790" s="5">
        <v>729</v>
      </c>
      <c r="B790" s="138">
        <f>'Expenditures 15-22'!D49</f>
        <v>21258</v>
      </c>
      <c r="D790" s="2" t="str">
        <f t="shared" si="11"/>
        <v>Error?</v>
      </c>
    </row>
    <row r="791" spans="1:4">
      <c r="A791" s="5">
        <v>730</v>
      </c>
      <c r="B791" s="138">
        <f>'Expenditures 15-22'!D50</f>
        <v>72810</v>
      </c>
      <c r="D791" s="2" t="str">
        <f t="shared" si="11"/>
        <v>Error?</v>
      </c>
    </row>
    <row r="792" spans="1:4">
      <c r="A792" s="5">
        <v>731</v>
      </c>
      <c r="B792" s="138">
        <f>'Expenditures 15-22'!D53</f>
        <v>323210</v>
      </c>
      <c r="C792" s="2" t="s">
        <v>593</v>
      </c>
      <c r="D792" s="2" t="str">
        <f t="shared" si="11"/>
        <v>Error?</v>
      </c>
    </row>
    <row r="793" spans="1:4">
      <c r="A793" s="5">
        <v>732</v>
      </c>
      <c r="B793" s="138">
        <f>'Expenditures 15-22'!D55</f>
        <v>490177</v>
      </c>
      <c r="D793" s="2" t="str">
        <f t="shared" si="11"/>
        <v>Error?</v>
      </c>
    </row>
    <row r="794" spans="1:4">
      <c r="A794" s="5">
        <v>733</v>
      </c>
      <c r="B794" s="138">
        <f>'Expenditures 15-22'!D56</f>
        <v>1293</v>
      </c>
      <c r="D794" s="2" t="str">
        <f t="shared" si="11"/>
        <v>Error?</v>
      </c>
    </row>
    <row r="795" spans="1:4">
      <c r="A795" s="5">
        <v>734</v>
      </c>
      <c r="B795" s="138">
        <f>'Expenditures 15-22'!D57</f>
        <v>491470</v>
      </c>
      <c r="C795" s="2" t="s">
        <v>593</v>
      </c>
      <c r="D795" s="2" t="str">
        <f t="shared" si="11"/>
        <v>Error?</v>
      </c>
    </row>
    <row r="796" spans="1:4">
      <c r="A796" s="5">
        <v>735</v>
      </c>
      <c r="B796" s="138">
        <f>'Expenditures 15-22'!D59</f>
        <v>52536</v>
      </c>
      <c r="D796" s="2" t="str">
        <f t="shared" si="11"/>
        <v>Error?</v>
      </c>
    </row>
    <row r="797" spans="1:4">
      <c r="A797" s="5">
        <v>736</v>
      </c>
      <c r="B797" s="138">
        <f>'Expenditures 15-22'!D60</f>
        <v>77542</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98375</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228453</v>
      </c>
      <c r="C803" s="2" t="s">
        <v>593</v>
      </c>
      <c r="D803" s="2" t="str">
        <f t="shared" si="11"/>
        <v>Error?</v>
      </c>
    </row>
    <row r="804" spans="1:4">
      <c r="A804" s="5">
        <v>743</v>
      </c>
      <c r="B804" s="138">
        <f>'Expenditures 15-22'!D67</f>
        <v>0</v>
      </c>
      <c r="D804" s="2" t="str">
        <f t="shared" si="11"/>
        <v>Error?</v>
      </c>
    </row>
    <row r="805" spans="1:4">
      <c r="A805" s="5">
        <v>744</v>
      </c>
      <c r="B805" s="138">
        <f>'Expenditures 15-22'!D68</f>
        <v>57510</v>
      </c>
      <c r="D805" s="2" t="str">
        <f t="shared" si="11"/>
        <v>Error?</v>
      </c>
    </row>
    <row r="806" spans="1:4">
      <c r="A806" s="5">
        <v>745</v>
      </c>
      <c r="B806" s="138">
        <f>'Expenditures 15-22'!D69</f>
        <v>22257</v>
      </c>
      <c r="D806" s="2" t="str">
        <f t="shared" si="11"/>
        <v>Error?</v>
      </c>
    </row>
    <row r="807" spans="1:4">
      <c r="A807" s="5">
        <v>746</v>
      </c>
      <c r="B807" s="138">
        <f>'Expenditures 15-22'!D70</f>
        <v>150433</v>
      </c>
      <c r="D807" s="2" t="str">
        <f t="shared" si="11"/>
        <v>Error?</v>
      </c>
    </row>
    <row r="808" spans="1:4">
      <c r="A808" s="10">
        <v>747</v>
      </c>
      <c r="D808" s="2" t="str">
        <f t="shared" si="11"/>
        <v>OK</v>
      </c>
    </row>
    <row r="809" spans="1:4">
      <c r="A809" s="5">
        <v>748</v>
      </c>
      <c r="B809" s="138">
        <f>'Expenditures 15-22'!D71</f>
        <v>155475</v>
      </c>
      <c r="D809" s="2" t="str">
        <f t="shared" si="11"/>
        <v>Error?</v>
      </c>
    </row>
    <row r="810" spans="1:4">
      <c r="A810" s="10">
        <v>749</v>
      </c>
      <c r="D810" s="2" t="str">
        <f t="shared" si="11"/>
        <v>OK</v>
      </c>
    </row>
    <row r="811" spans="1:4">
      <c r="A811" s="5">
        <v>750</v>
      </c>
      <c r="B811" s="138">
        <f>'Expenditures 15-22'!D72</f>
        <v>385675</v>
      </c>
      <c r="C811" s="2" t="s">
        <v>593</v>
      </c>
      <c r="D811" s="2" t="str">
        <f t="shared" si="11"/>
        <v>Error?</v>
      </c>
    </row>
    <row r="812" spans="1:4">
      <c r="A812" s="5">
        <v>751</v>
      </c>
      <c r="B812" s="138">
        <f>'Expenditures 15-22'!D73</f>
        <v>1377587</v>
      </c>
      <c r="D812" s="2" t="str">
        <f t="shared" si="11"/>
        <v>Error?</v>
      </c>
    </row>
    <row r="813" spans="1:4">
      <c r="A813" s="5">
        <v>752</v>
      </c>
      <c r="B813" s="138">
        <f>'Expenditures 15-22'!D74</f>
        <v>3856070</v>
      </c>
      <c r="C813" s="2" t="s">
        <v>593</v>
      </c>
      <c r="D813" s="2" t="str">
        <f t="shared" si="11"/>
        <v>Error?</v>
      </c>
    </row>
    <row r="814" spans="1:4">
      <c r="A814" s="5">
        <v>753</v>
      </c>
      <c r="B814" s="138">
        <f>'Expenditures 15-22'!D75</f>
        <v>554880</v>
      </c>
      <c r="D814" s="2" t="str">
        <f t="shared" si="11"/>
        <v>Error?</v>
      </c>
    </row>
    <row r="815" spans="1:4">
      <c r="A815" s="5">
        <v>754</v>
      </c>
      <c r="B815" s="138">
        <f>'Expenditures 15-22'!D114</f>
        <v>10051733</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279183</v>
      </c>
      <c r="D821" s="2" t="str">
        <f t="shared" si="11"/>
        <v>Error?</v>
      </c>
    </row>
    <row r="822" spans="1:4">
      <c r="A822" s="5">
        <v>761</v>
      </c>
      <c r="B822" s="138">
        <f>'Expenditures 15-22'!E16</f>
        <v>14235</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10105</v>
      </c>
      <c r="D834" s="2" t="str">
        <f t="shared" si="12"/>
        <v>Error?</v>
      </c>
    </row>
    <row r="835" spans="1:4">
      <c r="A835" s="5">
        <v>774</v>
      </c>
      <c r="B835" s="138">
        <f>'Expenditures 15-22'!E15</f>
        <v>98500</v>
      </c>
      <c r="D835" s="2" t="str">
        <f t="shared" si="12"/>
        <v>Error?</v>
      </c>
    </row>
    <row r="836" spans="1:4">
      <c r="A836" s="5">
        <v>775</v>
      </c>
      <c r="B836" s="138">
        <f>'Expenditures 15-22'!E33</f>
        <v>1196629</v>
      </c>
      <c r="C836" s="2" t="s">
        <v>593</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47049</v>
      </c>
      <c r="D839" s="2" t="str">
        <f t="shared" si="12"/>
        <v>Error?</v>
      </c>
    </row>
    <row r="840" spans="1:4">
      <c r="A840" s="5">
        <v>779</v>
      </c>
      <c r="B840" s="138">
        <f>'Expenditures 15-22'!E39</f>
        <v>27796</v>
      </c>
      <c r="D840" s="2" t="str">
        <f t="shared" si="12"/>
        <v>Error?</v>
      </c>
    </row>
    <row r="841" spans="1:4">
      <c r="A841" s="5">
        <v>780</v>
      </c>
      <c r="B841" s="138">
        <f>'Expenditures 15-22'!E40</f>
        <v>14627</v>
      </c>
      <c r="D841" s="2" t="str">
        <f t="shared" si="12"/>
        <v>Error?</v>
      </c>
    </row>
    <row r="842" spans="1:4">
      <c r="A842" s="5">
        <v>781</v>
      </c>
      <c r="B842" s="138">
        <f>'Expenditures 15-22'!E41</f>
        <v>21024</v>
      </c>
      <c r="D842" s="2" t="str">
        <f t="shared" si="12"/>
        <v>Error?</v>
      </c>
    </row>
    <row r="843" spans="1:4">
      <c r="A843" s="5">
        <v>782</v>
      </c>
      <c r="B843" s="138">
        <f>'Expenditures 15-22'!E42</f>
        <v>110496</v>
      </c>
      <c r="C843" s="2" t="s">
        <v>593</v>
      </c>
      <c r="D843" s="2" t="str">
        <f t="shared" si="12"/>
        <v>Error?</v>
      </c>
    </row>
    <row r="844" spans="1:4">
      <c r="A844" s="5">
        <v>783</v>
      </c>
      <c r="B844" s="138">
        <f>'Expenditures 15-22'!E44</f>
        <v>363477</v>
      </c>
      <c r="D844" s="2" t="str">
        <f t="shared" si="12"/>
        <v>Error?</v>
      </c>
    </row>
    <row r="845" spans="1:4">
      <c r="A845" s="5">
        <v>784</v>
      </c>
      <c r="B845" s="138">
        <f>'Expenditures 15-22'!E45</f>
        <v>9915</v>
      </c>
      <c r="D845" s="2" t="str">
        <f t="shared" si="12"/>
        <v>Error?</v>
      </c>
    </row>
    <row r="846" spans="1:4">
      <c r="A846" s="5">
        <v>785</v>
      </c>
      <c r="B846" s="138">
        <f>'Expenditures 15-22'!E46</f>
        <v>21490</v>
      </c>
      <c r="D846" s="2" t="str">
        <f t="shared" si="12"/>
        <v>Error?</v>
      </c>
    </row>
    <row r="847" spans="1:4">
      <c r="A847" s="5">
        <v>786</v>
      </c>
      <c r="B847" s="138">
        <f>'Expenditures 15-22'!E47</f>
        <v>394882</v>
      </c>
      <c r="C847" s="2" t="s">
        <v>593</v>
      </c>
      <c r="D847" s="2" t="str">
        <f t="shared" si="12"/>
        <v>Error?</v>
      </c>
    </row>
    <row r="848" spans="1:4">
      <c r="A848" s="5">
        <v>787</v>
      </c>
      <c r="B848" s="138">
        <f>'Expenditures 15-22'!E49</f>
        <v>59909</v>
      </c>
      <c r="D848" s="2" t="str">
        <f t="shared" si="12"/>
        <v>Error?</v>
      </c>
    </row>
    <row r="849" spans="1:4">
      <c r="A849" s="5">
        <v>788</v>
      </c>
      <c r="B849" s="138">
        <f>'Expenditures 15-22'!E50</f>
        <v>5696</v>
      </c>
      <c r="D849" s="2" t="str">
        <f t="shared" si="12"/>
        <v>Error?</v>
      </c>
    </row>
    <row r="850" spans="1:4">
      <c r="A850" s="5">
        <v>789</v>
      </c>
      <c r="B850" s="138">
        <f>'Expenditures 15-22'!E53</f>
        <v>89315</v>
      </c>
      <c r="C850" s="2" t="s">
        <v>593</v>
      </c>
      <c r="D850" s="2" t="str">
        <f t="shared" si="12"/>
        <v>Error?</v>
      </c>
    </row>
    <row r="851" spans="1:4">
      <c r="A851" s="5">
        <v>790</v>
      </c>
      <c r="B851" s="138">
        <f>'Expenditures 15-22'!E55</f>
        <v>49740</v>
      </c>
      <c r="D851" s="2" t="str">
        <f t="shared" si="12"/>
        <v>Error?</v>
      </c>
    </row>
    <row r="852" spans="1:4">
      <c r="A852" s="5">
        <v>791</v>
      </c>
      <c r="B852" s="138">
        <f>'Expenditures 15-22'!E56</f>
        <v>0</v>
      </c>
      <c r="D852" s="2" t="str">
        <f t="shared" si="12"/>
        <v>Error?</v>
      </c>
    </row>
    <row r="853" spans="1:4">
      <c r="A853" s="5">
        <v>792</v>
      </c>
      <c r="B853" s="138">
        <f>'Expenditures 15-22'!E57</f>
        <v>49740</v>
      </c>
      <c r="C853" s="2" t="s">
        <v>593</v>
      </c>
      <c r="D853" s="2" t="str">
        <f t="shared" si="12"/>
        <v>Error?</v>
      </c>
    </row>
    <row r="854" spans="1:4">
      <c r="A854" s="5">
        <v>793</v>
      </c>
      <c r="B854" s="138">
        <f>'Expenditures 15-22'!E59</f>
        <v>19617</v>
      </c>
      <c r="D854" s="2" t="str">
        <f t="shared" si="12"/>
        <v>Error?</v>
      </c>
    </row>
    <row r="855" spans="1:4">
      <c r="A855" s="5">
        <v>794</v>
      </c>
      <c r="B855" s="138">
        <f>'Expenditures 15-22'!E60</f>
        <v>5917</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55991</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81525</v>
      </c>
      <c r="C861" s="2" t="s">
        <v>593</v>
      </c>
      <c r="D861" s="2" t="str">
        <f t="shared" si="12"/>
        <v>Error?</v>
      </c>
    </row>
    <row r="862" spans="1:4">
      <c r="A862" s="5">
        <v>801</v>
      </c>
      <c r="B862" s="138">
        <f>'Expenditures 15-22'!E67</f>
        <v>0</v>
      </c>
      <c r="D862" s="2" t="str">
        <f t="shared" si="12"/>
        <v>Error?</v>
      </c>
    </row>
    <row r="863" spans="1:4">
      <c r="A863" s="5">
        <v>802</v>
      </c>
      <c r="B863" s="138">
        <f>'Expenditures 15-22'!E68</f>
        <v>6044</v>
      </c>
      <c r="D863" s="2" t="str">
        <f t="shared" si="12"/>
        <v>Error?</v>
      </c>
    </row>
    <row r="864" spans="1:4">
      <c r="A864" s="5">
        <v>803</v>
      </c>
      <c r="B864" s="138">
        <f>'Expenditures 15-22'!E69</f>
        <v>36001</v>
      </c>
      <c r="D864" s="2" t="str">
        <f t="shared" si="12"/>
        <v>Error?</v>
      </c>
    </row>
    <row r="865" spans="1:4">
      <c r="A865" s="5">
        <v>804</v>
      </c>
      <c r="B865" s="138">
        <f>'Expenditures 15-22'!E70</f>
        <v>130248</v>
      </c>
      <c r="D865" s="2" t="str">
        <f t="shared" si="12"/>
        <v>Error?</v>
      </c>
    </row>
    <row r="866" spans="1:4">
      <c r="A866" s="10">
        <v>805</v>
      </c>
      <c r="D866" s="2" t="str">
        <f t="shared" si="12"/>
        <v>OK</v>
      </c>
    </row>
    <row r="867" spans="1:4">
      <c r="A867" s="5">
        <v>806</v>
      </c>
      <c r="B867" s="138">
        <f>'Expenditures 15-22'!E71</f>
        <v>2917324</v>
      </c>
      <c r="D867" s="2" t="str">
        <f t="shared" si="12"/>
        <v>Error?</v>
      </c>
    </row>
    <row r="868" spans="1:4">
      <c r="A868" s="10">
        <v>807</v>
      </c>
      <c r="D868" s="2" t="str">
        <f t="shared" si="12"/>
        <v>OK</v>
      </c>
    </row>
    <row r="869" spans="1:4">
      <c r="A869" s="5">
        <v>808</v>
      </c>
      <c r="B869" s="138">
        <f>'Expenditures 15-22'!E72</f>
        <v>3089617</v>
      </c>
      <c r="C869" s="2" t="s">
        <v>593</v>
      </c>
      <c r="D869" s="2" t="str">
        <f t="shared" si="12"/>
        <v>Error?</v>
      </c>
    </row>
    <row r="870" spans="1:4">
      <c r="A870" s="5">
        <v>809</v>
      </c>
      <c r="B870" s="138">
        <f>'Expenditures 15-22'!E73</f>
        <v>161844</v>
      </c>
      <c r="D870" s="2" t="str">
        <f t="shared" si="12"/>
        <v>Error?</v>
      </c>
    </row>
    <row r="871" spans="1:4">
      <c r="A871" s="5">
        <v>810</v>
      </c>
      <c r="B871" s="138">
        <f>'Expenditures 15-22'!E74</f>
        <v>3977419</v>
      </c>
      <c r="C871" s="2" t="s">
        <v>593</v>
      </c>
      <c r="D871" s="2" t="str">
        <f t="shared" si="12"/>
        <v>Error?</v>
      </c>
    </row>
    <row r="872" spans="1:4">
      <c r="A872" s="5">
        <v>811</v>
      </c>
      <c r="B872" s="138">
        <f>'Expenditures 15-22'!E75</f>
        <v>1042682</v>
      </c>
      <c r="D872" s="2" t="str">
        <f t="shared" si="12"/>
        <v>Error?</v>
      </c>
    </row>
    <row r="873" spans="1:4">
      <c r="A873" s="5">
        <v>812</v>
      </c>
      <c r="B873" s="138">
        <f>'Expenditures 15-22'!E114</f>
        <v>6216730</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1253502</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27189</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23325</v>
      </c>
      <c r="D892" s="2" t="str">
        <f t="shared" si="12"/>
        <v>Error?</v>
      </c>
    </row>
    <row r="893" spans="1:4">
      <c r="A893" s="5">
        <v>832</v>
      </c>
      <c r="B893" s="138">
        <f>'Expenditures 15-22'!F15</f>
        <v>26286</v>
      </c>
      <c r="D893" s="2" t="str">
        <f t="shared" si="12"/>
        <v>Error?</v>
      </c>
    </row>
    <row r="894" spans="1:4">
      <c r="A894" s="5">
        <v>833</v>
      </c>
      <c r="B894" s="138">
        <f>'Expenditures 15-22'!F33</f>
        <v>1853900</v>
      </c>
      <c r="C894" s="2" t="s">
        <v>593</v>
      </c>
      <c r="D894" s="2" t="str">
        <f t="shared" si="12"/>
        <v>Error?</v>
      </c>
    </row>
    <row r="895" spans="1:4">
      <c r="A895" s="5">
        <v>834</v>
      </c>
      <c r="B895" s="138">
        <f>'Expenditures 15-22'!F36</f>
        <v>8442</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18962</v>
      </c>
      <c r="D897" s="2" t="str">
        <f t="shared" si="13"/>
        <v>Error?</v>
      </c>
    </row>
    <row r="898" spans="1:4">
      <c r="A898" s="5">
        <v>837</v>
      </c>
      <c r="B898" s="138">
        <f>'Expenditures 15-22'!F39</f>
        <v>9867</v>
      </c>
      <c r="D898" s="2" t="str">
        <f t="shared" si="13"/>
        <v>Error?</v>
      </c>
    </row>
    <row r="899" spans="1:4">
      <c r="A899" s="5">
        <v>838</v>
      </c>
      <c r="B899" s="138">
        <f>'Expenditures 15-22'!F40</f>
        <v>4481</v>
      </c>
      <c r="D899" s="2" t="str">
        <f t="shared" si="13"/>
        <v>Error?</v>
      </c>
    </row>
    <row r="900" spans="1:4">
      <c r="A900" s="5">
        <v>839</v>
      </c>
      <c r="B900" s="138">
        <f>'Expenditures 15-22'!F41</f>
        <v>0</v>
      </c>
      <c r="D900" s="2" t="str">
        <f t="shared" si="13"/>
        <v>Error?</v>
      </c>
    </row>
    <row r="901" spans="1:4">
      <c r="A901" s="5">
        <v>840</v>
      </c>
      <c r="B901" s="138">
        <f>'Expenditures 15-22'!F42</f>
        <v>41752</v>
      </c>
      <c r="C901" s="2" t="s">
        <v>593</v>
      </c>
      <c r="D901" s="2" t="str">
        <f t="shared" si="13"/>
        <v>Error?</v>
      </c>
    </row>
    <row r="902" spans="1:4">
      <c r="A902" s="5">
        <v>841</v>
      </c>
      <c r="B902" s="138">
        <f>'Expenditures 15-22'!F44</f>
        <v>54899</v>
      </c>
      <c r="D902" s="2" t="str">
        <f t="shared" si="13"/>
        <v>Error?</v>
      </c>
    </row>
    <row r="903" spans="1:4">
      <c r="A903" s="5">
        <v>842</v>
      </c>
      <c r="B903" s="138">
        <f>'Expenditures 15-22'!F45</f>
        <v>25943</v>
      </c>
      <c r="D903" s="2" t="str">
        <f t="shared" si="13"/>
        <v>Error?</v>
      </c>
    </row>
    <row r="904" spans="1:4">
      <c r="A904" s="5">
        <v>843</v>
      </c>
      <c r="B904" s="138">
        <f>'Expenditures 15-22'!F46</f>
        <v>69553</v>
      </c>
      <c r="D904" s="2" t="str">
        <f t="shared" si="13"/>
        <v>Error?</v>
      </c>
    </row>
    <row r="905" spans="1:4">
      <c r="A905" s="5">
        <v>844</v>
      </c>
      <c r="B905" s="138">
        <f>'Expenditures 15-22'!F47</f>
        <v>150395</v>
      </c>
      <c r="C905" s="2" t="s">
        <v>593</v>
      </c>
      <c r="D905" s="2" t="str">
        <f t="shared" si="13"/>
        <v>Error?</v>
      </c>
    </row>
    <row r="906" spans="1:4">
      <c r="A906" s="5">
        <v>845</v>
      </c>
      <c r="B906" s="138">
        <f>'Expenditures 15-22'!F49</f>
        <v>5744</v>
      </c>
      <c r="D906" s="2" t="str">
        <f t="shared" si="13"/>
        <v>Error?</v>
      </c>
    </row>
    <row r="907" spans="1:4">
      <c r="A907" s="5">
        <v>846</v>
      </c>
      <c r="B907" s="138">
        <f>'Expenditures 15-22'!F50</f>
        <v>5151</v>
      </c>
      <c r="D907" s="2" t="str">
        <f t="shared" si="13"/>
        <v>Error?</v>
      </c>
    </row>
    <row r="908" spans="1:4">
      <c r="A908" s="5">
        <v>847</v>
      </c>
      <c r="B908" s="138">
        <f>'Expenditures 15-22'!F53</f>
        <v>275355</v>
      </c>
      <c r="C908" s="2" t="s">
        <v>593</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593</v>
      </c>
      <c r="D911" s="2" t="str">
        <f t="shared" si="13"/>
        <v>Error?</v>
      </c>
    </row>
    <row r="912" spans="1:4">
      <c r="A912" s="5">
        <v>851</v>
      </c>
      <c r="B912" s="138">
        <f>'Expenditures 15-22'!F59</f>
        <v>1702</v>
      </c>
      <c r="D912" s="2" t="str">
        <f t="shared" si="13"/>
        <v>Error?</v>
      </c>
    </row>
    <row r="913" spans="1:4">
      <c r="A913" s="5">
        <v>852</v>
      </c>
      <c r="B913" s="138">
        <f>'Expenditures 15-22'!F60</f>
        <v>2481</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1159187</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1163370</v>
      </c>
      <c r="C919" s="2" t="s">
        <v>593</v>
      </c>
      <c r="D919" s="2" t="str">
        <f t="shared" si="13"/>
        <v>Error?</v>
      </c>
    </row>
    <row r="920" spans="1:4">
      <c r="A920" s="5">
        <v>859</v>
      </c>
      <c r="B920" s="138">
        <f>'Expenditures 15-22'!F67</f>
        <v>0</v>
      </c>
      <c r="D920" s="2" t="str">
        <f t="shared" si="13"/>
        <v>Error?</v>
      </c>
    </row>
    <row r="921" spans="1:4">
      <c r="A921" s="5">
        <v>860</v>
      </c>
      <c r="B921" s="138">
        <f>'Expenditures 15-22'!F68</f>
        <v>2002</v>
      </c>
      <c r="D921" s="2" t="str">
        <f t="shared" si="13"/>
        <v>Error?</v>
      </c>
    </row>
    <row r="922" spans="1:4">
      <c r="A922" s="5">
        <v>861</v>
      </c>
      <c r="B922" s="138">
        <f>'Expenditures 15-22'!F69</f>
        <v>1802</v>
      </c>
      <c r="D922" s="2" t="str">
        <f t="shared" si="13"/>
        <v>Error?</v>
      </c>
    </row>
    <row r="923" spans="1:4">
      <c r="A923" s="5">
        <v>862</v>
      </c>
      <c r="B923" s="138">
        <f>'Expenditures 15-22'!F70</f>
        <v>8924</v>
      </c>
      <c r="D923" s="2" t="str">
        <f t="shared" si="13"/>
        <v>Error?</v>
      </c>
    </row>
    <row r="924" spans="1:4">
      <c r="A924" s="10">
        <v>863</v>
      </c>
      <c r="D924" s="2" t="str">
        <f t="shared" si="13"/>
        <v>OK</v>
      </c>
    </row>
    <row r="925" spans="1:4">
      <c r="A925" s="5">
        <v>864</v>
      </c>
      <c r="B925" s="138">
        <f>'Expenditures 15-22'!F71</f>
        <v>401859</v>
      </c>
      <c r="D925" s="2" t="str">
        <f t="shared" si="13"/>
        <v>Error?</v>
      </c>
    </row>
    <row r="926" spans="1:4">
      <c r="A926" s="10">
        <v>865</v>
      </c>
      <c r="D926" s="2" t="str">
        <f t="shared" si="13"/>
        <v>OK</v>
      </c>
    </row>
    <row r="927" spans="1:4">
      <c r="A927" s="5">
        <v>866</v>
      </c>
      <c r="B927" s="138">
        <f>'Expenditures 15-22'!F72</f>
        <v>414587</v>
      </c>
      <c r="C927" s="2" t="s">
        <v>593</v>
      </c>
      <c r="D927" s="2" t="str">
        <f t="shared" si="13"/>
        <v>Error?</v>
      </c>
    </row>
    <row r="928" spans="1:4">
      <c r="A928" s="5">
        <v>867</v>
      </c>
      <c r="B928" s="138">
        <f>'Expenditures 15-22'!F73</f>
        <v>0</v>
      </c>
      <c r="D928" s="2" t="str">
        <f t="shared" si="13"/>
        <v>Error?</v>
      </c>
    </row>
    <row r="929" spans="1:4">
      <c r="A929" s="5">
        <v>868</v>
      </c>
      <c r="B929" s="138">
        <f>'Expenditures 15-22'!F74</f>
        <v>2045459</v>
      </c>
      <c r="C929" s="2" t="s">
        <v>593</v>
      </c>
      <c r="D929" s="2" t="str">
        <f t="shared" si="13"/>
        <v>Error?</v>
      </c>
    </row>
    <row r="930" spans="1:4">
      <c r="A930" s="5">
        <v>869</v>
      </c>
      <c r="B930" s="138">
        <f>'Expenditures 15-22'!F75</f>
        <v>122288</v>
      </c>
      <c r="D930" s="2" t="str">
        <f t="shared" si="13"/>
        <v>Error?</v>
      </c>
    </row>
    <row r="931" spans="1:4">
      <c r="A931" s="5">
        <v>870</v>
      </c>
      <c r="B931" s="138">
        <f>'Expenditures 15-22'!F114</f>
        <v>4021647</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17630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17630</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895</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895</v>
      </c>
      <c r="C959" s="2" t="s">
        <v>593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525</v>
      </c>
      <c r="D970" s="2" t="str">
        <f t="shared" si="14"/>
        <v>Error?</v>
      </c>
    </row>
    <row r="971" spans="1:4">
      <c r="A971" s="5">
        <v>910</v>
      </c>
      <c r="B971" s="138">
        <f>'Expenditures 15-22'!G60</f>
        <v>601</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28472</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29598</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525</v>
      </c>
      <c r="D981" s="2" t="str">
        <f t="shared" si="14"/>
        <v>Error?</v>
      </c>
    </row>
    <row r="982" spans="1:4">
      <c r="A982" s="10">
        <v>921</v>
      </c>
      <c r="D982" s="2" t="str">
        <f t="shared" si="14"/>
        <v>OK</v>
      </c>
    </row>
    <row r="983" spans="1:4">
      <c r="A983" s="5">
        <v>922</v>
      </c>
      <c r="B983" s="138">
        <f>'Expenditures 15-22'!G71</f>
        <v>869825</v>
      </c>
      <c r="D983" s="2" t="str">
        <f t="shared" si="14"/>
        <v>Error?</v>
      </c>
    </row>
    <row r="984" spans="1:4">
      <c r="A984" s="10">
        <v>923</v>
      </c>
      <c r="D984" s="2" t="str">
        <f t="shared" si="14"/>
        <v>OK</v>
      </c>
    </row>
    <row r="985" spans="1:4">
      <c r="A985" s="5">
        <v>924</v>
      </c>
      <c r="B985" s="138">
        <f>'Expenditures 15-22'!G72</f>
        <v>870350</v>
      </c>
      <c r="C985" s="2" t="s">
        <v>593</v>
      </c>
      <c r="D985" s="2" t="str">
        <f t="shared" si="14"/>
        <v>Error?</v>
      </c>
    </row>
    <row r="986" spans="1:4">
      <c r="A986" s="5">
        <v>925</v>
      </c>
      <c r="B986" s="138">
        <f>'Expenditures 15-22'!G73</f>
        <v>0</v>
      </c>
      <c r="D986" s="2" t="str">
        <f t="shared" si="14"/>
        <v>Error?</v>
      </c>
    </row>
    <row r="987" spans="1:4">
      <c r="A987" s="5">
        <v>926</v>
      </c>
      <c r="B987" s="138">
        <f>'Expenditures 15-22'!G74</f>
        <v>900843</v>
      </c>
      <c r="C987" s="2" t="s">
        <v>593</v>
      </c>
      <c r="D987" s="2" t="str">
        <f t="shared" si="14"/>
        <v>Error?</v>
      </c>
    </row>
    <row r="988" spans="1:4">
      <c r="A988" s="5">
        <v>927</v>
      </c>
      <c r="B988" s="138">
        <f>'Expenditures 15-22'!G75</f>
        <v>19688</v>
      </c>
      <c r="D988" s="2" t="str">
        <f t="shared" si="14"/>
        <v>Error?</v>
      </c>
    </row>
    <row r="989" spans="1:4">
      <c r="A989" s="5">
        <v>928</v>
      </c>
      <c r="B989" s="138">
        <f>'Expenditures 15-22'!G114</f>
        <v>938161</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4428</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1228007</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42432</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42432</v>
      </c>
      <c r="C1021" s="2" t="s">
        <v>593</v>
      </c>
      <c r="D1021" s="2" t="str">
        <f t="shared" si="14"/>
        <v>Error?</v>
      </c>
    </row>
    <row r="1022" spans="1:4">
      <c r="A1022" s="5">
        <v>961</v>
      </c>
      <c r="B1022" s="138">
        <f>'Expenditures 15-22'!H49</f>
        <v>48253</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48253</v>
      </c>
      <c r="C1024" s="2" t="s">
        <v>593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593</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593</v>
      </c>
      <c r="D1043" s="2" t="str">
        <f t="shared" si="15"/>
        <v>Error?</v>
      </c>
    </row>
    <row r="1044" spans="1:4">
      <c r="A1044" s="5">
        <v>983</v>
      </c>
      <c r="B1044" s="138">
        <f>'Expenditures 15-22'!H73</f>
        <v>-588</v>
      </c>
      <c r="D1044" s="2" t="str">
        <f t="shared" si="15"/>
        <v>Error?</v>
      </c>
    </row>
    <row r="1045" spans="1:4">
      <c r="A1045" s="5">
        <v>984</v>
      </c>
      <c r="B1045" s="138">
        <f>'Expenditures 15-22'!H74</f>
        <v>90097</v>
      </c>
      <c r="C1045" s="2" t="s">
        <v>593</v>
      </c>
      <c r="D1045" s="2" t="str">
        <f t="shared" si="15"/>
        <v>Error?</v>
      </c>
    </row>
    <row r="1046" spans="1:4">
      <c r="A1046" s="5">
        <v>985</v>
      </c>
      <c r="B1046" s="138">
        <f>'Expenditures 15-22'!H75</f>
        <v>2510</v>
      </c>
      <c r="D1046" s="2" t="str">
        <f t="shared" si="15"/>
        <v>Error?</v>
      </c>
    </row>
    <row r="1047" spans="1:4">
      <c r="A1047" s="5">
        <v>986</v>
      </c>
      <c r="B1047" s="138">
        <f>'Expenditures 15-22'!H102</f>
        <v>3073194</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4393808</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45045420</v>
      </c>
      <c r="C1093" s="2" t="s">
        <v>593</v>
      </c>
      <c r="D1093" s="2" t="str">
        <f t="shared" si="16"/>
        <v>Error?</v>
      </c>
    </row>
    <row r="1094" spans="1:4">
      <c r="A1094" s="5">
        <v>1033</v>
      </c>
      <c r="B1094" s="138">
        <f>'Expenditures 15-22'!K16</f>
        <v>118774</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2315565</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593</v>
      </c>
      <c r="D1104" s="2" t="str">
        <f t="shared" si="16"/>
        <v>Error?</v>
      </c>
    </row>
    <row r="1105" spans="1:4">
      <c r="A1105" s="5">
        <v>1044</v>
      </c>
      <c r="B1105" s="138">
        <f>'Expenditures 15-22'!K13</f>
        <v>0</v>
      </c>
      <c r="C1105" s="2" t="s">
        <v>593</v>
      </c>
      <c r="D1105" s="2" t="str">
        <f t="shared" si="16"/>
        <v>Error?</v>
      </c>
    </row>
    <row r="1106" spans="1:4">
      <c r="A1106" s="5">
        <v>1045</v>
      </c>
      <c r="B1106" s="138">
        <f>'Expenditures 15-22'!K14</f>
        <v>179210</v>
      </c>
      <c r="C1106" s="2" t="s">
        <v>593</v>
      </c>
      <c r="D1106" s="2" t="str">
        <f t="shared" si="16"/>
        <v>Error?</v>
      </c>
    </row>
    <row r="1107" spans="1:4">
      <c r="A1107" s="5">
        <v>1046</v>
      </c>
      <c r="B1107" s="138">
        <f>'Expenditures 15-22'!K15</f>
        <v>406751</v>
      </c>
      <c r="C1107" s="2" t="s">
        <v>593</v>
      </c>
      <c r="D1107" s="2" t="str">
        <f t="shared" si="16"/>
        <v>Error?</v>
      </c>
    </row>
    <row r="1108" spans="1:4">
      <c r="A1108" s="5">
        <v>1047</v>
      </c>
      <c r="B1108" s="138">
        <f>'Expenditures 15-22'!K33</f>
        <v>64021002</v>
      </c>
      <c r="C1108" s="2" t="s">
        <v>593</v>
      </c>
      <c r="D1108" s="2" t="str">
        <f t="shared" si="16"/>
        <v>Error?</v>
      </c>
    </row>
    <row r="1109" spans="1:4">
      <c r="A1109" s="5">
        <v>1048</v>
      </c>
      <c r="B1109" s="138">
        <f>'Expenditures 15-22'!K36</f>
        <v>2841909</v>
      </c>
      <c r="C1109" s="2" t="s">
        <v>593</v>
      </c>
      <c r="D1109" s="2" t="str">
        <f t="shared" si="16"/>
        <v>Error?</v>
      </c>
    </row>
    <row r="1110" spans="1:4">
      <c r="A1110" s="5">
        <v>1049</v>
      </c>
      <c r="B1110" s="138">
        <f>'Expenditures 15-22'!K37</f>
        <v>0</v>
      </c>
      <c r="C1110" s="2" t="s">
        <v>593</v>
      </c>
      <c r="D1110" s="2" t="str">
        <f t="shared" si="16"/>
        <v>Error?</v>
      </c>
    </row>
    <row r="1111" spans="1:4">
      <c r="A1111" s="5">
        <v>1050</v>
      </c>
      <c r="B1111" s="138">
        <f>'Expenditures 15-22'!K38</f>
        <v>983050</v>
      </c>
      <c r="C1111" s="2" t="s">
        <v>593</v>
      </c>
      <c r="D1111" s="2" t="str">
        <f t="shared" si="16"/>
        <v>Error?</v>
      </c>
    </row>
    <row r="1112" spans="1:4">
      <c r="A1112" s="5">
        <v>1051</v>
      </c>
      <c r="B1112" s="138">
        <f>'Expenditures 15-22'!K39</f>
        <v>1334126</v>
      </c>
      <c r="C1112" s="2" t="s">
        <v>593</v>
      </c>
      <c r="D1112" s="2" t="str">
        <f t="shared" si="16"/>
        <v>Error?</v>
      </c>
    </row>
    <row r="1113" spans="1:4">
      <c r="A1113" s="5">
        <v>1052</v>
      </c>
      <c r="B1113" s="138">
        <f>'Expenditures 15-22'!K40</f>
        <v>1694452</v>
      </c>
      <c r="C1113" s="2" t="s">
        <v>593</v>
      </c>
      <c r="D1113" s="2" t="str">
        <f t="shared" si="16"/>
        <v>Error?</v>
      </c>
    </row>
    <row r="1114" spans="1:4">
      <c r="A1114" s="5">
        <v>1053</v>
      </c>
      <c r="B1114" s="138">
        <f>'Expenditures 15-22'!K41</f>
        <v>1551578</v>
      </c>
      <c r="C1114" s="2" t="s">
        <v>593</v>
      </c>
      <c r="D1114" s="2" t="str">
        <f t="shared" si="16"/>
        <v>Error?</v>
      </c>
    </row>
    <row r="1115" spans="1:4">
      <c r="A1115" s="5">
        <v>1054</v>
      </c>
      <c r="B1115" s="138">
        <f>'Expenditures 15-22'!K42</f>
        <v>8405115</v>
      </c>
      <c r="C1115" s="2" t="s">
        <v>593</v>
      </c>
      <c r="D1115" s="2" t="str">
        <f t="shared" si="16"/>
        <v>Error?</v>
      </c>
    </row>
    <row r="1116" spans="1:4">
      <c r="A1116" s="5">
        <v>1055</v>
      </c>
      <c r="B1116" s="138">
        <f>'Expenditures 15-22'!K44</f>
        <v>2916625</v>
      </c>
      <c r="C1116" s="2" t="s">
        <v>593</v>
      </c>
      <c r="D1116" s="2" t="str">
        <f t="shared" si="16"/>
        <v>Error?</v>
      </c>
    </row>
    <row r="1117" spans="1:4">
      <c r="A1117" s="5">
        <v>1056</v>
      </c>
      <c r="B1117" s="138">
        <f>'Expenditures 15-22'!K45</f>
        <v>1416945</v>
      </c>
      <c r="C1117" s="2" t="s">
        <v>593</v>
      </c>
      <c r="D1117" s="2" t="str">
        <f t="shared" si="16"/>
        <v>Error?</v>
      </c>
    </row>
    <row r="1118" spans="1:4">
      <c r="A1118" s="5">
        <v>1057</v>
      </c>
      <c r="B1118" s="138">
        <f>'Expenditures 15-22'!K46</f>
        <v>182350</v>
      </c>
      <c r="C1118" s="2" t="s">
        <v>593</v>
      </c>
      <c r="D1118" s="2" t="str">
        <f t="shared" si="16"/>
        <v>Error?</v>
      </c>
    </row>
    <row r="1119" spans="1:4">
      <c r="A1119" s="5">
        <v>1058</v>
      </c>
      <c r="B1119" s="138">
        <f>'Expenditures 15-22'!K47</f>
        <v>4515920</v>
      </c>
      <c r="C1119" s="2" t="s">
        <v>593</v>
      </c>
      <c r="D1119" s="2" t="str">
        <f t="shared" si="16"/>
        <v>Error?</v>
      </c>
    </row>
    <row r="1120" spans="1:4">
      <c r="A1120" s="5">
        <v>1059</v>
      </c>
      <c r="B1120" s="138">
        <f>'Expenditures 15-22'!K49</f>
        <v>199038</v>
      </c>
      <c r="C1120" s="2" t="s">
        <v>593</v>
      </c>
      <c r="D1120" s="2" t="str">
        <f t="shared" si="16"/>
        <v>Error?</v>
      </c>
    </row>
    <row r="1121" spans="1:4">
      <c r="A1121" s="5">
        <v>1060</v>
      </c>
      <c r="B1121" s="138">
        <f>'Expenditures 15-22'!K50</f>
        <v>454369</v>
      </c>
      <c r="C1121" s="2" t="s">
        <v>593</v>
      </c>
      <c r="D1121" s="2" t="str">
        <f t="shared" si="16"/>
        <v>Error?</v>
      </c>
    </row>
    <row r="1122" spans="1:4">
      <c r="A1122" s="5">
        <v>1061</v>
      </c>
      <c r="B1122" s="138">
        <f>'Expenditures 15-22'!K53</f>
        <v>3135164</v>
      </c>
      <c r="C1122" s="2" t="s">
        <v>593</v>
      </c>
      <c r="D1122" s="2" t="str">
        <f t="shared" si="16"/>
        <v>Error?</v>
      </c>
    </row>
    <row r="1123" spans="1:4">
      <c r="A1123" s="5">
        <v>1062</v>
      </c>
      <c r="B1123" s="138">
        <f>'Expenditures 15-22'!K55</f>
        <v>5047352</v>
      </c>
      <c r="C1123" s="2" t="s">
        <v>593</v>
      </c>
      <c r="D1123" s="2" t="str">
        <f t="shared" si="16"/>
        <v>Error?</v>
      </c>
    </row>
    <row r="1124" spans="1:4">
      <c r="A1124" s="5">
        <v>1063</v>
      </c>
      <c r="B1124" s="138">
        <f>'Expenditures 15-22'!K56</f>
        <v>81543</v>
      </c>
      <c r="C1124" s="2" t="s">
        <v>593</v>
      </c>
      <c r="D1124" s="2" t="str">
        <f t="shared" si="16"/>
        <v>Error?</v>
      </c>
    </row>
    <row r="1125" spans="1:4">
      <c r="A1125" s="5">
        <v>1064</v>
      </c>
      <c r="B1125" s="138">
        <f>'Expenditures 15-22'!K57</f>
        <v>5128895</v>
      </c>
      <c r="C1125" s="2" t="s">
        <v>593</v>
      </c>
      <c r="D1125" s="2" t="str">
        <f t="shared" si="16"/>
        <v>Error?</v>
      </c>
    </row>
    <row r="1126" spans="1:4">
      <c r="A1126" s="5">
        <v>1065</v>
      </c>
      <c r="B1126" s="138">
        <f>'Expenditures 15-22'!K59</f>
        <v>430419</v>
      </c>
      <c r="C1126" s="2" t="s">
        <v>593</v>
      </c>
      <c r="D1126" s="2" t="str">
        <f t="shared" si="16"/>
        <v>Error?</v>
      </c>
    </row>
    <row r="1127" spans="1:4">
      <c r="A1127" s="5">
        <v>1066</v>
      </c>
      <c r="B1127" s="138">
        <f>'Expenditures 15-22'!K60</f>
        <v>522930</v>
      </c>
      <c r="C1127" s="2" t="s">
        <v>593</v>
      </c>
      <c r="D1127" s="2" t="str">
        <f t="shared" si="16"/>
        <v>Error?</v>
      </c>
    </row>
    <row r="1128" spans="1:4">
      <c r="A1128" s="5">
        <v>1067</v>
      </c>
      <c r="B1128" s="138">
        <f>'Expenditures 15-22'!K61</f>
        <v>0</v>
      </c>
      <c r="C1128" s="2" t="s">
        <v>593</v>
      </c>
      <c r="D1128" s="2" t="str">
        <f t="shared" si="16"/>
        <v>Error?</v>
      </c>
    </row>
    <row r="1129" spans="1:4">
      <c r="A1129" s="5">
        <v>1068</v>
      </c>
      <c r="B1129" s="138">
        <f>'Expenditures 15-22'!K62</f>
        <v>0</v>
      </c>
      <c r="C1129" s="2" t="s">
        <v>593</v>
      </c>
      <c r="D1129" s="2" t="str">
        <f t="shared" si="16"/>
        <v>Error?</v>
      </c>
    </row>
    <row r="1130" spans="1:4">
      <c r="A1130" s="5">
        <v>1069</v>
      </c>
      <c r="B1130" s="138">
        <f>'Expenditures 15-22'!K63</f>
        <v>2133798</v>
      </c>
      <c r="C1130" s="2" t="s">
        <v>593</v>
      </c>
      <c r="D1130" s="2" t="str">
        <f t="shared" si="16"/>
        <v>Error?</v>
      </c>
    </row>
    <row r="1131" spans="1:4">
      <c r="A1131" s="5">
        <v>1070</v>
      </c>
      <c r="B1131" s="138">
        <f>'Expenditures 15-22'!K64</f>
        <v>0</v>
      </c>
      <c r="C1131" s="2" t="s">
        <v>593</v>
      </c>
      <c r="D1131" s="2" t="str">
        <f t="shared" si="16"/>
        <v>Error?</v>
      </c>
    </row>
    <row r="1132" spans="1:4">
      <c r="A1132" s="10">
        <v>1071</v>
      </c>
      <c r="D1132" s="2" t="str">
        <f t="shared" si="16"/>
        <v>OK</v>
      </c>
    </row>
    <row r="1133" spans="1:4">
      <c r="A1133" s="5">
        <v>1072</v>
      </c>
      <c r="B1133" s="138">
        <f>'Expenditures 15-22'!K65</f>
        <v>3087147</v>
      </c>
      <c r="C1133" s="2" t="s">
        <v>593</v>
      </c>
      <c r="D1133" s="2" t="str">
        <f t="shared" si="16"/>
        <v>Error?</v>
      </c>
    </row>
    <row r="1134" spans="1:4">
      <c r="A1134" s="5">
        <v>1073</v>
      </c>
      <c r="B1134" s="138">
        <f>'Expenditures 15-22'!K67</f>
        <v>0</v>
      </c>
      <c r="C1134" s="2" t="s">
        <v>593</v>
      </c>
      <c r="D1134" s="2" t="str">
        <f t="shared" si="16"/>
        <v>Error?</v>
      </c>
    </row>
    <row r="1135" spans="1:4">
      <c r="A1135" s="5">
        <v>1074</v>
      </c>
      <c r="B1135" s="138">
        <f>'Expenditures 15-22'!K68</f>
        <v>672273</v>
      </c>
      <c r="C1135" s="2" t="s">
        <v>593</v>
      </c>
      <c r="D1135" s="2" t="str">
        <f t="shared" si="16"/>
        <v>Error?</v>
      </c>
    </row>
    <row r="1136" spans="1:4">
      <c r="A1136" s="5">
        <v>1075</v>
      </c>
      <c r="B1136" s="138">
        <f>'Expenditures 15-22'!K69</f>
        <v>167830</v>
      </c>
      <c r="C1136" s="2" t="s">
        <v>593</v>
      </c>
      <c r="D1136" s="2" t="str">
        <f t="shared" si="16"/>
        <v>Error?</v>
      </c>
    </row>
    <row r="1137" spans="1:4">
      <c r="A1137" s="5">
        <v>1076</v>
      </c>
      <c r="B1137" s="138">
        <f>'Expenditures 15-22'!K70</f>
        <v>826138</v>
      </c>
      <c r="C1137" s="2" t="s">
        <v>593</v>
      </c>
      <c r="D1137" s="2" t="str">
        <f t="shared" si="16"/>
        <v>Error?</v>
      </c>
    </row>
    <row r="1138" spans="1:4">
      <c r="A1138" s="10">
        <v>1077</v>
      </c>
      <c r="D1138" s="2" t="str">
        <f t="shared" si="16"/>
        <v>OK</v>
      </c>
    </row>
    <row r="1139" spans="1:4">
      <c r="A1139" s="5">
        <v>1078</v>
      </c>
      <c r="B1139" s="138">
        <f>'Expenditures 15-22'!K71</f>
        <v>5233350</v>
      </c>
      <c r="C1139" s="2" t="s">
        <v>593</v>
      </c>
      <c r="D1139" s="2" t="str">
        <f t="shared" si="16"/>
        <v>Error?</v>
      </c>
    </row>
    <row r="1140" spans="1:4">
      <c r="A1140" s="10">
        <v>1079</v>
      </c>
      <c r="D1140" s="2" t="str">
        <f t="shared" si="16"/>
        <v>OK</v>
      </c>
    </row>
    <row r="1141" spans="1:4">
      <c r="A1141" s="5">
        <v>1080</v>
      </c>
      <c r="B1141" s="138">
        <f>'Expenditures 15-22'!K72</f>
        <v>6899591</v>
      </c>
      <c r="C1141" s="2" t="s">
        <v>593</v>
      </c>
      <c r="D1141" s="2" t="str">
        <f t="shared" si="16"/>
        <v>Error?</v>
      </c>
    </row>
    <row r="1142" spans="1:4">
      <c r="A1142" s="5">
        <v>1081</v>
      </c>
      <c r="B1142" s="138">
        <f>'Expenditures 15-22'!K73</f>
        <v>1615202</v>
      </c>
      <c r="C1142" s="2" t="s">
        <v>593</v>
      </c>
      <c r="D1142" s="2" t="str">
        <f t="shared" si="16"/>
        <v>Error?</v>
      </c>
    </row>
    <row r="1143" spans="1:4">
      <c r="A1143" s="5">
        <v>1082</v>
      </c>
      <c r="B1143" s="138">
        <f>'Expenditures 15-22'!K74</f>
        <v>32787034</v>
      </c>
      <c r="C1143" s="2" t="s">
        <v>593</v>
      </c>
      <c r="D1143" s="2" t="str">
        <f t="shared" si="16"/>
        <v>Error?</v>
      </c>
    </row>
    <row r="1144" spans="1:4">
      <c r="A1144" s="5">
        <v>1083</v>
      </c>
      <c r="B1144" s="138">
        <f>'Expenditures 15-22'!K75</f>
        <v>5309462</v>
      </c>
      <c r="C1144" s="2" t="s">
        <v>593</v>
      </c>
      <c r="D1144" s="2" t="str">
        <f t="shared" si="16"/>
        <v>Error?</v>
      </c>
    </row>
    <row r="1145" spans="1:4">
      <c r="A1145" s="5">
        <v>1084</v>
      </c>
      <c r="B1145" s="138">
        <f>'Expenditures 15-22'!K102</f>
        <v>3073194</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105190692</v>
      </c>
      <c r="C1152" s="2" t="s">
        <v>593</v>
      </c>
      <c r="D1152" s="2" t="str">
        <f t="shared" si="17"/>
        <v>Error?</v>
      </c>
    </row>
    <row r="1153" spans="1:4">
      <c r="A1153" s="5">
        <v>1092</v>
      </c>
      <c r="B1153" s="138">
        <f>'Expenditures 15-22'!K115</f>
        <v>17565879</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3296646</v>
      </c>
      <c r="D1221" s="2" t="str">
        <f t="shared" si="18"/>
        <v>Error?</v>
      </c>
    </row>
    <row r="1222" spans="1:4">
      <c r="A1222" s="10">
        <v>1161</v>
      </c>
      <c r="D1222" s="2" t="str">
        <f t="shared" si="18"/>
        <v>OK</v>
      </c>
    </row>
    <row r="1223" spans="1:4">
      <c r="A1223" s="5">
        <v>1162</v>
      </c>
      <c r="B1223" s="138">
        <f>'Expenditures 15-22'!C127</f>
        <v>3296646</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3296646</v>
      </c>
      <c r="C1225" s="2" t="s">
        <v>593</v>
      </c>
      <c r="D1225" s="2" t="str">
        <f t="shared" si="18"/>
        <v>Error?</v>
      </c>
    </row>
    <row r="1226" spans="1:4">
      <c r="A1226" s="5">
        <v>1165</v>
      </c>
      <c r="B1226" s="138">
        <f>'Expenditures 15-22'!C151</f>
        <v>3296646</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410801</v>
      </c>
      <c r="D1229" s="2" t="str">
        <f t="shared" si="18"/>
        <v>Error?</v>
      </c>
    </row>
    <row r="1230" spans="1:4">
      <c r="A1230" s="10">
        <v>1169</v>
      </c>
      <c r="D1230" s="2" t="str">
        <f t="shared" si="18"/>
        <v>OK</v>
      </c>
    </row>
    <row r="1231" spans="1:4">
      <c r="A1231" s="5">
        <v>1170</v>
      </c>
      <c r="B1231" s="138">
        <f>'Expenditures 15-22'!D127</f>
        <v>410801</v>
      </c>
      <c r="C1231" s="2" t="s">
        <v>593</v>
      </c>
      <c r="D1231" s="2" t="str">
        <f t="shared" si="18"/>
        <v>Error?</v>
      </c>
    </row>
    <row r="1232" spans="1:4">
      <c r="A1232" s="5">
        <v>1171</v>
      </c>
      <c r="B1232" s="138">
        <f>'Expenditures 15-22'!D128</f>
        <v>311</v>
      </c>
      <c r="D1232" s="2" t="str">
        <f t="shared" si="18"/>
        <v>Error?</v>
      </c>
    </row>
    <row r="1233" spans="1:4">
      <c r="A1233" s="5">
        <v>1172</v>
      </c>
      <c r="B1233" s="138">
        <f>'Expenditures 15-22'!D129</f>
        <v>411112</v>
      </c>
      <c r="C1233" s="2" t="s">
        <v>593</v>
      </c>
      <c r="D1233" s="2" t="str">
        <f t="shared" si="18"/>
        <v>Error?</v>
      </c>
    </row>
    <row r="1234" spans="1:4">
      <c r="A1234" s="5">
        <v>1173</v>
      </c>
      <c r="B1234" s="138">
        <f>'Expenditures 15-22'!D151</f>
        <v>411112</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1663300</v>
      </c>
      <c r="D1237" s="2" t="str">
        <f t="shared" si="18"/>
        <v>Error?</v>
      </c>
    </row>
    <row r="1238" spans="1:4">
      <c r="A1238" s="10">
        <v>1177</v>
      </c>
      <c r="D1238" s="2" t="str">
        <f t="shared" si="18"/>
        <v>OK</v>
      </c>
    </row>
    <row r="1239" spans="1:4">
      <c r="A1239" s="5">
        <v>1178</v>
      </c>
      <c r="B1239" s="138">
        <f>'Expenditures 15-22'!E127</f>
        <v>1663300</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1663300</v>
      </c>
      <c r="C1241" s="2" t="s">
        <v>593</v>
      </c>
      <c r="D1241" s="2" t="str">
        <f t="shared" si="18"/>
        <v>Error?</v>
      </c>
    </row>
    <row r="1242" spans="1:4">
      <c r="A1242" s="5">
        <v>1181</v>
      </c>
      <c r="B1242" s="138">
        <f>'Expenditures 15-22'!E151</f>
        <v>1663300</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1449583</v>
      </c>
      <c r="D1245" s="2" t="str">
        <f t="shared" si="18"/>
        <v>Error?</v>
      </c>
    </row>
    <row r="1246" spans="1:4">
      <c r="A1246" s="10">
        <v>1185</v>
      </c>
      <c r="D1246" s="2" t="str">
        <f t="shared" si="18"/>
        <v>OK</v>
      </c>
    </row>
    <row r="1247" spans="1:4">
      <c r="A1247" s="5">
        <v>1186</v>
      </c>
      <c r="B1247" s="138">
        <f>'Expenditures 15-22'!F127</f>
        <v>1449583</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1449583</v>
      </c>
      <c r="C1249" s="2" t="s">
        <v>593</v>
      </c>
      <c r="D1249" s="2" t="str">
        <f t="shared" si="18"/>
        <v>Error?</v>
      </c>
    </row>
    <row r="1250" spans="1:4">
      <c r="A1250" s="5">
        <v>1189</v>
      </c>
      <c r="B1250" s="138">
        <f>'Expenditures 15-22'!F151</f>
        <v>1449583</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60460</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60460</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60460</v>
      </c>
      <c r="C1258" s="2" t="s">
        <v>593</v>
      </c>
      <c r="D1258" s="2" t="str">
        <f t="shared" si="18"/>
        <v>Error?</v>
      </c>
    </row>
    <row r="1259" spans="1:4">
      <c r="A1259" s="5">
        <v>1198</v>
      </c>
      <c r="B1259" s="138">
        <f>'Expenditures 15-22'!G151</f>
        <v>60460</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90859</v>
      </c>
      <c r="D1262" s="2" t="str">
        <f t="shared" si="18"/>
        <v>Error?</v>
      </c>
    </row>
    <row r="1263" spans="1:4">
      <c r="A1263" s="10">
        <v>1202</v>
      </c>
      <c r="D1263" s="2" t="str">
        <f t="shared" si="18"/>
        <v>OK</v>
      </c>
    </row>
    <row r="1264" spans="1:4">
      <c r="A1264" s="5">
        <v>1203</v>
      </c>
      <c r="B1264" s="138">
        <f>'Expenditures 15-22'!H127</f>
        <v>90859</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90859</v>
      </c>
      <c r="C1266" s="2" t="s">
        <v>593</v>
      </c>
      <c r="D1266" s="2" t="str">
        <f t="shared" si="18"/>
        <v>Error?</v>
      </c>
    </row>
    <row r="1267" spans="1:4">
      <c r="A1267" s="5">
        <v>1206</v>
      </c>
      <c r="B1267" s="138">
        <f>'Expenditures 15-22'!H139</f>
        <v>0</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90859</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0</v>
      </c>
      <c r="C1275" s="2" t="s">
        <v>593</v>
      </c>
      <c r="D1275" s="2" t="str">
        <f t="shared" si="18"/>
        <v>Error?</v>
      </c>
    </row>
    <row r="1276" spans="1:4">
      <c r="A1276" s="5">
        <v>1215</v>
      </c>
      <c r="B1276" s="138">
        <f>'Expenditures 15-22'!K124</f>
        <v>6971649</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6971649</v>
      </c>
      <c r="C1279" s="2" t="s">
        <v>593</v>
      </c>
      <c r="D1279" s="2" t="str">
        <f t="shared" ref="D1279:D1342" si="19">IF(ISBLANK(B1279),"OK",IF(A1279-B1279=0,"OK","Error?"))</f>
        <v>Error?</v>
      </c>
    </row>
    <row r="1280" spans="1:4">
      <c r="A1280" s="5">
        <v>1219</v>
      </c>
      <c r="B1280" s="138">
        <f>'Expenditures 15-22'!K128</f>
        <v>311</v>
      </c>
      <c r="C1280" s="2" t="s">
        <v>593</v>
      </c>
      <c r="D1280" s="2" t="str">
        <f t="shared" si="19"/>
        <v>Error?</v>
      </c>
    </row>
    <row r="1281" spans="1:4">
      <c r="A1281" s="5">
        <v>1220</v>
      </c>
      <c r="B1281" s="138">
        <f>'Expenditures 15-22'!K129</f>
        <v>6971960</v>
      </c>
      <c r="C1281" s="2" t="s">
        <v>593</v>
      </c>
      <c r="D1281" s="2" t="str">
        <f t="shared" si="19"/>
        <v>Error?</v>
      </c>
    </row>
    <row r="1282" spans="1:4">
      <c r="A1282" s="5">
        <v>1221</v>
      </c>
      <c r="B1282" s="138">
        <f>'Expenditures 15-22'!K139</f>
        <v>0</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6971960</v>
      </c>
      <c r="C1288" s="2" t="s">
        <v>593</v>
      </c>
      <c r="D1288" s="2" t="str">
        <f t="shared" si="19"/>
        <v>Error?</v>
      </c>
    </row>
    <row r="1289" spans="1:4">
      <c r="A1289" s="5">
        <v>1228</v>
      </c>
      <c r="B1289" s="138">
        <f>'Expenditures 15-22'!K152</f>
        <v>1586784</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593</v>
      </c>
      <c r="D1308" s="2" t="str">
        <f t="shared" si="19"/>
        <v>Error?</v>
      </c>
    </row>
    <row r="1309" spans="1:4">
      <c r="A1309" s="5">
        <v>1248</v>
      </c>
      <c r="B1309" s="138">
        <f>'Expenditures 15-22'!E174</f>
        <v>0</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2954686</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2663729</v>
      </c>
      <c r="D1315" s="2" t="str">
        <f t="shared" si="19"/>
        <v>Error?</v>
      </c>
    </row>
    <row r="1316" spans="1:4">
      <c r="A1316" s="5">
        <v>1255</v>
      </c>
      <c r="B1316" s="138">
        <f>'Expenditures 15-22'!H171</f>
        <v>10927</v>
      </c>
      <c r="D1316" s="2" t="str">
        <f t="shared" si="19"/>
        <v>Error?</v>
      </c>
    </row>
    <row r="1317" spans="1:4">
      <c r="A1317" s="5">
        <v>1256</v>
      </c>
      <c r="B1317" s="138">
        <f>'Expenditures 15-22'!H172</f>
        <v>5629342</v>
      </c>
      <c r="C1317" s="2" t="s">
        <v>593</v>
      </c>
      <c r="D1317" s="2" t="str">
        <f t="shared" si="19"/>
        <v>Error?</v>
      </c>
    </row>
    <row r="1318" spans="1:4">
      <c r="A1318" s="5">
        <v>1257</v>
      </c>
      <c r="B1318" s="138">
        <f>'Expenditures 15-22'!H174</f>
        <v>5629342</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2954686</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2663729</v>
      </c>
      <c r="C1329" s="2" t="s">
        <v>593</v>
      </c>
      <c r="D1329" s="2" t="str">
        <f t="shared" si="19"/>
        <v>Error?</v>
      </c>
    </row>
    <row r="1330" spans="1:4">
      <c r="A1330" s="5">
        <v>1269</v>
      </c>
      <c r="B1330" s="138">
        <f>'Expenditures 15-22'!K171</f>
        <v>10927</v>
      </c>
      <c r="C1330" s="2" t="s">
        <v>593</v>
      </c>
      <c r="D1330" s="2" t="str">
        <f t="shared" si="19"/>
        <v>Error?</v>
      </c>
    </row>
    <row r="1331" spans="1:4">
      <c r="A1331" s="5">
        <v>1270</v>
      </c>
      <c r="B1331" s="138">
        <f>'Expenditures 15-22'!K172</f>
        <v>5629342</v>
      </c>
      <c r="C1331" s="2" t="s">
        <v>593</v>
      </c>
      <c r="D1331" s="2" t="str">
        <f t="shared" si="19"/>
        <v>Error?</v>
      </c>
    </row>
    <row r="1332" spans="1:4">
      <c r="A1332" s="5">
        <v>1271</v>
      </c>
      <c r="B1332" s="138">
        <f>'Expenditures 15-22'!K174</f>
        <v>5629342</v>
      </c>
      <c r="C1332" s="2" t="s">
        <v>593</v>
      </c>
      <c r="D1332" s="2" t="str">
        <f t="shared" si="19"/>
        <v>Error?</v>
      </c>
    </row>
    <row r="1333" spans="1:4">
      <c r="A1333" s="5">
        <v>1272</v>
      </c>
      <c r="B1333" s="138">
        <f>'Expenditures 15-22'!K175</f>
        <v>530470</v>
      </c>
      <c r="C1333" s="2" t="s">
        <v>593</v>
      </c>
      <c r="D1333" s="2" t="str">
        <f t="shared" si="19"/>
        <v>Error?</v>
      </c>
    </row>
    <row r="1334" spans="1:4">
      <c r="A1334" s="10">
        <v>1273</v>
      </c>
      <c r="D1334" s="2" t="str">
        <f t="shared" si="19"/>
        <v>OK</v>
      </c>
    </row>
    <row r="1335" spans="1:4">
      <c r="A1335" s="5">
        <v>1274</v>
      </c>
      <c r="B1335" s="138">
        <f>'Expenditures 15-22'!C182</f>
        <v>424303</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424303</v>
      </c>
      <c r="C1339" s="2" t="s">
        <v>593</v>
      </c>
      <c r="D1339" s="2" t="str">
        <f t="shared" si="19"/>
        <v>Error?</v>
      </c>
    </row>
    <row r="1340" spans="1:4">
      <c r="A1340" s="5">
        <v>1279</v>
      </c>
      <c r="B1340" s="138">
        <f>'Expenditures 15-22'!C210</f>
        <v>424303</v>
      </c>
      <c r="C1340" s="2" t="s">
        <v>593</v>
      </c>
      <c r="D1340" s="2" t="str">
        <f t="shared" si="19"/>
        <v>Error?</v>
      </c>
    </row>
    <row r="1341" spans="1:4">
      <c r="A1341" s="5">
        <v>1280</v>
      </c>
      <c r="B1341" s="138">
        <f>'Expenditures 15-22'!D182</f>
        <v>33009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33009</v>
      </c>
      <c r="C1345" s="2" t="s">
        <v>593</v>
      </c>
      <c r="D1345" s="2" t="str">
        <f t="shared" si="20"/>
        <v>Error?</v>
      </c>
    </row>
    <row r="1346" spans="1:4">
      <c r="A1346" s="5">
        <v>1285</v>
      </c>
      <c r="B1346" s="138">
        <f>'Expenditures 15-22'!D210</f>
        <v>33009</v>
      </c>
      <c r="C1346" s="2" t="s">
        <v>593</v>
      </c>
      <c r="D1346" s="2" t="str">
        <f t="shared" si="20"/>
        <v>Error?</v>
      </c>
    </row>
    <row r="1347" spans="1:4">
      <c r="A1347" s="5">
        <v>1286</v>
      </c>
      <c r="B1347" s="138">
        <f>'Expenditures 15-22'!E182</f>
        <v>3794784</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3794784</v>
      </c>
      <c r="C1351" s="2" t="s">
        <v>593</v>
      </c>
      <c r="D1351" s="2" t="str">
        <f t="shared" si="20"/>
        <v>Error?</v>
      </c>
    </row>
    <row r="1352" spans="1:4">
      <c r="A1352" s="5">
        <v>1291</v>
      </c>
      <c r="B1352" s="138">
        <f>'Expenditures 15-22'!E196</f>
        <v>0</v>
      </c>
      <c r="C1352" s="2" t="s">
        <v>593</v>
      </c>
      <c r="D1352" s="2" t="str">
        <f t="shared" si="20"/>
        <v>Error?</v>
      </c>
    </row>
    <row r="1353" spans="1:4">
      <c r="A1353" s="5">
        <v>1292</v>
      </c>
      <c r="B1353" s="138">
        <f>'Expenditures 15-22'!E210</f>
        <v>3794784</v>
      </c>
      <c r="C1353" s="2" t="s">
        <v>593</v>
      </c>
      <c r="D1353" s="2" t="str">
        <f t="shared" si="20"/>
        <v>Error?</v>
      </c>
    </row>
    <row r="1354" spans="1:4">
      <c r="A1354" s="5">
        <v>1293</v>
      </c>
      <c r="B1354" s="138">
        <f>'Expenditures 15-22'!F182</f>
        <v>521</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521</v>
      </c>
      <c r="C1358" s="2" t="s">
        <v>593</v>
      </c>
      <c r="D1358" s="2" t="str">
        <f t="shared" si="20"/>
        <v>Error?</v>
      </c>
    </row>
    <row r="1359" spans="1:4">
      <c r="A1359" s="5">
        <v>1298</v>
      </c>
      <c r="B1359" s="138">
        <f>'Expenditures 15-22'!F210</f>
        <v>521</v>
      </c>
      <c r="C1359" s="2" t="s">
        <v>593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593</v>
      </c>
      <c r="D1364" s="2" t="str">
        <f t="shared" si="20"/>
        <v>Error?</v>
      </c>
    </row>
    <row r="1365" spans="1:4">
      <c r="A1365" s="5">
        <v>1304</v>
      </c>
      <c r="B1365" s="138">
        <f>'Expenditures 15-22'!G210</f>
        <v>0</v>
      </c>
      <c r="C1365" s="2" t="s">
        <v>593</v>
      </c>
      <c r="D1365" s="2" t="str">
        <f t="shared" si="20"/>
        <v>Error?</v>
      </c>
    </row>
    <row r="1366" spans="1:4">
      <c r="A1366" s="5">
        <v>1305</v>
      </c>
      <c r="B1366" s="138">
        <f>'Expenditures 15-22'!H182</f>
        <v>18371</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18371</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593</v>
      </c>
      <c r="D1375" s="2" t="str">
        <f t="shared" si="20"/>
        <v>Error?</v>
      </c>
    </row>
    <row r="1376" spans="1:4">
      <c r="A1376" s="5">
        <v>1315</v>
      </c>
      <c r="B1376" s="138">
        <f>'Expenditures 15-22'!H210</f>
        <v>18371</v>
      </c>
      <c r="C1376" s="2" t="s">
        <v>593</v>
      </c>
      <c r="D1376" s="2" t="str">
        <f t="shared" si="20"/>
        <v>Error?</v>
      </c>
    </row>
    <row r="1377" spans="1:4">
      <c r="A1377" s="5">
        <v>1316</v>
      </c>
      <c r="B1377" s="138">
        <f>'Expenditures 15-22'!K182</f>
        <v>4270988</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4270988</v>
      </c>
      <c r="C1381" s="2" t="s">
        <v>593</v>
      </c>
      <c r="D1381" s="2" t="str">
        <f t="shared" si="20"/>
        <v>Error?</v>
      </c>
    </row>
    <row r="1382" spans="1:4">
      <c r="A1382" s="5">
        <v>1321</v>
      </c>
      <c r="B1382" s="138">
        <f>'Expenditures 15-22'!K196</f>
        <v>0</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0</v>
      </c>
      <c r="C1387" s="2" t="s">
        <v>593</v>
      </c>
      <c r="D1387" s="2" t="str">
        <f t="shared" si="20"/>
        <v>Error?</v>
      </c>
    </row>
    <row r="1388" spans="1:4">
      <c r="A1388" s="5">
        <v>1327</v>
      </c>
      <c r="B1388" s="138">
        <f>'Expenditures 15-22'!K210</f>
        <v>4270988</v>
      </c>
      <c r="C1388" s="2" t="s">
        <v>593</v>
      </c>
      <c r="D1388" s="2" t="str">
        <f t="shared" si="20"/>
        <v>Error?</v>
      </c>
    </row>
    <row r="1389" spans="1:4">
      <c r="A1389" s="5">
        <v>1328</v>
      </c>
      <c r="B1389" s="138">
        <f>'Expenditures 15-22'!K211</f>
        <v>536205</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1367</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78214</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2216</v>
      </c>
      <c r="D1407" s="2" t="str">
        <f t="shared" ref="D1407:D1470" si="21">IF(ISBLANK(B1407),"OK",IF(A1407-B1407=0,"OK","Error?"))</f>
        <v>Error?</v>
      </c>
    </row>
    <row r="1408" spans="1:4">
      <c r="A1408" s="5">
        <v>1347</v>
      </c>
      <c r="B1408" s="138">
        <f>'Expenditures 15-22'!D223</f>
        <v>6210</v>
      </c>
      <c r="D1408" s="2" t="str">
        <f t="shared" si="21"/>
        <v>Error?</v>
      </c>
    </row>
    <row r="1409" spans="1:4">
      <c r="A1409" s="5">
        <v>1348</v>
      </c>
      <c r="B1409" s="138">
        <f>'Expenditures 15-22'!D224</f>
        <v>31355</v>
      </c>
      <c r="D1409" s="2" t="str">
        <f t="shared" si="21"/>
        <v>Error?</v>
      </c>
    </row>
    <row r="1410" spans="1:4">
      <c r="A1410" s="5">
        <v>1349</v>
      </c>
      <c r="B1410" s="138">
        <f>'Expenditures 15-22'!D229</f>
        <v>1428530</v>
      </c>
      <c r="C1410" s="2" t="s">
        <v>593</v>
      </c>
      <c r="D1410" s="2" t="str">
        <f t="shared" si="21"/>
        <v>Error?</v>
      </c>
    </row>
    <row r="1411" spans="1:4">
      <c r="A1411" s="5">
        <v>1350</v>
      </c>
      <c r="B1411" s="138">
        <f>'Expenditures 15-22'!D232</f>
        <v>48331</v>
      </c>
      <c r="D1411" s="2" t="str">
        <f t="shared" si="21"/>
        <v>Error?</v>
      </c>
    </row>
    <row r="1412" spans="1:4">
      <c r="A1412" s="5">
        <v>1351</v>
      </c>
      <c r="B1412" s="138">
        <f>'Expenditures 15-22'!D233</f>
        <v>0</v>
      </c>
      <c r="D1412" s="2" t="str">
        <f t="shared" si="21"/>
        <v>Error?</v>
      </c>
    </row>
    <row r="1413" spans="1:4">
      <c r="A1413" s="5">
        <v>1352</v>
      </c>
      <c r="B1413" s="138">
        <f>'Expenditures 15-22'!D234</f>
        <v>103098</v>
      </c>
      <c r="D1413" s="2" t="str">
        <f t="shared" si="21"/>
        <v>Error?</v>
      </c>
    </row>
    <row r="1414" spans="1:4">
      <c r="A1414" s="5">
        <v>1353</v>
      </c>
      <c r="B1414" s="138">
        <f>'Expenditures 15-22'!D235</f>
        <v>17983</v>
      </c>
      <c r="D1414" s="2" t="str">
        <f t="shared" si="21"/>
        <v>Error?</v>
      </c>
    </row>
    <row r="1415" spans="1:4">
      <c r="A1415" s="5">
        <v>1354</v>
      </c>
      <c r="B1415" s="138">
        <f>'Expenditures 15-22'!D236</f>
        <v>24560</v>
      </c>
      <c r="D1415" s="2" t="str">
        <f t="shared" si="21"/>
        <v>Error?</v>
      </c>
    </row>
    <row r="1416" spans="1:4">
      <c r="A1416" s="5">
        <v>1355</v>
      </c>
      <c r="B1416" s="138">
        <f>'Expenditures 15-22'!D237</f>
        <v>230045</v>
      </c>
      <c r="D1416" s="2" t="str">
        <f t="shared" si="21"/>
        <v>Error?</v>
      </c>
    </row>
    <row r="1417" spans="1:4">
      <c r="A1417" s="5">
        <v>1356</v>
      </c>
      <c r="B1417" s="138">
        <f>'Expenditures 15-22'!D238</f>
        <v>424017</v>
      </c>
      <c r="C1417" s="2" t="s">
        <v>593</v>
      </c>
      <c r="D1417" s="2" t="str">
        <f t="shared" si="21"/>
        <v>Error?</v>
      </c>
    </row>
    <row r="1418" spans="1:4">
      <c r="A1418" s="5">
        <v>1357</v>
      </c>
      <c r="B1418" s="138">
        <f>'Expenditures 15-22'!D240</f>
        <v>51897</v>
      </c>
      <c r="D1418" s="2" t="str">
        <f t="shared" si="21"/>
        <v>Error?</v>
      </c>
    </row>
    <row r="1419" spans="1:4">
      <c r="A1419" s="5">
        <v>1358</v>
      </c>
      <c r="B1419" s="138">
        <f>'Expenditures 15-22'!D241</f>
        <v>20454</v>
      </c>
      <c r="D1419" s="2" t="str">
        <f t="shared" si="21"/>
        <v>Error?</v>
      </c>
    </row>
    <row r="1420" spans="1:4">
      <c r="A1420" s="5">
        <v>1359</v>
      </c>
      <c r="B1420" s="138">
        <f>'Expenditures 15-22'!D242</f>
        <v>1314</v>
      </c>
      <c r="D1420" s="2" t="str">
        <f t="shared" si="21"/>
        <v>Error?</v>
      </c>
    </row>
    <row r="1421" spans="1:4">
      <c r="A1421" s="5">
        <v>1360</v>
      </c>
      <c r="B1421" s="138">
        <f>'Expenditures 15-22'!D243</f>
        <v>73665</v>
      </c>
      <c r="C1421" s="2" t="s">
        <v>593</v>
      </c>
      <c r="D1421" s="2" t="str">
        <f t="shared" si="21"/>
        <v>Error?</v>
      </c>
    </row>
    <row r="1422" spans="1:4">
      <c r="A1422" s="5">
        <v>1361</v>
      </c>
      <c r="B1422" s="138">
        <f>'Expenditures 15-22'!D245</f>
        <v>10394</v>
      </c>
      <c r="D1422" s="2" t="str">
        <f t="shared" si="21"/>
        <v>Error?</v>
      </c>
    </row>
    <row r="1423" spans="1:4">
      <c r="A1423" s="5">
        <v>1362</v>
      </c>
      <c r="B1423" s="138">
        <f>'Expenditures 15-22'!D246</f>
        <v>22793</v>
      </c>
      <c r="D1423" s="2" t="str">
        <f t="shared" si="21"/>
        <v>Error?</v>
      </c>
    </row>
    <row r="1424" spans="1:4">
      <c r="A1424" s="5">
        <v>1363</v>
      </c>
      <c r="B1424" s="138">
        <f>'Expenditures 15-22'!D257</f>
        <v>148870</v>
      </c>
      <c r="C1424" s="2" t="s">
        <v>593</v>
      </c>
      <c r="D1424" s="2" t="str">
        <f t="shared" si="21"/>
        <v>Error?</v>
      </c>
    </row>
    <row r="1425" spans="1:4">
      <c r="A1425" s="5">
        <v>1364</v>
      </c>
      <c r="B1425" s="138">
        <f>'Expenditures 15-22'!D259</f>
        <v>181762</v>
      </c>
      <c r="D1425" s="2" t="str">
        <f t="shared" si="21"/>
        <v>Error?</v>
      </c>
    </row>
    <row r="1426" spans="1:4">
      <c r="A1426" s="5">
        <v>1365</v>
      </c>
      <c r="B1426" s="138">
        <f>'Expenditures 15-22'!D260</f>
        <v>1361</v>
      </c>
      <c r="D1426" s="2" t="str">
        <f t="shared" si="21"/>
        <v>Error?</v>
      </c>
    </row>
    <row r="1427" spans="1:4">
      <c r="A1427" s="5">
        <v>1366</v>
      </c>
      <c r="B1427" s="138">
        <f>'Expenditures 15-22'!D261</f>
        <v>183123</v>
      </c>
      <c r="C1427" s="2" t="s">
        <v>593</v>
      </c>
      <c r="D1427" s="2" t="str">
        <f t="shared" si="21"/>
        <v>Error?</v>
      </c>
    </row>
    <row r="1428" spans="1:4">
      <c r="A1428" s="5">
        <v>1367</v>
      </c>
      <c r="B1428" s="138">
        <f>'Expenditures 15-22'!D263</f>
        <v>37156</v>
      </c>
      <c r="D1428" s="2" t="str">
        <f t="shared" si="21"/>
        <v>Error?</v>
      </c>
    </row>
    <row r="1429" spans="1:4">
      <c r="A1429" s="5">
        <v>1368</v>
      </c>
      <c r="B1429" s="138">
        <f>'Expenditures 15-22'!D264</f>
        <v>52871</v>
      </c>
      <c r="D1429" s="2" t="str">
        <f t="shared" si="21"/>
        <v>Error?</v>
      </c>
    </row>
    <row r="1430" spans="1:4">
      <c r="A1430" s="5">
        <v>1369</v>
      </c>
      <c r="B1430" s="138">
        <f>'Expenditures 15-22'!D265</f>
        <v>21332</v>
      </c>
      <c r="D1430" s="2" t="str">
        <f t="shared" si="21"/>
        <v>Error?</v>
      </c>
    </row>
    <row r="1431" spans="1:4">
      <c r="A1431" s="5">
        <v>1370</v>
      </c>
      <c r="B1431" s="138">
        <f>'Expenditures 15-22'!D266</f>
        <v>512428</v>
      </c>
      <c r="D1431" s="2" t="str">
        <f t="shared" si="21"/>
        <v>Error?</v>
      </c>
    </row>
    <row r="1432" spans="1:4">
      <c r="A1432" s="5">
        <v>1371</v>
      </c>
      <c r="B1432" s="138">
        <f>'Expenditures 15-22'!D267</f>
        <v>85851</v>
      </c>
      <c r="D1432" s="2" t="str">
        <f t="shared" si="21"/>
        <v>Error?</v>
      </c>
    </row>
    <row r="1433" spans="1:4">
      <c r="A1433" s="5">
        <v>1372</v>
      </c>
      <c r="B1433" s="138">
        <f>'Expenditures 15-22'!D268</f>
        <v>127710</v>
      </c>
      <c r="D1433" s="2" t="str">
        <f t="shared" si="21"/>
        <v>Error?</v>
      </c>
    </row>
    <row r="1434" spans="1:4">
      <c r="A1434" s="5">
        <v>1373</v>
      </c>
      <c r="B1434" s="138">
        <f>'Expenditures 15-22'!D269</f>
        <v>36862</v>
      </c>
      <c r="D1434" s="2" t="str">
        <f t="shared" si="21"/>
        <v>Error?</v>
      </c>
    </row>
    <row r="1435" spans="1:4">
      <c r="A1435" s="10">
        <v>1374</v>
      </c>
      <c r="D1435" s="2" t="str">
        <f t="shared" si="21"/>
        <v>OK</v>
      </c>
    </row>
    <row r="1436" spans="1:4">
      <c r="A1436" s="5">
        <v>1375</v>
      </c>
      <c r="B1436" s="138">
        <f>'Expenditures 15-22'!D270</f>
        <v>874210</v>
      </c>
      <c r="C1436" s="2" t="s">
        <v>593</v>
      </c>
      <c r="D1436" s="2" t="str">
        <f t="shared" si="21"/>
        <v>Error?</v>
      </c>
    </row>
    <row r="1437" spans="1:4">
      <c r="A1437" s="5">
        <v>1376</v>
      </c>
      <c r="B1437" s="138">
        <f>'Expenditures 15-22'!D272</f>
        <v>0</v>
      </c>
      <c r="D1437" s="2" t="str">
        <f t="shared" si="21"/>
        <v>Error?</v>
      </c>
    </row>
    <row r="1438" spans="1:4">
      <c r="A1438" s="5">
        <v>1377</v>
      </c>
      <c r="B1438" s="138">
        <f>'Expenditures 15-22'!D273</f>
        <v>104146</v>
      </c>
      <c r="D1438" s="2" t="str">
        <f t="shared" si="21"/>
        <v>Error?</v>
      </c>
    </row>
    <row r="1439" spans="1:4">
      <c r="A1439" s="5">
        <v>1378</v>
      </c>
      <c r="B1439" s="138">
        <f>'Expenditures 15-22'!D274</f>
        <v>15543</v>
      </c>
      <c r="D1439" s="2" t="str">
        <f t="shared" si="21"/>
        <v>Error?</v>
      </c>
    </row>
    <row r="1440" spans="1:4">
      <c r="A1440" s="5">
        <v>1379</v>
      </c>
      <c r="B1440" s="138">
        <f>'Expenditures 15-22'!D275</f>
        <v>58503</v>
      </c>
      <c r="D1440" s="2" t="str">
        <f t="shared" si="21"/>
        <v>Error?</v>
      </c>
    </row>
    <row r="1441" spans="1:4">
      <c r="A1441" s="10">
        <v>1380</v>
      </c>
      <c r="D1441" s="2" t="str">
        <f t="shared" si="21"/>
        <v>OK</v>
      </c>
    </row>
    <row r="1442" spans="1:4">
      <c r="A1442" s="5">
        <v>1381</v>
      </c>
      <c r="B1442" s="138">
        <f>'Expenditures 15-22'!D276</f>
        <v>147720</v>
      </c>
      <c r="D1442" s="2" t="str">
        <f t="shared" si="21"/>
        <v>Error?</v>
      </c>
    </row>
    <row r="1443" spans="1:4">
      <c r="A1443" s="10">
        <v>1382</v>
      </c>
      <c r="D1443" s="2" t="str">
        <f t="shared" si="21"/>
        <v>OK</v>
      </c>
    </row>
    <row r="1444" spans="1:4">
      <c r="A1444" s="5">
        <v>1383</v>
      </c>
      <c r="B1444" s="138">
        <f>'Expenditures 15-22'!D277</f>
        <v>325912</v>
      </c>
      <c r="C1444" s="2" t="s">
        <v>593</v>
      </c>
      <c r="D1444" s="2" t="str">
        <f t="shared" si="21"/>
        <v>Error?</v>
      </c>
    </row>
    <row r="1445" spans="1:4">
      <c r="A1445" s="5">
        <v>1384</v>
      </c>
      <c r="B1445" s="138">
        <f>'Expenditures 15-22'!D278</f>
        <v>9772</v>
      </c>
      <c r="D1445" s="2" t="str">
        <f t="shared" si="21"/>
        <v>Error?</v>
      </c>
    </row>
    <row r="1446" spans="1:4">
      <c r="A1446" s="5">
        <v>1385</v>
      </c>
      <c r="B1446" s="138">
        <f>'Expenditures 15-22'!D279</f>
        <v>2039569</v>
      </c>
      <c r="C1446" s="2" t="s">
        <v>593</v>
      </c>
      <c r="D1446" s="2" t="str">
        <f t="shared" si="21"/>
        <v>Error?</v>
      </c>
    </row>
    <row r="1447" spans="1:4">
      <c r="A1447" s="5">
        <v>1386</v>
      </c>
      <c r="B1447" s="138">
        <f>'Expenditures 15-22'!D280</f>
        <v>443322</v>
      </c>
      <c r="D1447" s="2" t="str">
        <f t="shared" si="21"/>
        <v>Error?</v>
      </c>
    </row>
    <row r="1448" spans="1:4">
      <c r="A1448" s="5">
        <v>1387</v>
      </c>
      <c r="B1448" s="138">
        <f>'Expenditures 15-22'!D295</f>
        <v>3911421</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1367</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78214</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593</v>
      </c>
      <c r="D1470" s="2" t="str">
        <f t="shared" si="21"/>
        <v>Error?</v>
      </c>
    </row>
    <row r="1471" spans="1:4">
      <c r="A1471" s="5">
        <v>1410</v>
      </c>
      <c r="B1471" s="138">
        <f>'Expenditures 15-22'!K222</f>
        <v>2216</v>
      </c>
      <c r="C1471" s="2" t="s">
        <v>593</v>
      </c>
      <c r="D1471" s="2" t="str">
        <f t="shared" ref="D1471:D1534" si="22">IF(ISBLANK(B1471),"OK",IF(A1471-B1471=0,"OK","Error?"))</f>
        <v>Error?</v>
      </c>
    </row>
    <row r="1472" spans="1:4">
      <c r="A1472" s="5">
        <v>1411</v>
      </c>
      <c r="B1472" s="138">
        <f>'Expenditures 15-22'!K223</f>
        <v>6210</v>
      </c>
      <c r="C1472" s="2" t="s">
        <v>593</v>
      </c>
      <c r="D1472" s="2" t="str">
        <f t="shared" si="22"/>
        <v>Error?</v>
      </c>
    </row>
    <row r="1473" spans="1:4">
      <c r="A1473" s="5">
        <v>1412</v>
      </c>
      <c r="B1473" s="138">
        <f>'Expenditures 15-22'!K224</f>
        <v>31355</v>
      </c>
      <c r="C1473" s="2" t="s">
        <v>593</v>
      </c>
      <c r="D1473" s="2" t="str">
        <f t="shared" si="22"/>
        <v>Error?</v>
      </c>
    </row>
    <row r="1474" spans="1:4">
      <c r="A1474" s="5">
        <v>1413</v>
      </c>
      <c r="B1474" s="138">
        <f>'Expenditures 15-22'!K229</f>
        <v>1428530</v>
      </c>
      <c r="C1474" s="2" t="s">
        <v>593</v>
      </c>
      <c r="D1474" s="2" t="str">
        <f t="shared" si="22"/>
        <v>Error?</v>
      </c>
    </row>
    <row r="1475" spans="1:4">
      <c r="A1475" s="5">
        <v>1414</v>
      </c>
      <c r="B1475" s="138">
        <f>'Expenditures 15-22'!K232</f>
        <v>48331</v>
      </c>
      <c r="C1475" s="2" t="s">
        <v>593</v>
      </c>
      <c r="D1475" s="2" t="str">
        <f t="shared" si="22"/>
        <v>Error?</v>
      </c>
    </row>
    <row r="1476" spans="1:4">
      <c r="A1476" s="5">
        <v>1415</v>
      </c>
      <c r="B1476" s="138">
        <f>'Expenditures 15-22'!K233</f>
        <v>0</v>
      </c>
      <c r="C1476" s="2" t="s">
        <v>593</v>
      </c>
      <c r="D1476" s="2" t="str">
        <f t="shared" si="22"/>
        <v>Error?</v>
      </c>
    </row>
    <row r="1477" spans="1:4">
      <c r="A1477" s="5">
        <v>1416</v>
      </c>
      <c r="B1477" s="138">
        <f>'Expenditures 15-22'!K234</f>
        <v>103098</v>
      </c>
      <c r="C1477" s="2" t="s">
        <v>593</v>
      </c>
      <c r="D1477" s="2" t="str">
        <f t="shared" si="22"/>
        <v>Error?</v>
      </c>
    </row>
    <row r="1478" spans="1:4">
      <c r="A1478" s="5">
        <v>1417</v>
      </c>
      <c r="B1478" s="138">
        <f>'Expenditures 15-22'!K235</f>
        <v>17983</v>
      </c>
      <c r="C1478" s="2" t="s">
        <v>593</v>
      </c>
      <c r="D1478" s="2" t="str">
        <f t="shared" si="22"/>
        <v>Error?</v>
      </c>
    </row>
    <row r="1479" spans="1:4">
      <c r="A1479" s="5">
        <v>1418</v>
      </c>
      <c r="B1479" s="138">
        <f>'Expenditures 15-22'!K236</f>
        <v>24560</v>
      </c>
      <c r="C1479" s="2" t="s">
        <v>593</v>
      </c>
      <c r="D1479" s="2" t="str">
        <f t="shared" si="22"/>
        <v>Error?</v>
      </c>
    </row>
    <row r="1480" spans="1:4">
      <c r="A1480" s="5">
        <v>1419</v>
      </c>
      <c r="B1480" s="138">
        <f>'Expenditures 15-22'!K237</f>
        <v>230045</v>
      </c>
      <c r="C1480" s="2" t="s">
        <v>593</v>
      </c>
      <c r="D1480" s="2" t="str">
        <f t="shared" si="22"/>
        <v>Error?</v>
      </c>
    </row>
    <row r="1481" spans="1:4">
      <c r="A1481" s="5">
        <v>1420</v>
      </c>
      <c r="B1481" s="138">
        <f>'Expenditures 15-22'!K238</f>
        <v>424017</v>
      </c>
      <c r="C1481" s="2" t="s">
        <v>593</v>
      </c>
      <c r="D1481" s="2" t="str">
        <f t="shared" si="22"/>
        <v>Error?</v>
      </c>
    </row>
    <row r="1482" spans="1:4">
      <c r="A1482" s="5">
        <v>1421</v>
      </c>
      <c r="B1482" s="138">
        <f>'Expenditures 15-22'!K240</f>
        <v>51897</v>
      </c>
      <c r="C1482" s="2" t="s">
        <v>593</v>
      </c>
      <c r="D1482" s="2" t="str">
        <f t="shared" si="22"/>
        <v>Error?</v>
      </c>
    </row>
    <row r="1483" spans="1:4">
      <c r="A1483" s="5">
        <v>1422</v>
      </c>
      <c r="B1483" s="138">
        <f>'Expenditures 15-22'!K241</f>
        <v>20454</v>
      </c>
      <c r="C1483" s="2" t="s">
        <v>593</v>
      </c>
      <c r="D1483" s="2" t="str">
        <f t="shared" si="22"/>
        <v>Error?</v>
      </c>
    </row>
    <row r="1484" spans="1:4">
      <c r="A1484" s="5">
        <v>1423</v>
      </c>
      <c r="B1484" s="138">
        <f>'Expenditures 15-22'!K242</f>
        <v>1314</v>
      </c>
      <c r="C1484" s="2" t="s">
        <v>593</v>
      </c>
      <c r="D1484" s="2" t="str">
        <f t="shared" si="22"/>
        <v>Error?</v>
      </c>
    </row>
    <row r="1485" spans="1:4">
      <c r="A1485" s="5">
        <v>1424</v>
      </c>
      <c r="B1485" s="138">
        <f>'Expenditures 15-22'!K243</f>
        <v>73665</v>
      </c>
      <c r="C1485" s="2" t="s">
        <v>593</v>
      </c>
      <c r="D1485" s="2" t="str">
        <f t="shared" si="22"/>
        <v>Error?</v>
      </c>
    </row>
    <row r="1486" spans="1:4">
      <c r="A1486" s="5">
        <v>1425</v>
      </c>
      <c r="B1486" s="138">
        <f>'Expenditures 15-22'!K245</f>
        <v>10394</v>
      </c>
      <c r="C1486" s="2" t="s">
        <v>593</v>
      </c>
      <c r="D1486" s="2" t="str">
        <f t="shared" si="22"/>
        <v>Error?</v>
      </c>
    </row>
    <row r="1487" spans="1:4">
      <c r="A1487" s="5">
        <v>1426</v>
      </c>
      <c r="B1487" s="138">
        <f>'Expenditures 15-22'!K246</f>
        <v>22793</v>
      </c>
      <c r="C1487" s="2" t="s">
        <v>593</v>
      </c>
      <c r="D1487" s="2" t="str">
        <f t="shared" si="22"/>
        <v>Error?</v>
      </c>
    </row>
    <row r="1488" spans="1:4">
      <c r="A1488" s="5">
        <v>1427</v>
      </c>
      <c r="B1488" s="138">
        <f>'Expenditures 15-22'!K257</f>
        <v>148870</v>
      </c>
      <c r="C1488" s="2" t="s">
        <v>593</v>
      </c>
      <c r="D1488" s="2" t="str">
        <f t="shared" si="22"/>
        <v>Error?</v>
      </c>
    </row>
    <row r="1489" spans="1:4">
      <c r="A1489" s="5">
        <v>1428</v>
      </c>
      <c r="B1489" s="138">
        <f>'Expenditures 15-22'!K259</f>
        <v>181762</v>
      </c>
      <c r="C1489" s="2" t="s">
        <v>593</v>
      </c>
      <c r="D1489" s="2" t="str">
        <f t="shared" si="22"/>
        <v>Error?</v>
      </c>
    </row>
    <row r="1490" spans="1:4">
      <c r="A1490" s="5">
        <v>1429</v>
      </c>
      <c r="B1490" s="138">
        <f>'Expenditures 15-22'!K260</f>
        <v>1361</v>
      </c>
      <c r="C1490" s="2" t="s">
        <v>593</v>
      </c>
      <c r="D1490" s="2" t="str">
        <f t="shared" si="22"/>
        <v>Error?</v>
      </c>
    </row>
    <row r="1491" spans="1:4">
      <c r="A1491" s="5">
        <v>1430</v>
      </c>
      <c r="B1491" s="138">
        <f>'Expenditures 15-22'!K261</f>
        <v>183123</v>
      </c>
      <c r="C1491" s="2" t="s">
        <v>593</v>
      </c>
      <c r="D1491" s="2" t="str">
        <f t="shared" si="22"/>
        <v>Error?</v>
      </c>
    </row>
    <row r="1492" spans="1:4">
      <c r="A1492" s="5">
        <v>1431</v>
      </c>
      <c r="B1492" s="138">
        <f>'Expenditures 15-22'!K263</f>
        <v>37156</v>
      </c>
      <c r="C1492" s="2" t="s">
        <v>593</v>
      </c>
      <c r="D1492" s="2" t="str">
        <f t="shared" si="22"/>
        <v>Error?</v>
      </c>
    </row>
    <row r="1493" spans="1:4">
      <c r="A1493" s="5">
        <v>1432</v>
      </c>
      <c r="B1493" s="138">
        <f>'Expenditures 15-22'!K264</f>
        <v>52871</v>
      </c>
      <c r="C1493" s="2" t="s">
        <v>593</v>
      </c>
      <c r="D1493" s="2" t="str">
        <f t="shared" si="22"/>
        <v>Error?</v>
      </c>
    </row>
    <row r="1494" spans="1:4">
      <c r="A1494" s="5">
        <v>1433</v>
      </c>
      <c r="B1494" s="138">
        <f>'Expenditures 15-22'!K265</f>
        <v>21332</v>
      </c>
      <c r="C1494" s="2" t="s">
        <v>593</v>
      </c>
      <c r="D1494" s="2" t="str">
        <f t="shared" si="22"/>
        <v>Error?</v>
      </c>
    </row>
    <row r="1495" spans="1:4">
      <c r="A1495" s="5">
        <v>1434</v>
      </c>
      <c r="B1495" s="138">
        <f>'Expenditures 15-22'!K266</f>
        <v>512428</v>
      </c>
      <c r="C1495" s="2" t="s">
        <v>593</v>
      </c>
      <c r="D1495" s="2" t="str">
        <f t="shared" si="22"/>
        <v>Error?</v>
      </c>
    </row>
    <row r="1496" spans="1:4">
      <c r="A1496" s="5">
        <v>1435</v>
      </c>
      <c r="B1496" s="138">
        <f>'Expenditures 15-22'!K267</f>
        <v>85851</v>
      </c>
      <c r="C1496" s="2" t="s">
        <v>593</v>
      </c>
      <c r="D1496" s="2" t="str">
        <f t="shared" si="22"/>
        <v>Error?</v>
      </c>
    </row>
    <row r="1497" spans="1:4">
      <c r="A1497" s="5">
        <v>1436</v>
      </c>
      <c r="B1497" s="138">
        <f>'Expenditures 15-22'!K268</f>
        <v>127710</v>
      </c>
      <c r="C1497" s="2" t="s">
        <v>593</v>
      </c>
      <c r="D1497" s="2" t="str">
        <f t="shared" si="22"/>
        <v>Error?</v>
      </c>
    </row>
    <row r="1498" spans="1:4">
      <c r="A1498" s="5">
        <v>1437</v>
      </c>
      <c r="B1498" s="138">
        <f>'Expenditures 15-22'!K269</f>
        <v>36862</v>
      </c>
      <c r="C1498" s="2" t="s">
        <v>593</v>
      </c>
      <c r="D1498" s="2" t="str">
        <f t="shared" si="22"/>
        <v>Error?</v>
      </c>
    </row>
    <row r="1499" spans="1:4">
      <c r="A1499" s="10">
        <v>1438</v>
      </c>
      <c r="D1499" s="2" t="str">
        <f t="shared" si="22"/>
        <v>OK</v>
      </c>
    </row>
    <row r="1500" spans="1:4">
      <c r="A1500" s="5">
        <v>1439</v>
      </c>
      <c r="B1500" s="138">
        <f>'Expenditures 15-22'!K270</f>
        <v>874210</v>
      </c>
      <c r="C1500" s="2" t="s">
        <v>593</v>
      </c>
      <c r="D1500" s="2" t="str">
        <f t="shared" si="22"/>
        <v>Error?</v>
      </c>
    </row>
    <row r="1501" spans="1:4">
      <c r="A1501" s="5">
        <v>1440</v>
      </c>
      <c r="B1501" s="138">
        <f>'Expenditures 15-22'!K272</f>
        <v>0</v>
      </c>
      <c r="C1501" s="2" t="s">
        <v>593</v>
      </c>
      <c r="D1501" s="2" t="str">
        <f t="shared" si="22"/>
        <v>Error?</v>
      </c>
    </row>
    <row r="1502" spans="1:4">
      <c r="A1502" s="5">
        <v>1441</v>
      </c>
      <c r="B1502" s="138">
        <f>'Expenditures 15-22'!K273</f>
        <v>104146</v>
      </c>
      <c r="C1502" s="2" t="s">
        <v>593</v>
      </c>
      <c r="D1502" s="2" t="str">
        <f t="shared" si="22"/>
        <v>Error?</v>
      </c>
    </row>
    <row r="1503" spans="1:4">
      <c r="A1503" s="5">
        <v>1442</v>
      </c>
      <c r="B1503" s="138">
        <f>'Expenditures 15-22'!K274</f>
        <v>15543</v>
      </c>
      <c r="C1503" s="2" t="s">
        <v>593</v>
      </c>
      <c r="D1503" s="2" t="str">
        <f t="shared" si="22"/>
        <v>Error?</v>
      </c>
    </row>
    <row r="1504" spans="1:4">
      <c r="A1504" s="5">
        <v>1443</v>
      </c>
      <c r="B1504" s="138">
        <f>'Expenditures 15-22'!K275</f>
        <v>58503</v>
      </c>
      <c r="C1504" s="2" t="s">
        <v>593</v>
      </c>
      <c r="D1504" s="2" t="str">
        <f t="shared" si="22"/>
        <v>Error?</v>
      </c>
    </row>
    <row r="1505" spans="1:4">
      <c r="A1505" s="10">
        <v>1444</v>
      </c>
      <c r="D1505" s="2" t="str">
        <f t="shared" si="22"/>
        <v>OK</v>
      </c>
    </row>
    <row r="1506" spans="1:4">
      <c r="A1506" s="5">
        <v>1445</v>
      </c>
      <c r="B1506" s="138">
        <f>'Expenditures 15-22'!K276</f>
        <v>147720</v>
      </c>
      <c r="C1506" s="2" t="s">
        <v>593</v>
      </c>
      <c r="D1506" s="2" t="str">
        <f t="shared" si="22"/>
        <v>Error?</v>
      </c>
    </row>
    <row r="1507" spans="1:4">
      <c r="A1507" s="10">
        <v>1446</v>
      </c>
      <c r="D1507" s="2" t="str">
        <f t="shared" si="22"/>
        <v>OK</v>
      </c>
    </row>
    <row r="1508" spans="1:4">
      <c r="A1508" s="5">
        <v>1447</v>
      </c>
      <c r="B1508" s="138">
        <f>'Expenditures 15-22'!K277</f>
        <v>325912</v>
      </c>
      <c r="C1508" s="2" t="s">
        <v>593</v>
      </c>
      <c r="D1508" s="2" t="str">
        <f t="shared" si="22"/>
        <v>Error?</v>
      </c>
    </row>
    <row r="1509" spans="1:4">
      <c r="A1509" s="5">
        <v>1448</v>
      </c>
      <c r="B1509" s="138">
        <f>'Expenditures 15-22'!K278</f>
        <v>9772</v>
      </c>
      <c r="C1509" s="2" t="s">
        <v>593</v>
      </c>
      <c r="D1509" s="2" t="str">
        <f t="shared" si="22"/>
        <v>Error?</v>
      </c>
    </row>
    <row r="1510" spans="1:4">
      <c r="A1510" s="5">
        <v>1449</v>
      </c>
      <c r="B1510" s="138">
        <f>'Expenditures 15-22'!K279</f>
        <v>2039569</v>
      </c>
      <c r="C1510" s="2" t="s">
        <v>593</v>
      </c>
      <c r="D1510" s="2" t="str">
        <f t="shared" si="22"/>
        <v>Error?</v>
      </c>
    </row>
    <row r="1511" spans="1:4">
      <c r="A1511" s="5">
        <v>1450</v>
      </c>
      <c r="B1511" s="138">
        <f>'Expenditures 15-22'!K280</f>
        <v>443322</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3911421</v>
      </c>
      <c r="C1517" s="2" t="s">
        <v>593</v>
      </c>
      <c r="D1517" s="2" t="str">
        <f t="shared" si="22"/>
        <v>Error?</v>
      </c>
    </row>
    <row r="1518" spans="1:4">
      <c r="A1518" s="5">
        <v>1457</v>
      </c>
      <c r="B1518" s="138">
        <f>'Expenditures 15-22'!K296</f>
        <v>-562871</v>
      </c>
      <c r="C1518" s="2" t="s">
        <v>593</v>
      </c>
      <c r="D1518" s="2" t="str">
        <f t="shared" si="22"/>
        <v>Error?</v>
      </c>
    </row>
    <row r="1519" spans="1:4">
      <c r="A1519" s="5">
        <v>1458</v>
      </c>
      <c r="B1519" s="138">
        <f>'Expenditures 15-22'!C301</f>
        <v>127553</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127553</v>
      </c>
      <c r="C1523" s="2" t="s">
        <v>593</v>
      </c>
      <c r="D1523" s="2" t="str">
        <f t="shared" si="22"/>
        <v>Error?</v>
      </c>
    </row>
    <row r="1524" spans="1:4">
      <c r="A1524" s="5">
        <v>1463</v>
      </c>
      <c r="B1524" s="138">
        <f>'Expenditures 15-22'!C312</f>
        <v>127553</v>
      </c>
      <c r="C1524" s="2" t="s">
        <v>593</v>
      </c>
      <c r="D1524" s="2" t="str">
        <f t="shared" si="22"/>
        <v>Error?</v>
      </c>
    </row>
    <row r="1525" spans="1:4">
      <c r="A1525" s="5">
        <v>1464</v>
      </c>
      <c r="B1525" s="138">
        <f>'Expenditures 15-22'!D301</f>
        <v>6997</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6997</v>
      </c>
      <c r="C1529" s="2" t="s">
        <v>593</v>
      </c>
      <c r="D1529" s="2" t="str">
        <f t="shared" si="22"/>
        <v>Error?</v>
      </c>
    </row>
    <row r="1530" spans="1:4">
      <c r="A1530" s="5">
        <v>1469</v>
      </c>
      <c r="B1530" s="138">
        <f>'Expenditures 15-22'!D312</f>
        <v>6997</v>
      </c>
      <c r="C1530" s="2" t="s">
        <v>593</v>
      </c>
      <c r="D1530" s="2" t="str">
        <f t="shared" si="22"/>
        <v>Error?</v>
      </c>
    </row>
    <row r="1531" spans="1:4">
      <c r="A1531" s="5">
        <v>1470</v>
      </c>
      <c r="B1531" s="138">
        <f>'Expenditures 15-22'!E301</f>
        <v>284117</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284117</v>
      </c>
      <c r="C1535" s="2" t="s">
        <v>593</v>
      </c>
      <c r="D1535" s="2" t="str">
        <f t="shared" ref="D1535:D1598" si="23">IF(ISBLANK(B1535),"OK",IF(A1535-B1535=0,"OK","Error?"))</f>
        <v>Error?</v>
      </c>
    </row>
    <row r="1536" spans="1:4">
      <c r="A1536" s="5">
        <v>1475</v>
      </c>
      <c r="B1536" s="138">
        <f>'Expenditures 15-22'!E312</f>
        <v>284117</v>
      </c>
      <c r="C1536" s="2" t="s">
        <v>593</v>
      </c>
      <c r="D1536" s="2" t="str">
        <f t="shared" si="23"/>
        <v>Error?</v>
      </c>
    </row>
    <row r="1537" spans="1:4">
      <c r="A1537" s="5">
        <v>1476</v>
      </c>
      <c r="B1537" s="138">
        <f>'Expenditures 15-22'!F301</f>
        <v>81747</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81747</v>
      </c>
      <c r="C1541" s="2" t="s">
        <v>593</v>
      </c>
      <c r="D1541" s="2" t="str">
        <f t="shared" si="23"/>
        <v>Error?</v>
      </c>
    </row>
    <row r="1542" spans="1:4">
      <c r="A1542" s="5">
        <v>1481</v>
      </c>
      <c r="B1542" s="138">
        <f>'Expenditures 15-22'!F312</f>
        <v>81747</v>
      </c>
      <c r="C1542" s="2" t="s">
        <v>593</v>
      </c>
      <c r="D1542" s="2" t="str">
        <f t="shared" si="23"/>
        <v>Error?</v>
      </c>
    </row>
    <row r="1543" spans="1:4">
      <c r="A1543" s="5">
        <v>1482</v>
      </c>
      <c r="B1543" s="138">
        <f>'Expenditures 15-22'!G301</f>
        <v>107692</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107692</v>
      </c>
      <c r="C1547" s="2" t="s">
        <v>593</v>
      </c>
      <c r="D1547" s="2" t="str">
        <f t="shared" si="23"/>
        <v>Error?</v>
      </c>
    </row>
    <row r="1548" spans="1:4">
      <c r="A1548" s="5">
        <v>1487</v>
      </c>
      <c r="B1548" s="138">
        <f>'Expenditures 15-22'!G312</f>
        <v>107692</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608106</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608106</v>
      </c>
      <c r="C1559" s="2" t="s">
        <v>593</v>
      </c>
      <c r="D1559" s="2" t="str">
        <f t="shared" si="23"/>
        <v>Error?</v>
      </c>
    </row>
    <row r="1560" spans="1:4">
      <c r="A1560" s="5">
        <v>1499</v>
      </c>
      <c r="B1560" s="138">
        <f>'Expenditures 15-22'!K312</f>
        <v>608106</v>
      </c>
      <c r="C1560" s="2" t="s">
        <v>593</v>
      </c>
      <c r="D1560" s="2" t="str">
        <f t="shared" si="23"/>
        <v>Error?</v>
      </c>
    </row>
    <row r="1561" spans="1:4">
      <c r="A1561" s="5">
        <v>1500</v>
      </c>
      <c r="B1561" s="138">
        <f>'Expenditures 15-22'!K313</f>
        <v>-602921</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4683746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22249625</v>
      </c>
      <c r="C1630" s="2" t="s">
        <v>593</v>
      </c>
      <c r="D1630" s="2" t="str">
        <f t="shared" si="24"/>
        <v>Error?</v>
      </c>
    </row>
    <row r="1631" spans="1:4">
      <c r="A1631" s="5">
        <v>1570</v>
      </c>
      <c r="B1631" s="138">
        <f>'Acct Summary 7-8'!D79</f>
        <v>1955182</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3541966</v>
      </c>
      <c r="C1644" s="2" t="s">
        <v>593</v>
      </c>
      <c r="D1644" s="2" t="str">
        <f t="shared" si="24"/>
        <v>Error?</v>
      </c>
    </row>
    <row r="1645" spans="1:4">
      <c r="A1645" s="5">
        <v>1584</v>
      </c>
      <c r="B1645" s="138">
        <f>'Acct Summary 7-8'!E79</f>
        <v>3589072</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4082473</v>
      </c>
      <c r="C1658" s="2" t="s">
        <v>593</v>
      </c>
      <c r="D1658" s="2" t="str">
        <f t="shared" si="24"/>
        <v>Error?</v>
      </c>
    </row>
    <row r="1659" spans="1:4">
      <c r="A1659" s="5">
        <v>1598</v>
      </c>
      <c r="B1659" s="138">
        <f>'Acct Summary 7-8'!F79</f>
        <v>724649</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1260854</v>
      </c>
      <c r="C1672" s="2" t="s">
        <v>593</v>
      </c>
      <c r="D1672" s="2" t="str">
        <f t="shared" si="25"/>
        <v>Error?</v>
      </c>
    </row>
    <row r="1673" spans="1:4">
      <c r="A1673" s="5">
        <v>1612</v>
      </c>
      <c r="B1673" s="138">
        <f>'Acct Summary 7-8'!G79</f>
        <v>1191000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665198</v>
      </c>
      <c r="C1686" s="2" t="s">
        <v>593</v>
      </c>
      <c r="D1686" s="2" t="str">
        <f t="shared" si="25"/>
        <v>Error?</v>
      </c>
    </row>
    <row r="1687" spans="1:4">
      <c r="A1687" s="5">
        <v>1626</v>
      </c>
      <c r="B1687" s="138">
        <f>'Acct Summary 7-8'!H79</f>
        <v>1653669</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1050748</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90570660</v>
      </c>
      <c r="C1744" s="2" t="s">
        <v>593</v>
      </c>
      <c r="D1744" s="2" t="str">
        <f t="shared" si="26"/>
        <v>Error?</v>
      </c>
    </row>
    <row r="1745" spans="1:5">
      <c r="A1745" s="5">
        <v>1684</v>
      </c>
      <c r="B1745" s="138">
        <f>'Tax Sched 23'!B5</f>
        <v>8022304</v>
      </c>
      <c r="C1745" s="2" t="s">
        <v>593</v>
      </c>
      <c r="D1745" s="2" t="str">
        <f t="shared" si="26"/>
        <v>Error?</v>
      </c>
    </row>
    <row r="1746" spans="1:5">
      <c r="A1746" s="5">
        <v>1685</v>
      </c>
      <c r="B1746" s="138">
        <f>'Tax Sched 23'!B6</f>
        <v>6069400</v>
      </c>
      <c r="C1746" s="2" t="s">
        <v>593</v>
      </c>
      <c r="D1746" s="2" t="str">
        <f t="shared" si="26"/>
        <v>Error?</v>
      </c>
    </row>
    <row r="1747" spans="1:5">
      <c r="A1747" s="5">
        <v>1686</v>
      </c>
      <c r="B1747" s="138">
        <f>'Tax Sched 23'!B7</f>
        <v>3097254</v>
      </c>
      <c r="C1747" s="2" t="s">
        <v>593</v>
      </c>
      <c r="D1747" s="2" t="str">
        <f t="shared" si="26"/>
        <v>Error?</v>
      </c>
    </row>
    <row r="1748" spans="1:5">
      <c r="A1748" s="5">
        <v>1687</v>
      </c>
      <c r="B1748" s="138">
        <f>'Tax Sched 23'!B8</f>
        <v>957981</v>
      </c>
      <c r="C1748" s="2" t="s">
        <v>593</v>
      </c>
      <c r="D1748" s="2" t="str">
        <f t="shared" si="26"/>
        <v>Error?</v>
      </c>
    </row>
    <row r="1749" spans="1:5">
      <c r="A1749" s="5">
        <v>1688</v>
      </c>
      <c r="B1749" s="138">
        <f>'Tax Sched 23'!B10</f>
        <v>0</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1060659</v>
      </c>
      <c r="C1752" s="2" t="s">
        <v>593</v>
      </c>
      <c r="D1752" s="2" t="str">
        <f t="shared" si="26"/>
        <v>Error?</v>
      </c>
    </row>
    <row r="1753" spans="1:5">
      <c r="A1753" s="5">
        <v>1692</v>
      </c>
      <c r="B1753" s="138">
        <f>'Tax Sched 23'!B12</f>
        <v>109842</v>
      </c>
      <c r="C1753" s="2" t="s">
        <v>593</v>
      </c>
      <c r="D1753" s="2" t="str">
        <f t="shared" si="26"/>
        <v>Error?</v>
      </c>
    </row>
    <row r="1754" spans="1:5">
      <c r="A1754" s="5">
        <v>1693</v>
      </c>
      <c r="B1754" s="138">
        <f>'Tax Sched 23'!B14</f>
        <v>2962007</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114768589</v>
      </c>
      <c r="C1759" s="2" t="s">
        <v>593</v>
      </c>
      <c r="D1759" s="2" t="str">
        <f t="shared" si="26"/>
        <v>Error?</v>
      </c>
    </row>
    <row r="1760" spans="1:5">
      <c r="A1760" s="5">
        <v>1699</v>
      </c>
      <c r="B1760" s="138">
        <f>'Tax Sched 23'!D4</f>
        <v>44932930</v>
      </c>
      <c r="C1760" s="2" t="s">
        <v>593</v>
      </c>
      <c r="D1760" s="2" t="str">
        <f t="shared" si="26"/>
        <v>Error?</v>
      </c>
    </row>
    <row r="1761" spans="1:5">
      <c r="A1761" s="5">
        <v>1700</v>
      </c>
      <c r="B1761" s="138">
        <f>'Tax Sched 23'!D5</f>
        <v>5293962</v>
      </c>
      <c r="C1761" s="2" t="s">
        <v>593</v>
      </c>
      <c r="D1761" s="2" t="str">
        <f t="shared" si="26"/>
        <v>Error?</v>
      </c>
    </row>
    <row r="1762" spans="1:5" s="8" customFormat="1">
      <c r="A1762" s="5">
        <v>1701</v>
      </c>
      <c r="B1762" s="138">
        <f>'Tax Sched 23'!D6</f>
        <v>2976891</v>
      </c>
      <c r="C1762" s="2" t="s">
        <v>593</v>
      </c>
      <c r="D1762" s="2" t="str">
        <f t="shared" si="26"/>
        <v>Error?</v>
      </c>
      <c r="E1762" s="9"/>
    </row>
    <row r="1763" spans="1:5">
      <c r="A1763" s="5">
        <v>1702</v>
      </c>
      <c r="B1763" s="138">
        <f>'Tax Sched 23'!D7</f>
        <v>833206</v>
      </c>
      <c r="C1763" s="2" t="s">
        <v>593</v>
      </c>
      <c r="D1763" s="2" t="str">
        <f t="shared" si="26"/>
        <v>Error?</v>
      </c>
    </row>
    <row r="1764" spans="1:5">
      <c r="A1764" s="5">
        <v>1703</v>
      </c>
      <c r="B1764" s="138">
        <f>'Tax Sched 23'!D8</f>
        <v>-323973</v>
      </c>
      <c r="C1764" s="2" t="s">
        <v>593</v>
      </c>
      <c r="D1764" s="2" t="str">
        <f t="shared" si="26"/>
        <v>Error?</v>
      </c>
    </row>
    <row r="1765" spans="1:5">
      <c r="A1765" s="5">
        <v>1704</v>
      </c>
      <c r="B1765" s="138">
        <f>'Tax Sched 23'!D10</f>
        <v>0</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1055531</v>
      </c>
      <c r="C1768" s="2" t="s">
        <v>593</v>
      </c>
      <c r="D1768" s="2" t="str">
        <f t="shared" si="26"/>
        <v>Error?</v>
      </c>
    </row>
    <row r="1769" spans="1:5">
      <c r="A1769" s="5">
        <v>1708</v>
      </c>
      <c r="B1769" s="138">
        <f>'Tax Sched 23'!D12</f>
        <v>58564</v>
      </c>
      <c r="C1769" s="2" t="s">
        <v>593</v>
      </c>
      <c r="D1769" s="2" t="str">
        <f t="shared" si="26"/>
        <v>Error?</v>
      </c>
    </row>
    <row r="1770" spans="1:5">
      <c r="A1770" s="5">
        <v>1709</v>
      </c>
      <c r="B1770" s="138">
        <f>'Tax Sched 23'!D14</f>
        <v>1452642</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57655870</v>
      </c>
      <c r="C1775" s="2" t="s">
        <v>593</v>
      </c>
      <c r="D1775" s="2" t="str">
        <f t="shared" si="26"/>
        <v>Error?</v>
      </c>
    </row>
    <row r="1776" spans="1:5">
      <c r="A1776" s="5">
        <v>1715</v>
      </c>
      <c r="B1776" s="138">
        <f>'Tax Sched 23'!C4</f>
        <v>45637730</v>
      </c>
      <c r="D1776" s="2" t="str">
        <f t="shared" si="26"/>
        <v>Error?</v>
      </c>
    </row>
    <row r="1777" spans="1:4">
      <c r="A1777" s="5">
        <v>1716</v>
      </c>
      <c r="B1777" s="138">
        <f>'Tax Sched 23'!C5</f>
        <v>2728342</v>
      </c>
      <c r="D1777" s="2" t="str">
        <f t="shared" si="26"/>
        <v>Error?</v>
      </c>
    </row>
    <row r="1778" spans="1:4">
      <c r="A1778" s="5">
        <v>1717</v>
      </c>
      <c r="B1778" s="138">
        <f>'Tax Sched 23'!C6</f>
        <v>3092509</v>
      </c>
      <c r="D1778" s="2" t="str">
        <f t="shared" si="26"/>
        <v>Error?</v>
      </c>
    </row>
    <row r="1779" spans="1:4">
      <c r="A1779" s="5">
        <v>1718</v>
      </c>
      <c r="B1779" s="138">
        <f>'Tax Sched 23'!C7</f>
        <v>2264048</v>
      </c>
      <c r="D1779" s="2" t="str">
        <f t="shared" si="26"/>
        <v>Error?</v>
      </c>
    </row>
    <row r="1780" spans="1:4">
      <c r="A1780" s="5">
        <v>1719</v>
      </c>
      <c r="B1780" s="138">
        <f>'Tax Sched 23'!C8</f>
        <v>1281954</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5128</v>
      </c>
      <c r="D1784" s="2" t="str">
        <f t="shared" si="26"/>
        <v>Error?</v>
      </c>
    </row>
    <row r="1785" spans="1:4">
      <c r="A1785" s="5">
        <v>1724</v>
      </c>
      <c r="B1785" s="138">
        <f>'Tax Sched 23'!C12</f>
        <v>51278</v>
      </c>
      <c r="D1785" s="2" t="str">
        <f t="shared" si="26"/>
        <v>Error?</v>
      </c>
    </row>
    <row r="1786" spans="1:4">
      <c r="A1786" s="5">
        <v>1725</v>
      </c>
      <c r="B1786" s="138">
        <f>'Tax Sched 23'!C14</f>
        <v>1509365</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57112719</v>
      </c>
      <c r="C1791" s="2" t="s">
        <v>593</v>
      </c>
      <c r="D1791" s="2" t="str">
        <f t="shared" ref="D1791:D1854" si="27">IF(ISBLANK(B1791),"OK",IF(A1791-B1791=0,"OK","Error?"))</f>
        <v>Error?</v>
      </c>
    </row>
    <row r="1792" spans="1:4">
      <c r="A1792" s="5">
        <v>1731</v>
      </c>
      <c r="B1792" s="138">
        <f>'Tax Sched 23'!F4</f>
        <v>43362576</v>
      </c>
      <c r="C1792" s="2" t="s">
        <v>593</v>
      </c>
      <c r="D1792" s="2" t="str">
        <f t="shared" si="27"/>
        <v>Error?</v>
      </c>
    </row>
    <row r="1793" spans="1:4">
      <c r="A1793" s="5">
        <v>1732</v>
      </c>
      <c r="B1793" s="138">
        <f>'Tax Sched 23'!F5</f>
        <v>2592327</v>
      </c>
      <c r="C1793" s="2" t="s">
        <v>593</v>
      </c>
      <c r="D1793" s="2" t="str">
        <f t="shared" si="27"/>
        <v>Error?</v>
      </c>
    </row>
    <row r="1794" spans="1:4">
      <c r="A1794" s="5">
        <v>1733</v>
      </c>
      <c r="B1794" s="138">
        <f>'Tax Sched 23'!F6</f>
        <v>2938340</v>
      </c>
      <c r="C1794" s="2" t="s">
        <v>593</v>
      </c>
      <c r="D1794" s="2" t="str">
        <f t="shared" si="27"/>
        <v>Error?</v>
      </c>
    </row>
    <row r="1795" spans="1:4">
      <c r="A1795" s="5">
        <v>1734</v>
      </c>
      <c r="B1795" s="138">
        <f>'Tax Sched 23'!F7</f>
        <v>2151180</v>
      </c>
      <c r="C1795" s="2" t="s">
        <v>593</v>
      </c>
      <c r="D1795" s="2" t="str">
        <f t="shared" si="27"/>
        <v>Error?</v>
      </c>
    </row>
    <row r="1796" spans="1:4">
      <c r="A1796" s="5">
        <v>1735</v>
      </c>
      <c r="B1796" s="138">
        <f>'Tax Sched 23'!F8</f>
        <v>1218046</v>
      </c>
      <c r="C1796" s="2" t="s">
        <v>593</v>
      </c>
      <c r="D1796" s="2" t="str">
        <f t="shared" si="27"/>
        <v>Error?</v>
      </c>
    </row>
    <row r="1797" spans="1:4">
      <c r="A1797" s="5">
        <v>1736</v>
      </c>
      <c r="B1797" s="138">
        <f>'Tax Sched 23'!F10</f>
        <v>0</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4872</v>
      </c>
      <c r="C1800" s="2" t="s">
        <v>593</v>
      </c>
      <c r="D1800" s="2" t="str">
        <f t="shared" si="27"/>
        <v>Error?</v>
      </c>
    </row>
    <row r="1801" spans="1:4">
      <c r="A1801" s="5">
        <v>1740</v>
      </c>
      <c r="B1801" s="138">
        <f>'Tax Sched 23'!F12</f>
        <v>48722</v>
      </c>
      <c r="C1801" s="2" t="s">
        <v>593</v>
      </c>
      <c r="D1801" s="2" t="str">
        <f t="shared" si="27"/>
        <v>Error?</v>
      </c>
    </row>
    <row r="1802" spans="1:4">
      <c r="A1802" s="5">
        <v>1741</v>
      </c>
      <c r="B1802" s="138">
        <f>'Tax Sched 23'!F14</f>
        <v>1434120</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54265510</v>
      </c>
      <c r="C1807" s="2" t="s">
        <v>593</v>
      </c>
      <c r="D1807" s="2" t="str">
        <f t="shared" si="27"/>
        <v>Error?</v>
      </c>
    </row>
    <row r="1808" spans="1:4">
      <c r="A1808" s="5">
        <v>1747</v>
      </c>
      <c r="B1808" s="138">
        <f>'Tax Sched 23'!E4</f>
        <v>89000306</v>
      </c>
      <c r="D1808" s="2" t="str">
        <f t="shared" si="27"/>
        <v>Error?</v>
      </c>
    </row>
    <row r="1809" spans="1:4">
      <c r="A1809" s="5">
        <v>1748</v>
      </c>
      <c r="B1809" s="138">
        <f>'Tax Sched 23'!E5</f>
        <v>5320669</v>
      </c>
      <c r="D1809" s="2" t="str">
        <f t="shared" si="27"/>
        <v>Error?</v>
      </c>
    </row>
    <row r="1810" spans="1:4">
      <c r="A1810" s="5">
        <v>1749</v>
      </c>
      <c r="B1810" s="138">
        <f>'Tax Sched 23'!E6</f>
        <v>6030849</v>
      </c>
      <c r="D1810" s="2" t="str">
        <f t="shared" si="27"/>
        <v>Error?</v>
      </c>
    </row>
    <row r="1811" spans="1:4">
      <c r="A1811" s="5">
        <v>1750</v>
      </c>
      <c r="B1811" s="138">
        <f>'Tax Sched 23'!E7</f>
        <v>4415228</v>
      </c>
      <c r="D1811" s="2" t="str">
        <f t="shared" si="27"/>
        <v>Error?</v>
      </c>
    </row>
    <row r="1812" spans="1:4">
      <c r="A1812" s="5">
        <v>1751</v>
      </c>
      <c r="B1812" s="138">
        <f>'Tax Sched 23'!E8</f>
        <v>2500000</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10000</v>
      </c>
      <c r="D1816" s="2" t="str">
        <f t="shared" si="27"/>
        <v>Error?</v>
      </c>
    </row>
    <row r="1817" spans="1:4">
      <c r="A1817" s="5">
        <v>1756</v>
      </c>
      <c r="B1817" s="138">
        <f>'Tax Sched 23'!E12</f>
        <v>100000</v>
      </c>
      <c r="D1817" s="2" t="str">
        <f t="shared" si="27"/>
        <v>Error?</v>
      </c>
    </row>
    <row r="1818" spans="1:4">
      <c r="A1818" s="5">
        <v>1757</v>
      </c>
      <c r="B1818" s="138">
        <f>'Tax Sched 23'!E14</f>
        <v>2943485</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111378229</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77526208</v>
      </c>
      <c r="C1939" s="2" t="s">
        <v>593</v>
      </c>
      <c r="D1939" s="2" t="str">
        <f t="shared" si="29"/>
        <v>Error?</v>
      </c>
    </row>
    <row r="1940" spans="1:5">
      <c r="A1940" s="5">
        <v>1879</v>
      </c>
      <c r="B1940" s="138">
        <f>'Short-Term Long-Term Debt 24'!F49</f>
        <v>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2962007</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2962007</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593</v>
      </c>
      <c r="D1982" s="2" t="str">
        <f t="shared" si="29"/>
        <v>Error?</v>
      </c>
    </row>
    <row r="1983" spans="1:5">
      <c r="A1983" s="5">
        <v>1922</v>
      </c>
      <c r="B1983" s="138">
        <f>'Rest Tax Levies-Tort Im 25'!H24</f>
        <v>2962007</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2966736</v>
      </c>
      <c r="D2008" s="2" t="str">
        <f t="shared" si="30"/>
        <v>Error?</v>
      </c>
    </row>
    <row r="2009" spans="1:4">
      <c r="A2009" s="5">
        <v>1948</v>
      </c>
      <c r="B2009" s="138">
        <f>'Cap Outlay Deprec 26'!C8</f>
        <v>136096485</v>
      </c>
      <c r="D2009" s="2" t="str">
        <f t="shared" si="30"/>
        <v>Error?</v>
      </c>
    </row>
    <row r="2010" spans="1:4">
      <c r="A2010" s="5">
        <v>1949</v>
      </c>
      <c r="B2010" s="138">
        <f>'Cap Outlay Deprec 26'!C10</f>
        <v>0</v>
      </c>
      <c r="D2010" s="2" t="str">
        <f t="shared" si="30"/>
        <v>Error?</v>
      </c>
    </row>
    <row r="2011" spans="1:4">
      <c r="A2011" s="5">
        <v>1950</v>
      </c>
      <c r="B2011" s="138">
        <f>'Cap Outlay Deprec 26'!C12</f>
        <v>11262330</v>
      </c>
      <c r="D2011" s="2" t="str">
        <f t="shared" si="30"/>
        <v>Error?</v>
      </c>
    </row>
    <row r="2012" spans="1:4">
      <c r="A2012" s="5">
        <v>1951</v>
      </c>
      <c r="B2012" s="138">
        <f>'Cap Outlay Deprec 26'!C13</f>
        <v>0</v>
      </c>
      <c r="D2012" s="2" t="str">
        <f t="shared" si="30"/>
        <v>Error?</v>
      </c>
    </row>
    <row r="2013" spans="1:4">
      <c r="A2013" s="5">
        <v>1952</v>
      </c>
      <c r="B2013" s="138">
        <f>'Cap Outlay Deprec 26'!C16</f>
        <v>150325551</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250656</v>
      </c>
      <c r="D2015" s="2" t="str">
        <f t="shared" si="30"/>
        <v>Error?</v>
      </c>
    </row>
    <row r="2016" spans="1:4">
      <c r="A2016" s="5">
        <v>1955</v>
      </c>
      <c r="B2016" s="138">
        <f>'Cap Outlay Deprec 26'!D10</f>
        <v>0</v>
      </c>
      <c r="D2016" s="2" t="str">
        <f t="shared" si="30"/>
        <v>Error?</v>
      </c>
    </row>
    <row r="2017" spans="1:4">
      <c r="A2017" s="5">
        <v>1956</v>
      </c>
      <c r="B2017" s="138">
        <f>'Cap Outlay Deprec 26'!D12</f>
        <v>744695</v>
      </c>
      <c r="D2017" s="2" t="str">
        <f t="shared" si="30"/>
        <v>Error?</v>
      </c>
    </row>
    <row r="2018" spans="1:4">
      <c r="A2018" s="5">
        <v>1957</v>
      </c>
      <c r="B2018" s="138">
        <f>'Cap Outlay Deprec 26'!D13</f>
        <v>0</v>
      </c>
      <c r="D2018" s="2" t="str">
        <f t="shared" si="30"/>
        <v>Error?</v>
      </c>
    </row>
    <row r="2019" spans="1:4">
      <c r="A2019" s="5">
        <v>1958</v>
      </c>
      <c r="B2019" s="138">
        <f>'Cap Outlay Deprec 26'!D16</f>
        <v>995351</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18746</v>
      </c>
      <c r="D2021" s="2" t="str">
        <f t="shared" si="30"/>
        <v>Error?</v>
      </c>
    </row>
    <row r="2022" spans="1:4">
      <c r="A2022" s="5">
        <v>1961</v>
      </c>
      <c r="B2022" s="138">
        <f>'Cap Outlay Deprec 26'!E10</f>
        <v>0</v>
      </c>
      <c r="D2022" s="2" t="str">
        <f t="shared" si="30"/>
        <v>Error?</v>
      </c>
    </row>
    <row r="2023" spans="1:4">
      <c r="A2023" s="5">
        <v>1962</v>
      </c>
      <c r="B2023" s="138">
        <f>'Cap Outlay Deprec 26'!E12</f>
        <v>36781</v>
      </c>
      <c r="D2023" s="2" t="str">
        <f t="shared" si="30"/>
        <v>Error?</v>
      </c>
    </row>
    <row r="2024" spans="1:4">
      <c r="A2024" s="5">
        <v>1963</v>
      </c>
      <c r="B2024" s="138">
        <f>'Cap Outlay Deprec 26'!E13</f>
        <v>0</v>
      </c>
      <c r="D2024" s="2" t="str">
        <f t="shared" si="30"/>
        <v>Error?</v>
      </c>
    </row>
    <row r="2025" spans="1:4">
      <c r="A2025" s="5">
        <v>1964</v>
      </c>
      <c r="B2025" s="138">
        <f>'Cap Outlay Deprec 26'!E16</f>
        <v>55527</v>
      </c>
      <c r="C2025" s="2" t="s">
        <v>593</v>
      </c>
      <c r="D2025" s="2" t="str">
        <f t="shared" si="30"/>
        <v>Error?</v>
      </c>
    </row>
    <row r="2026" spans="1:4">
      <c r="A2026" s="5">
        <v>1965</v>
      </c>
      <c r="B2026" s="138">
        <f>'Cap Outlay Deprec 26'!F5</f>
        <v>2966736</v>
      </c>
      <c r="C2026" s="2" t="s">
        <v>593</v>
      </c>
      <c r="D2026" s="2" t="str">
        <f t="shared" si="30"/>
        <v>Error?</v>
      </c>
    </row>
    <row r="2027" spans="1:4">
      <c r="A2027" s="5">
        <v>1966</v>
      </c>
      <c r="B2027" s="138">
        <f>'Cap Outlay Deprec 26'!F8</f>
        <v>136328395</v>
      </c>
      <c r="C2027" s="2" t="s">
        <v>593</v>
      </c>
      <c r="D2027" s="2" t="str">
        <f t="shared" si="30"/>
        <v>Error?</v>
      </c>
    </row>
    <row r="2028" spans="1:4">
      <c r="A2028" s="5">
        <v>1967</v>
      </c>
      <c r="B2028" s="138">
        <f>'Cap Outlay Deprec 26'!F10</f>
        <v>0</v>
      </c>
      <c r="C2028" s="2" t="s">
        <v>593</v>
      </c>
      <c r="D2028" s="2" t="str">
        <f t="shared" si="30"/>
        <v>Error?</v>
      </c>
    </row>
    <row r="2029" spans="1:4">
      <c r="A2029" s="5">
        <v>1968</v>
      </c>
      <c r="B2029" s="138">
        <f>'Cap Outlay Deprec 26'!F12</f>
        <v>11970244</v>
      </c>
      <c r="C2029" s="2" t="s">
        <v>593</v>
      </c>
      <c r="D2029" s="2" t="str">
        <f t="shared" si="30"/>
        <v>Error?</v>
      </c>
    </row>
    <row r="2030" spans="1:4">
      <c r="A2030" s="5">
        <v>1969</v>
      </c>
      <c r="B2030" s="138">
        <f>'Cap Outlay Deprec 26'!F13</f>
        <v>0</v>
      </c>
      <c r="C2030" s="2" t="s">
        <v>593</v>
      </c>
      <c r="D2030" s="2" t="str">
        <f t="shared" si="30"/>
        <v>Error?</v>
      </c>
    </row>
    <row r="2031" spans="1:4">
      <c r="A2031" s="5">
        <v>1970</v>
      </c>
      <c r="B2031" s="138">
        <f>'Cap Outlay Deprec 26'!F16</f>
        <v>151265375</v>
      </c>
      <c r="C2031" s="2" t="s">
        <v>593</v>
      </c>
      <c r="D2031" s="2" t="str">
        <f t="shared" si="30"/>
        <v>Error?</v>
      </c>
    </row>
    <row r="2032" spans="1:4">
      <c r="A2032" s="10">
        <v>1971</v>
      </c>
      <c r="D2032" s="2" t="str">
        <f t="shared" si="30"/>
        <v>OK</v>
      </c>
    </row>
    <row r="2033" spans="1:4">
      <c r="A2033" s="5">
        <v>1972</v>
      </c>
      <c r="B2033" s="138">
        <f>'Cap Outlay Deprec 26'!H8</f>
        <v>48680004</v>
      </c>
      <c r="D2033" s="2" t="str">
        <f t="shared" si="30"/>
        <v>Error?</v>
      </c>
    </row>
    <row r="2034" spans="1:4">
      <c r="A2034" s="5">
        <v>1973</v>
      </c>
      <c r="B2034" s="138">
        <f>'Cap Outlay Deprec 26'!H10</f>
        <v>0</v>
      </c>
      <c r="D2034" s="2" t="str">
        <f t="shared" si="30"/>
        <v>Error?</v>
      </c>
    </row>
    <row r="2035" spans="1:4">
      <c r="A2035" s="5">
        <v>1974</v>
      </c>
      <c r="B2035" s="138">
        <f>'Cap Outlay Deprec 26'!H12</f>
        <v>8161424</v>
      </c>
      <c r="D2035" s="2" t="str">
        <f t="shared" si="30"/>
        <v>Error?</v>
      </c>
    </row>
    <row r="2036" spans="1:4">
      <c r="A2036" s="5">
        <v>1975</v>
      </c>
      <c r="B2036" s="138">
        <f>'Cap Outlay Deprec 26'!H13</f>
        <v>0</v>
      </c>
      <c r="D2036" s="2" t="str">
        <f t="shared" si="30"/>
        <v>Error?</v>
      </c>
    </row>
    <row r="2037" spans="1:4">
      <c r="A2037" s="5">
        <v>1976</v>
      </c>
      <c r="B2037" s="138">
        <f>'Cap Outlay Deprec 26'!H16</f>
        <v>56841428</v>
      </c>
      <c r="C2037" s="2" t="s">
        <v>593</v>
      </c>
      <c r="D2037" s="2" t="str">
        <f t="shared" si="30"/>
        <v>Error?</v>
      </c>
    </row>
    <row r="2038" spans="1:4">
      <c r="A2038" s="10">
        <v>1977</v>
      </c>
      <c r="D2038" s="2" t="str">
        <f t="shared" si="30"/>
        <v>OK</v>
      </c>
    </row>
    <row r="2039" spans="1:4">
      <c r="A2039" s="5">
        <v>1978</v>
      </c>
      <c r="B2039" s="138">
        <f>'Cap Outlay Deprec 26'!I8</f>
        <v>2268571</v>
      </c>
      <c r="D2039" s="2" t="str">
        <f t="shared" si="30"/>
        <v>Error?</v>
      </c>
    </row>
    <row r="2040" spans="1:4">
      <c r="A2040" s="5">
        <v>1979</v>
      </c>
      <c r="B2040" s="138">
        <f>'Cap Outlay Deprec 26'!I10</f>
        <v>0</v>
      </c>
      <c r="D2040" s="2" t="str">
        <f t="shared" si="30"/>
        <v>Error?</v>
      </c>
    </row>
    <row r="2041" spans="1:4">
      <c r="A2041" s="5">
        <v>1980</v>
      </c>
      <c r="B2041" s="138">
        <f>'Cap Outlay Deprec 26'!I12</f>
        <v>584087</v>
      </c>
      <c r="D2041" s="2" t="str">
        <f t="shared" si="30"/>
        <v>Error?</v>
      </c>
    </row>
    <row r="2042" spans="1:4">
      <c r="A2042" s="5">
        <v>1981</v>
      </c>
      <c r="B2042" s="138">
        <f>'Cap Outlay Deprec 26'!I13</f>
        <v>0</v>
      </c>
      <c r="D2042" s="2" t="str">
        <f t="shared" si="30"/>
        <v>Error?</v>
      </c>
    </row>
    <row r="2043" spans="1:4">
      <c r="A2043" s="5">
        <v>1982</v>
      </c>
      <c r="B2043" s="138">
        <f>'Cap Outlay Deprec 26'!I16</f>
        <v>2852658</v>
      </c>
      <c r="C2043" s="2" t="s">
        <v>593</v>
      </c>
      <c r="D2043" s="2" t="str">
        <f t="shared" si="30"/>
        <v>Error?</v>
      </c>
    </row>
    <row r="2044" spans="1:4">
      <c r="A2044" s="10">
        <v>1983</v>
      </c>
      <c r="D2044" s="2" t="str">
        <f t="shared" si="30"/>
        <v>OK</v>
      </c>
    </row>
    <row r="2045" spans="1:4">
      <c r="A2045" s="5">
        <v>1984</v>
      </c>
      <c r="B2045" s="138">
        <f>'Cap Outlay Deprec 26'!J8</f>
        <v>873</v>
      </c>
      <c r="D2045" s="2" t="str">
        <f t="shared" si="30"/>
        <v>Error?</v>
      </c>
    </row>
    <row r="2046" spans="1:4">
      <c r="A2046" s="5">
        <v>1985</v>
      </c>
      <c r="B2046" s="138">
        <f>'Cap Outlay Deprec 26'!J10</f>
        <v>0</v>
      </c>
      <c r="D2046" s="2" t="str">
        <f t="shared" si="30"/>
        <v>Error?</v>
      </c>
    </row>
    <row r="2047" spans="1:4">
      <c r="A2047" s="5">
        <v>1986</v>
      </c>
      <c r="B2047" s="138">
        <f>'Cap Outlay Deprec 26'!J12</f>
        <v>15149</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16022</v>
      </c>
      <c r="C2049" s="2" t="s">
        <v>593</v>
      </c>
      <c r="D2049" s="2" t="str">
        <f t="shared" si="31"/>
        <v>Error?</v>
      </c>
    </row>
    <row r="2050" spans="1:4">
      <c r="A2050" s="10">
        <v>1989</v>
      </c>
      <c r="D2050" s="2" t="str">
        <f t="shared" si="31"/>
        <v>OK</v>
      </c>
    </row>
    <row r="2051" spans="1:4">
      <c r="A2051" s="5">
        <v>1990</v>
      </c>
      <c r="B2051" s="138">
        <f>'Cap Outlay Deprec 26'!K8</f>
        <v>50947702</v>
      </c>
      <c r="C2051" s="2" t="s">
        <v>593</v>
      </c>
      <c r="D2051" s="2" t="str">
        <f t="shared" si="31"/>
        <v>Error?</v>
      </c>
    </row>
    <row r="2052" spans="1:4">
      <c r="A2052" s="5">
        <v>1991</v>
      </c>
      <c r="B2052" s="138">
        <f>'Cap Outlay Deprec 26'!K10</f>
        <v>0</v>
      </c>
      <c r="C2052" s="2" t="s">
        <v>593</v>
      </c>
      <c r="D2052" s="2" t="str">
        <f t="shared" si="31"/>
        <v>Error?</v>
      </c>
    </row>
    <row r="2053" spans="1:4">
      <c r="A2053" s="5">
        <v>1992</v>
      </c>
      <c r="B2053" s="138">
        <f>'Cap Outlay Deprec 26'!K12</f>
        <v>8730362</v>
      </c>
      <c r="C2053" s="2" t="s">
        <v>593</v>
      </c>
      <c r="D2053" s="2" t="str">
        <f t="shared" si="31"/>
        <v>Error?</v>
      </c>
    </row>
    <row r="2054" spans="1:4">
      <c r="A2054" s="5">
        <v>1993</v>
      </c>
      <c r="B2054" s="138">
        <f>'Cap Outlay Deprec 26'!K13</f>
        <v>0</v>
      </c>
      <c r="C2054" s="2" t="s">
        <v>593</v>
      </c>
      <c r="D2054" s="2" t="str">
        <f t="shared" si="31"/>
        <v>Error?</v>
      </c>
    </row>
    <row r="2055" spans="1:4">
      <c r="A2055" s="5">
        <v>1994</v>
      </c>
      <c r="B2055" s="138">
        <f>'Cap Outlay Deprec 26'!K16</f>
        <v>59678064</v>
      </c>
      <c r="C2055" s="2" t="s">
        <v>593</v>
      </c>
      <c r="D2055" s="2" t="str">
        <f t="shared" si="31"/>
        <v>Error?</v>
      </c>
    </row>
    <row r="2056" spans="1:4">
      <c r="A2056" s="5">
        <v>1995</v>
      </c>
      <c r="B2056" s="138">
        <f>'Cap Outlay Deprec 26'!L5</f>
        <v>2966736</v>
      </c>
      <c r="C2056" s="2" t="s">
        <v>593</v>
      </c>
      <c r="D2056" s="2" t="str">
        <f t="shared" si="31"/>
        <v>Error?</v>
      </c>
    </row>
    <row r="2057" spans="1:4">
      <c r="A2057" s="5">
        <v>1996</v>
      </c>
      <c r="B2057" s="138">
        <f>'Cap Outlay Deprec 26'!L8</f>
        <v>85380693</v>
      </c>
      <c r="C2057" s="2" t="s">
        <v>593</v>
      </c>
      <c r="D2057" s="2" t="str">
        <f t="shared" si="31"/>
        <v>Error?</v>
      </c>
    </row>
    <row r="2058" spans="1:4">
      <c r="A2058" s="5">
        <v>1997</v>
      </c>
      <c r="B2058" s="138">
        <f>'Cap Outlay Deprec 26'!L10</f>
        <v>0</v>
      </c>
      <c r="C2058" s="2" t="s">
        <v>593</v>
      </c>
      <c r="D2058" s="2" t="str">
        <f t="shared" si="31"/>
        <v>Error?</v>
      </c>
    </row>
    <row r="2059" spans="1:4">
      <c r="A2059" s="5">
        <v>1998</v>
      </c>
      <c r="B2059" s="138">
        <f>'Cap Outlay Deprec 26'!L12</f>
        <v>3239882</v>
      </c>
      <c r="C2059" s="2" t="s">
        <v>593</v>
      </c>
      <c r="D2059" s="2" t="str">
        <f t="shared" si="31"/>
        <v>Error?</v>
      </c>
    </row>
    <row r="2060" spans="1:4">
      <c r="A2060" s="5">
        <v>1999</v>
      </c>
      <c r="B2060" s="138">
        <f>'Cap Outlay Deprec 26'!L13</f>
        <v>0</v>
      </c>
      <c r="C2060" s="2" t="s">
        <v>593</v>
      </c>
      <c r="D2060" s="2" t="str">
        <f t="shared" si="31"/>
        <v>Error?</v>
      </c>
    </row>
    <row r="2061" spans="1:4">
      <c r="A2061" s="5">
        <v>2000</v>
      </c>
      <c r="B2061" s="138">
        <f>'Cap Outlay Deprec 26'!L16</f>
        <v>91587311</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2831056</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2831056</v>
      </c>
      <c r="C2088" s="2" t="s">
        <v>593</v>
      </c>
      <c r="D2088" s="2" t="str">
        <f t="shared" si="31"/>
        <v>Error?</v>
      </c>
    </row>
    <row r="2089" spans="1:4">
      <c r="A2089" s="5">
        <v>2028</v>
      </c>
      <c r="B2089" s="138">
        <f>'Expenditures 15-22'!K92</f>
        <v>242138</v>
      </c>
      <c r="C2089" s="2" t="s">
        <v>593</v>
      </c>
      <c r="D2089" s="2" t="str">
        <f t="shared" si="31"/>
        <v>Error?</v>
      </c>
    </row>
    <row r="2090" spans="1:4">
      <c r="A2090" s="10">
        <v>2029</v>
      </c>
      <c r="D2090" s="2" t="str">
        <f t="shared" si="31"/>
        <v>OK</v>
      </c>
    </row>
    <row r="2091" spans="1:4">
      <c r="A2091" s="5">
        <v>2030</v>
      </c>
      <c r="B2091" s="138">
        <f>'Expenditures 15-22'!H137</f>
        <v>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392944</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99571832</v>
      </c>
      <c r="C2551" s="2" t="s">
        <v>593</v>
      </c>
      <c r="D2551" s="2" t="str">
        <f t="shared" si="38"/>
        <v>Error?</v>
      </c>
    </row>
    <row r="2552" spans="1:4">
      <c r="A2552" s="10">
        <v>2491</v>
      </c>
      <c r="D2552" s="2" t="str">
        <f t="shared" si="38"/>
        <v>OK</v>
      </c>
    </row>
    <row r="2553" spans="1:4">
      <c r="A2553" s="5">
        <v>2492</v>
      </c>
      <c r="B2553" s="138">
        <f>'Acct Summary 7-8'!C6</f>
        <v>14804161</v>
      </c>
      <c r="C2553" s="2" t="s">
        <v>593</v>
      </c>
      <c r="D2553" s="2" t="str">
        <f t="shared" si="38"/>
        <v>Error?</v>
      </c>
    </row>
    <row r="2554" spans="1:4">
      <c r="A2554" s="5">
        <v>2493</v>
      </c>
      <c r="B2554" s="138">
        <f>'Acct Summary 7-8'!C7</f>
        <v>8380578</v>
      </c>
      <c r="C2554" s="2" t="s">
        <v>593</v>
      </c>
      <c r="D2554" s="2" t="str">
        <f t="shared" si="38"/>
        <v>Error?</v>
      </c>
    </row>
    <row r="2555" spans="1:4">
      <c r="A2555" s="5">
        <v>2494</v>
      </c>
      <c r="B2555" s="138">
        <f>'Acct Summary 7-8'!C8</f>
        <v>122756571</v>
      </c>
      <c r="C2555" s="2" t="s">
        <v>593</v>
      </c>
      <c r="D2555" s="2" t="str">
        <f t="shared" si="38"/>
        <v>Error?</v>
      </c>
    </row>
    <row r="2556" spans="1:4">
      <c r="A2556" s="5">
        <v>2495</v>
      </c>
      <c r="B2556" s="138">
        <f>'Acct Summary 7-8'!C12</f>
        <v>64021002</v>
      </c>
      <c r="C2556" s="2" t="s">
        <v>593</v>
      </c>
      <c r="D2556" s="2" t="str">
        <f t="shared" si="38"/>
        <v>Error?</v>
      </c>
    </row>
    <row r="2557" spans="1:4">
      <c r="A2557" s="5">
        <v>2496</v>
      </c>
      <c r="B2557" s="138">
        <f>'Acct Summary 7-8'!C13</f>
        <v>32787034</v>
      </c>
      <c r="C2557" s="2" t="s">
        <v>593</v>
      </c>
      <c r="D2557" s="2" t="str">
        <f t="shared" si="38"/>
        <v>Error?</v>
      </c>
    </row>
    <row r="2558" spans="1:4">
      <c r="A2558" s="5">
        <v>2497</v>
      </c>
      <c r="B2558" s="138">
        <f>'Acct Summary 7-8'!C14</f>
        <v>5309462</v>
      </c>
      <c r="C2558" s="2" t="s">
        <v>593</v>
      </c>
      <c r="D2558" s="2" t="str">
        <f t="shared" si="38"/>
        <v>Error?</v>
      </c>
    </row>
    <row r="2559" spans="1:4">
      <c r="A2559" s="5">
        <v>2498</v>
      </c>
      <c r="B2559" s="138">
        <f>'Acct Summary 7-8'!C15</f>
        <v>3073194</v>
      </c>
      <c r="C2559" s="2" t="s">
        <v>593</v>
      </c>
      <c r="D2559" s="2" t="str">
        <f t="shared" ref="D2559:D2622" si="39">IF(ISBLANK(B2559),"OK",IF(A2559-B2559=0,"OK","Error?"))</f>
        <v>Error?</v>
      </c>
    </row>
    <row r="2560" spans="1:4">
      <c r="A2560" s="5">
        <v>2499</v>
      </c>
      <c r="B2560" s="138">
        <f>'Acct Summary 7-8'!C16</f>
        <v>0</v>
      </c>
      <c r="C2560" s="2" t="s">
        <v>593</v>
      </c>
      <c r="D2560" s="2" t="str">
        <f t="shared" si="39"/>
        <v>Error?</v>
      </c>
    </row>
    <row r="2561" spans="1:4">
      <c r="A2561" s="5">
        <v>2500</v>
      </c>
      <c r="B2561" s="138">
        <f>'Acct Summary 7-8'!C17</f>
        <v>105190692</v>
      </c>
      <c r="C2561" s="2" t="s">
        <v>593</v>
      </c>
      <c r="D2561" s="2" t="str">
        <f t="shared" si="39"/>
        <v>Error?</v>
      </c>
    </row>
    <row r="2562" spans="1:4">
      <c r="A2562" s="5">
        <v>2501</v>
      </c>
      <c r="B2562" s="138">
        <f>'Acct Summary 7-8'!C20</f>
        <v>17565879</v>
      </c>
      <c r="C2562" s="2" t="s">
        <v>593</v>
      </c>
      <c r="D2562" s="2" t="str">
        <f t="shared" si="39"/>
        <v>Error?</v>
      </c>
    </row>
    <row r="2563" spans="1:4">
      <c r="A2563" s="5">
        <v>2502</v>
      </c>
      <c r="B2563" s="138">
        <f>'Acct Summary 7-8'!C80</f>
        <v>0</v>
      </c>
      <c r="D2563" s="2" t="str">
        <f t="shared" si="39"/>
        <v>Error?</v>
      </c>
    </row>
    <row r="2564" spans="1:4">
      <c r="A2564" s="5">
        <v>2503</v>
      </c>
      <c r="B2564" s="138">
        <f>'Acct Summary 7-8'!D4</f>
        <v>8553277</v>
      </c>
      <c r="C2564" s="2" t="s">
        <v>593</v>
      </c>
      <c r="D2564" s="2" t="str">
        <f t="shared" si="39"/>
        <v>Error?</v>
      </c>
    </row>
    <row r="2565" spans="1:4">
      <c r="A2565" s="10">
        <v>2504</v>
      </c>
      <c r="D2565" s="2" t="str">
        <f t="shared" si="39"/>
        <v>OK</v>
      </c>
    </row>
    <row r="2566" spans="1:4">
      <c r="A2566" s="5">
        <v>2505</v>
      </c>
      <c r="B2566" s="138">
        <f>'Acct Summary 7-8'!D6</f>
        <v>5467</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8558744</v>
      </c>
      <c r="C2568" s="2" t="s">
        <v>593</v>
      </c>
      <c r="D2568" s="2" t="str">
        <f t="shared" si="39"/>
        <v>Error?</v>
      </c>
    </row>
    <row r="2569" spans="1:4">
      <c r="A2569" s="5">
        <v>2508</v>
      </c>
      <c r="B2569" s="138">
        <f>'Acct Summary 7-8'!D13</f>
        <v>6971960</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0</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6971960</v>
      </c>
      <c r="C2573" s="2" t="s">
        <v>593</v>
      </c>
      <c r="D2573" s="2" t="str">
        <f t="shared" si="39"/>
        <v>Error?</v>
      </c>
    </row>
    <row r="2574" spans="1:4">
      <c r="A2574" s="5">
        <v>2513</v>
      </c>
      <c r="B2574" s="138">
        <f>'Acct Summary 7-8'!D20</f>
        <v>1586784</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3244954</v>
      </c>
      <c r="C2591" s="2" t="s">
        <v>593</v>
      </c>
      <c r="D2591" s="2" t="str">
        <f t="shared" si="39"/>
        <v>Error?</v>
      </c>
    </row>
    <row r="2592" spans="1:4">
      <c r="A2592" s="10">
        <v>2531</v>
      </c>
      <c r="D2592" s="2" t="str">
        <f t="shared" si="39"/>
        <v>OK</v>
      </c>
    </row>
    <row r="2593" spans="1:4">
      <c r="A2593" s="5">
        <v>2532</v>
      </c>
      <c r="B2593" s="138">
        <f>'Acct Summary 7-8'!F6</f>
        <v>1562239</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4807193</v>
      </c>
      <c r="C2595" s="2" t="s">
        <v>593</v>
      </c>
      <c r="D2595" s="2" t="str">
        <f t="shared" si="39"/>
        <v>Error?</v>
      </c>
    </row>
    <row r="2596" spans="1:4">
      <c r="A2596" s="5">
        <v>2535</v>
      </c>
      <c r="B2596" s="138">
        <f>'Acct Summary 7-8'!F13</f>
        <v>4270988</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0</v>
      </c>
      <c r="C2598" s="2" t="s">
        <v>593</v>
      </c>
      <c r="D2598" s="2" t="str">
        <f t="shared" si="39"/>
        <v>Error?</v>
      </c>
    </row>
    <row r="2599" spans="1:4">
      <c r="A2599" s="5">
        <v>2538</v>
      </c>
      <c r="B2599" s="138">
        <f>'Acct Summary 7-8'!F16</f>
        <v>0</v>
      </c>
      <c r="C2599" s="2" t="s">
        <v>593</v>
      </c>
      <c r="D2599" s="2" t="str">
        <f t="shared" si="39"/>
        <v>Error?</v>
      </c>
    </row>
    <row r="2600" spans="1:4">
      <c r="A2600" s="5">
        <v>2539</v>
      </c>
      <c r="B2600" s="138">
        <f>'Acct Summary 7-8'!F17</f>
        <v>4270988</v>
      </c>
      <c r="C2600" s="2" t="s">
        <v>593</v>
      </c>
      <c r="D2600" s="2" t="str">
        <f t="shared" si="39"/>
        <v>Error?</v>
      </c>
    </row>
    <row r="2601" spans="1:4">
      <c r="A2601" s="5">
        <v>2540</v>
      </c>
      <c r="B2601" s="138">
        <f>'Acct Summary 7-8'!F20</f>
        <v>536205</v>
      </c>
      <c r="C2601" s="2" t="s">
        <v>593</v>
      </c>
      <c r="D2601" s="2" t="str">
        <f t="shared" si="39"/>
        <v>Error?</v>
      </c>
    </row>
    <row r="2602" spans="1:4">
      <c r="A2602" s="5">
        <v>2541</v>
      </c>
      <c r="B2602" s="138">
        <f>'Acct Summary 7-8'!F80</f>
        <v>0</v>
      </c>
      <c r="D2602" s="2" t="str">
        <f t="shared" si="39"/>
        <v>Error?</v>
      </c>
    </row>
    <row r="2603" spans="1:4">
      <c r="A2603" s="5">
        <v>2542</v>
      </c>
      <c r="B2603" s="138">
        <f>'Acct Summary 7-8'!G4</f>
        <v>3348550</v>
      </c>
      <c r="C2603" s="2" t="s">
        <v>593</v>
      </c>
      <c r="D2603" s="2" t="str">
        <f t="shared" si="39"/>
        <v>Error?</v>
      </c>
    </row>
    <row r="2604" spans="1:4">
      <c r="A2604" s="5">
        <v>2543</v>
      </c>
      <c r="B2604" s="138">
        <f>'Acct Summary 7-8'!G6</f>
        <v>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3348550</v>
      </c>
      <c r="C2606" s="2" t="s">
        <v>593</v>
      </c>
      <c r="D2606" s="2" t="str">
        <f t="shared" si="39"/>
        <v>Error?</v>
      </c>
    </row>
    <row r="2607" spans="1:4">
      <c r="A2607" s="5">
        <v>2546</v>
      </c>
      <c r="B2607" s="138">
        <f>'Acct Summary 7-8'!G12</f>
        <v>1428530</v>
      </c>
      <c r="C2607" s="2" t="s">
        <v>593</v>
      </c>
      <c r="D2607" s="2" t="str">
        <f t="shared" si="39"/>
        <v>Error?</v>
      </c>
    </row>
    <row r="2608" spans="1:4">
      <c r="A2608" s="5">
        <v>2547</v>
      </c>
      <c r="B2608" s="138">
        <f>'Acct Summary 7-8'!G13</f>
        <v>2039569</v>
      </c>
      <c r="C2608" s="2" t="s">
        <v>593</v>
      </c>
      <c r="D2608" s="2" t="str">
        <f t="shared" si="39"/>
        <v>Error?</v>
      </c>
    </row>
    <row r="2609" spans="1:4">
      <c r="A2609" s="5">
        <v>2548</v>
      </c>
      <c r="B2609" s="138">
        <f>'Acct Summary 7-8'!G14</f>
        <v>443322</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3911421</v>
      </c>
      <c r="C2612" s="2" t="s">
        <v>593</v>
      </c>
      <c r="D2612" s="2" t="str">
        <f t="shared" si="39"/>
        <v>Error?</v>
      </c>
    </row>
    <row r="2613" spans="1:4">
      <c r="A2613" s="5">
        <v>2552</v>
      </c>
      <c r="B2613" s="138">
        <f>'Acct Summary 7-8'!G20</f>
        <v>-562871</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6159812</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6159812</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5629342</v>
      </c>
      <c r="C2634" s="2" t="s">
        <v>593</v>
      </c>
      <c r="D2634" s="2" t="str">
        <f t="shared" si="40"/>
        <v>Error?</v>
      </c>
    </row>
    <row r="2635" spans="1:4">
      <c r="A2635" s="5">
        <v>2574</v>
      </c>
      <c r="B2635" s="138">
        <f>'Acct Summary 7-8'!E17</f>
        <v>5629342</v>
      </c>
      <c r="C2635" s="2" t="s">
        <v>593</v>
      </c>
      <c r="D2635" s="2" t="str">
        <f t="shared" si="40"/>
        <v>Error?</v>
      </c>
    </row>
    <row r="2636" spans="1:4">
      <c r="A2636" s="5">
        <v>2575</v>
      </c>
      <c r="B2636" s="138">
        <f>'Acct Summary 7-8'!E20</f>
        <v>530470</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5185</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5185</v>
      </c>
      <c r="C2658" s="2" t="s">
        <v>593</v>
      </c>
      <c r="D2658" s="2" t="str">
        <f t="shared" si="40"/>
        <v>Error?</v>
      </c>
    </row>
    <row r="2659" spans="1:4">
      <c r="A2659" s="5">
        <v>2598</v>
      </c>
      <c r="B2659" s="138">
        <f>'Acct Summary 7-8'!H13</f>
        <v>608106</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608106</v>
      </c>
      <c r="C2661" s="2" t="s">
        <v>593</v>
      </c>
      <c r="D2661" s="2" t="str">
        <f t="shared" si="40"/>
        <v>Error?</v>
      </c>
    </row>
    <row r="2662" spans="1:4">
      <c r="A2662" s="5">
        <v>2601</v>
      </c>
      <c r="B2662" s="138">
        <f>'Acct Summary 7-8'!H20</f>
        <v>-602921</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1964445</v>
      </c>
      <c r="D2718" s="2" t="str">
        <f t="shared" si="41"/>
        <v>Error?</v>
      </c>
    </row>
    <row r="2719" spans="1:4">
      <c r="A2719" s="5">
        <v>2658</v>
      </c>
      <c r="B2719" s="138">
        <f>'Expenditures 15-22'!D51</f>
        <v>229142</v>
      </c>
      <c r="D2719" s="2" t="str">
        <f t="shared" si="41"/>
        <v>Error?</v>
      </c>
    </row>
    <row r="2720" spans="1:4">
      <c r="A2720" s="5">
        <v>2659</v>
      </c>
      <c r="B2720" s="138">
        <f>'Expenditures 15-22'!E51</f>
        <v>23710</v>
      </c>
      <c r="D2720" s="2" t="str">
        <f t="shared" si="41"/>
        <v>Error?</v>
      </c>
    </row>
    <row r="2721" spans="1:4">
      <c r="A2721" s="5">
        <v>2660</v>
      </c>
      <c r="B2721" s="138">
        <f>'Expenditures 15-22'!F51</f>
        <v>264460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2481757</v>
      </c>
      <c r="C2724" s="2" t="s">
        <v>593</v>
      </c>
      <c r="D2724" s="2" t="str">
        <f t="shared" si="41"/>
        <v>Error?</v>
      </c>
    </row>
    <row r="2725" spans="1:4">
      <c r="A2725" s="5">
        <v>2664</v>
      </c>
      <c r="B2725" s="138">
        <f>'Expenditures 15-22'!D247</f>
        <v>115454</v>
      </c>
      <c r="D2725" s="2" t="str">
        <f t="shared" si="41"/>
        <v>Error?</v>
      </c>
    </row>
    <row r="2726" spans="1:4">
      <c r="A2726" s="5">
        <v>2665</v>
      </c>
      <c r="B2726" s="138">
        <f>'Expenditures 15-22'!K247</f>
        <v>115454</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37069</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593</v>
      </c>
      <c r="D2789" s="2" t="str">
        <f t="shared" si="42"/>
        <v>Error?</v>
      </c>
    </row>
    <row r="2790" spans="1:4">
      <c r="A2790" s="5">
        <v>2729</v>
      </c>
      <c r="B2790" s="138">
        <f>'Expenditures 15-22'!E102</f>
        <v>0</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37069</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12506198</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784211</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593</v>
      </c>
      <c r="D2910" s="2" t="str">
        <f t="shared" si="44"/>
        <v>Error?</v>
      </c>
    </row>
    <row r="2911" spans="1:4">
      <c r="A2911" s="5">
        <v>2850</v>
      </c>
      <c r="B2911" s="138">
        <f>'Assets-Liab 5-6'!I38</f>
        <v>0</v>
      </c>
      <c r="D2911" s="2" t="str">
        <f t="shared" si="44"/>
        <v>Error?</v>
      </c>
    </row>
    <row r="2912" spans="1:4">
      <c r="A2912" s="5">
        <v>2851</v>
      </c>
      <c r="B2912" s="138">
        <f>'Assets-Liab 5-6'!I39</f>
        <v>12506198</v>
      </c>
      <c r="D2912" s="2" t="str">
        <f t="shared" si="44"/>
        <v>Error?</v>
      </c>
    </row>
    <row r="2913" spans="1:4">
      <c r="A2913" s="5">
        <v>2852</v>
      </c>
      <c r="B2913" s="138">
        <f>'Assets-Liab 5-6'!I41</f>
        <v>12506198</v>
      </c>
      <c r="C2913" s="2" t="s">
        <v>593</v>
      </c>
      <c r="D2913" s="2" t="str">
        <f t="shared" si="44"/>
        <v>Error?</v>
      </c>
    </row>
    <row r="2914" spans="1:4">
      <c r="A2914" s="5">
        <v>2853</v>
      </c>
      <c r="B2914" s="138">
        <f>'Assets-Liab 5-6'!L33</f>
        <v>784211</v>
      </c>
      <c r="D2914" s="2" t="str">
        <f t="shared" si="44"/>
        <v>Error?</v>
      </c>
    </row>
    <row r="2915" spans="1:4">
      <c r="A2915" s="10">
        <v>2854</v>
      </c>
      <c r="D2915" s="2" t="str">
        <f t="shared" si="44"/>
        <v>OK</v>
      </c>
    </row>
    <row r="2916" spans="1:4">
      <c r="A2916" s="5">
        <v>2855</v>
      </c>
      <c r="B2916" s="138">
        <f>'Assets-Liab 5-6'!L34</f>
        <v>784211</v>
      </c>
      <c r="C2916" s="2" t="s">
        <v>593</v>
      </c>
      <c r="D2916" s="2" t="str">
        <f t="shared" si="44"/>
        <v>Error?</v>
      </c>
    </row>
    <row r="2917" spans="1:4">
      <c r="A2917" s="5">
        <v>2856</v>
      </c>
      <c r="B2917" s="138">
        <f>'Assets-Liab 5-6'!L41</f>
        <v>784211</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2831056</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2831056</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0</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747525</v>
      </c>
      <c r="D3055" s="2" t="str">
        <f t="shared" si="46"/>
        <v>Error?</v>
      </c>
    </row>
    <row r="3056" spans="1:4">
      <c r="A3056" s="5">
        <v>2995</v>
      </c>
      <c r="B3056" s="138">
        <f>'Expenditures 15-22'!D10</f>
        <v>21852</v>
      </c>
      <c r="D3056" s="2" t="str">
        <f t="shared" si="46"/>
        <v>Error?</v>
      </c>
    </row>
    <row r="3057" spans="1:4">
      <c r="A3057" s="5">
        <v>2996</v>
      </c>
      <c r="B3057" s="138">
        <f>'Expenditures 15-22'!E10</f>
        <v>84708</v>
      </c>
      <c r="D3057" s="2" t="str">
        <f t="shared" si="46"/>
        <v>Error?</v>
      </c>
    </row>
    <row r="3058" spans="1:4">
      <c r="A3058" s="5">
        <v>2997</v>
      </c>
      <c r="B3058" s="138">
        <f>'Expenditures 15-22'!F10</f>
        <v>420391</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1274476</v>
      </c>
      <c r="C3062" s="2" t="s">
        <v>593</v>
      </c>
      <c r="D3062" s="2" t="str">
        <f t="shared" si="46"/>
        <v>Error?</v>
      </c>
    </row>
    <row r="3063" spans="1:4">
      <c r="A3063" s="10">
        <v>3002</v>
      </c>
      <c r="D3063" s="2" t="str">
        <f t="shared" si="46"/>
        <v>OK</v>
      </c>
    </row>
    <row r="3064" spans="1:4">
      <c r="A3064" s="5">
        <v>3003</v>
      </c>
      <c r="B3064" s="138">
        <f>'Expenditures 15-22'!D219</f>
        <v>14971</v>
      </c>
      <c r="D3064" s="2" t="str">
        <f t="shared" si="46"/>
        <v>Error?</v>
      </c>
    </row>
    <row r="3065" spans="1:4">
      <c r="A3065" s="5">
        <v>3004</v>
      </c>
      <c r="B3065" s="138">
        <f>'Expenditures 15-22'!K219</f>
        <v>14971</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189213</v>
      </c>
      <c r="C3225" s="2" t="s">
        <v>593</v>
      </c>
      <c r="D3225" s="2" t="str">
        <f t="shared" si="49"/>
        <v>Error?</v>
      </c>
    </row>
    <row r="3226" spans="1:4">
      <c r="A3226" s="5">
        <v>3165</v>
      </c>
      <c r="B3226" s="138">
        <f>'Acct Summary 7-8'!I8</f>
        <v>189213</v>
      </c>
      <c r="C3226" s="2" t="s">
        <v>593</v>
      </c>
      <c r="D3226" s="2" t="str">
        <f t="shared" si="49"/>
        <v>Error?</v>
      </c>
    </row>
    <row r="3227" spans="1:4">
      <c r="A3227" s="5">
        <v>3166</v>
      </c>
      <c r="B3227" s="138">
        <f>'Acct Summary 7-8'!I20</f>
        <v>189213</v>
      </c>
      <c r="C3227" s="2" t="s">
        <v>593</v>
      </c>
      <c r="D3227" s="2" t="str">
        <f t="shared" si="49"/>
        <v>Error?</v>
      </c>
    </row>
    <row r="3228" spans="1:4">
      <c r="A3228" s="5">
        <v>3167</v>
      </c>
      <c r="B3228" s="138">
        <f>'Acct Summary 7-8'!C43</f>
        <v>0</v>
      </c>
      <c r="D3228" s="2" t="str">
        <f t="shared" si="49"/>
        <v>Error?</v>
      </c>
    </row>
    <row r="3229" spans="1:4">
      <c r="A3229" s="5">
        <v>3168</v>
      </c>
      <c r="B3229" s="138">
        <f>'Acct Summary 7-8'!C44</f>
        <v>0</v>
      </c>
      <c r="C3229" s="2" t="s">
        <v>593</v>
      </c>
      <c r="D3229" s="2" t="str">
        <f t="shared" si="49"/>
        <v>Error?</v>
      </c>
    </row>
    <row r="3230" spans="1:4">
      <c r="A3230" s="5">
        <v>3169</v>
      </c>
      <c r="B3230" s="138">
        <f>'Acct Summary 7-8'!C75</f>
        <v>0</v>
      </c>
      <c r="D3230" s="2" t="str">
        <f t="shared" si="49"/>
        <v>Error?</v>
      </c>
    </row>
    <row r="3231" spans="1:4">
      <c r="A3231" s="5">
        <v>3170</v>
      </c>
      <c r="B3231" s="138">
        <f>'Acct Summary 7-8'!C76</f>
        <v>0</v>
      </c>
      <c r="C3231" s="2" t="s">
        <v>593</v>
      </c>
      <c r="D3231" s="2" t="str">
        <f t="shared" si="49"/>
        <v>Error?</v>
      </c>
    </row>
    <row r="3232" spans="1:4">
      <c r="A3232" s="5">
        <v>3171</v>
      </c>
      <c r="B3232" s="138">
        <f>'Acct Summary 7-8'!C77</f>
        <v>0</v>
      </c>
      <c r="C3232" s="2" t="s">
        <v>593</v>
      </c>
      <c r="D3232" s="2" t="str">
        <f t="shared" si="49"/>
        <v>Error?</v>
      </c>
    </row>
    <row r="3233" spans="1:4">
      <c r="A3233" s="5">
        <v>3172</v>
      </c>
      <c r="B3233" s="138">
        <f>'Acct Summary 7-8'!C78</f>
        <v>17565879</v>
      </c>
      <c r="C3233" s="2" t="s">
        <v>593</v>
      </c>
      <c r="D3233" s="2" t="str">
        <f t="shared" si="49"/>
        <v>Error?</v>
      </c>
    </row>
    <row r="3234" spans="1:4">
      <c r="A3234" s="5">
        <v>3173</v>
      </c>
      <c r="B3234" s="138">
        <f>'Acct Summary 7-8'!D43</f>
        <v>0</v>
      </c>
      <c r="D3234" s="2" t="str">
        <f t="shared" si="49"/>
        <v>Error?</v>
      </c>
    </row>
    <row r="3235" spans="1:4">
      <c r="A3235" s="5">
        <v>3174</v>
      </c>
      <c r="B3235" s="138">
        <f>'Acct Summary 7-8'!D44</f>
        <v>0</v>
      </c>
      <c r="C3235" s="2" t="s">
        <v>593</v>
      </c>
      <c r="D3235" s="2" t="str">
        <f t="shared" si="49"/>
        <v>Error?</v>
      </c>
    </row>
    <row r="3236" spans="1:4">
      <c r="A3236" s="5">
        <v>3175</v>
      </c>
      <c r="B3236" s="138">
        <f>'Acct Summary 7-8'!D75</f>
        <v>0</v>
      </c>
      <c r="D3236" s="2" t="str">
        <f t="shared" si="49"/>
        <v>Error?</v>
      </c>
    </row>
    <row r="3237" spans="1:4">
      <c r="A3237" s="5">
        <v>3176</v>
      </c>
      <c r="B3237" s="138">
        <f>'Acct Summary 7-8'!D76</f>
        <v>0</v>
      </c>
      <c r="C3237" s="2" t="s">
        <v>593</v>
      </c>
      <c r="D3237" s="2" t="str">
        <f t="shared" si="49"/>
        <v>Error?</v>
      </c>
    </row>
    <row r="3238" spans="1:4">
      <c r="A3238" s="5">
        <v>3177</v>
      </c>
      <c r="B3238" s="138">
        <f>'Acct Summary 7-8'!D77</f>
        <v>0</v>
      </c>
      <c r="C3238" s="2" t="s">
        <v>593</v>
      </c>
      <c r="D3238" s="2" t="str">
        <f t="shared" si="49"/>
        <v>Error?</v>
      </c>
    </row>
    <row r="3239" spans="1:4">
      <c r="A3239" s="5">
        <v>3178</v>
      </c>
      <c r="B3239" s="138">
        <f>'Acct Summary 7-8'!D78</f>
        <v>1586784</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0</v>
      </c>
      <c r="C3255" s="2" t="s">
        <v>593</v>
      </c>
      <c r="D3255" s="2" t="str">
        <f t="shared" si="49"/>
        <v>Error?</v>
      </c>
    </row>
    <row r="3256" spans="1:4">
      <c r="A3256" s="5">
        <v>3195</v>
      </c>
      <c r="B3256" s="138">
        <f>'Acct Summary 7-8'!F78</f>
        <v>536205</v>
      </c>
      <c r="C3256" s="2" t="s">
        <v>593</v>
      </c>
      <c r="D3256" s="2" t="str">
        <f t="shared" si="49"/>
        <v>Error?</v>
      </c>
    </row>
    <row r="3257" spans="1:4">
      <c r="A3257" s="5">
        <v>3196</v>
      </c>
      <c r="B3257" s="138">
        <f>'Acct Summary 7-8'!G43</f>
        <v>0</v>
      </c>
      <c r="D3257" s="2" t="str">
        <f t="shared" si="49"/>
        <v>Error?</v>
      </c>
    </row>
    <row r="3258" spans="1:4">
      <c r="A3258" s="5">
        <v>3197</v>
      </c>
      <c r="B3258" s="138">
        <f>'Acct Summary 7-8'!G44</f>
        <v>37069</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37069</v>
      </c>
      <c r="C3261" s="2" t="s">
        <v>593</v>
      </c>
      <c r="D3261" s="2" t="str">
        <f t="shared" si="49"/>
        <v>Error?</v>
      </c>
    </row>
    <row r="3262" spans="1:4">
      <c r="A3262" s="5">
        <v>3201</v>
      </c>
      <c r="B3262" s="138">
        <f>'Acct Summary 7-8'!G78</f>
        <v>-525802</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593</v>
      </c>
      <c r="D3274" s="2" t="str">
        <f t="shared" si="50"/>
        <v>Error?</v>
      </c>
    </row>
    <row r="3275" spans="1:4">
      <c r="A3275" s="5">
        <v>3214</v>
      </c>
      <c r="B3275" s="138">
        <f>'Acct Summary 7-8'!E75</f>
        <v>0</v>
      </c>
      <c r="D3275" s="2" t="str">
        <f t="shared" si="50"/>
        <v>Error?</v>
      </c>
    </row>
    <row r="3276" spans="1:4">
      <c r="A3276" s="5">
        <v>3215</v>
      </c>
      <c r="B3276" s="138">
        <f>'Acct Summary 7-8'!E76</f>
        <v>37069</v>
      </c>
      <c r="C3276" s="2" t="s">
        <v>593</v>
      </c>
      <c r="D3276" s="2" t="str">
        <f t="shared" si="50"/>
        <v>Error?</v>
      </c>
    </row>
    <row r="3277" spans="1:4">
      <c r="A3277" s="5">
        <v>3216</v>
      </c>
      <c r="B3277" s="138">
        <f>'Acct Summary 7-8'!E77</f>
        <v>-37069</v>
      </c>
      <c r="C3277" s="2" t="s">
        <v>593</v>
      </c>
      <c r="D3277" s="2" t="str">
        <f t="shared" si="50"/>
        <v>Error?</v>
      </c>
    </row>
    <row r="3278" spans="1:4">
      <c r="A3278" s="5">
        <v>3217</v>
      </c>
      <c r="B3278" s="138">
        <f>'Acct Summary 7-8'!E78</f>
        <v>493401</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0</v>
      </c>
      <c r="C3299" s="2" t="s">
        <v>593</v>
      </c>
      <c r="D3299" s="2" t="str">
        <f t="shared" si="50"/>
        <v>Error?</v>
      </c>
    </row>
    <row r="3300" spans="1:4">
      <c r="A3300" s="5">
        <v>3239</v>
      </c>
      <c r="B3300" s="138">
        <f>'Acct Summary 7-8'!H78</f>
        <v>-602921</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593</v>
      </c>
      <c r="D3317" s="2" t="str">
        <f t="shared" si="50"/>
        <v>Error?</v>
      </c>
    </row>
    <row r="3318" spans="1:4">
      <c r="A3318" s="5">
        <v>3257</v>
      </c>
      <c r="B3318" s="138">
        <f>'Acct Summary 7-8'!I76</f>
        <v>0</v>
      </c>
      <c r="C3318" s="2" t="s">
        <v>593</v>
      </c>
      <c r="D3318" s="2" t="str">
        <f t="shared" si="50"/>
        <v>Error?</v>
      </c>
    </row>
    <row r="3319" spans="1:4">
      <c r="A3319" s="5">
        <v>3258</v>
      </c>
      <c r="B3319" s="138">
        <f>'Acct Summary 7-8'!I77</f>
        <v>0</v>
      </c>
      <c r="C3319" s="2" t="s">
        <v>593</v>
      </c>
      <c r="D3319" s="2" t="str">
        <f t="shared" si="50"/>
        <v>Error?</v>
      </c>
    </row>
    <row r="3320" spans="1:4">
      <c r="A3320" s="5">
        <v>3259</v>
      </c>
      <c r="B3320" s="138">
        <f>'Acct Summary 7-8'!I78</f>
        <v>189213</v>
      </c>
      <c r="C3320" s="2" t="s">
        <v>593</v>
      </c>
      <c r="D3320" s="2" t="str">
        <f t="shared" si="50"/>
        <v>Error?</v>
      </c>
    </row>
    <row r="3321" spans="1:4">
      <c r="A3321" s="5">
        <v>3260</v>
      </c>
      <c r="B3321" s="138">
        <f>'Acct Summary 7-8'!I79</f>
        <v>12316985</v>
      </c>
      <c r="D3321" s="2" t="str">
        <f t="shared" si="50"/>
        <v>Error?</v>
      </c>
    </row>
    <row r="3322" spans="1:4">
      <c r="A3322" s="5">
        <v>3261</v>
      </c>
      <c r="B3322" s="138">
        <f>'Acct Summary 7-8'!I80</f>
        <v>0</v>
      </c>
      <c r="D3322" s="2" t="str">
        <f t="shared" si="50"/>
        <v>Error?</v>
      </c>
    </row>
    <row r="3323" spans="1:4">
      <c r="A3323" s="5">
        <v>3262</v>
      </c>
      <c r="B3323" s="138">
        <f>'Acct Summary 7-8'!I81</f>
        <v>12506198</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9626854</v>
      </c>
      <c r="D3366" s="2" t="str">
        <f t="shared" si="51"/>
        <v>Error?</v>
      </c>
    </row>
    <row r="3367" spans="1:4">
      <c r="A3367" s="5">
        <v>3306</v>
      </c>
      <c r="B3367" s="138">
        <f>'Expenditures 15-22'!C19</f>
        <v>0</v>
      </c>
      <c r="D3367" s="2" t="str">
        <f t="shared" si="51"/>
        <v>Error?</v>
      </c>
    </row>
    <row r="3368" spans="1:4">
      <c r="A3368" s="5">
        <v>3307</v>
      </c>
      <c r="B3368" s="138">
        <f>'Expenditures 15-22'!D8</f>
        <v>1294458</v>
      </c>
      <c r="D3368" s="2" t="str">
        <f t="shared" si="51"/>
        <v>Error?</v>
      </c>
    </row>
    <row r="3369" spans="1:4">
      <c r="A3369" s="5">
        <v>3308</v>
      </c>
      <c r="B3369" s="138">
        <f>'Expenditures 15-22'!D19</f>
        <v>0</v>
      </c>
      <c r="D3369" s="2" t="str">
        <f t="shared" si="51"/>
        <v>Error?</v>
      </c>
    </row>
    <row r="3370" spans="1:4">
      <c r="A3370" s="5">
        <v>3309</v>
      </c>
      <c r="B3370" s="138">
        <f>'Expenditures 15-22'!E8</f>
        <v>703264</v>
      </c>
      <c r="D3370" s="2" t="str">
        <f t="shared" si="51"/>
        <v>Error?</v>
      </c>
    </row>
    <row r="3371" spans="1:4">
      <c r="A3371" s="5">
        <v>3310</v>
      </c>
      <c r="B3371" s="138">
        <f>'Expenditures 15-22'!E19</f>
        <v>0</v>
      </c>
      <c r="D3371" s="2" t="str">
        <f t="shared" si="51"/>
        <v>Error?</v>
      </c>
    </row>
    <row r="3372" spans="1:4">
      <c r="A3372" s="5">
        <v>3311</v>
      </c>
      <c r="B3372" s="138">
        <f>'Expenditures 15-22'!F8</f>
        <v>64617</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1223579</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12912772</v>
      </c>
      <c r="C3380" s="2" t="s">
        <v>593</v>
      </c>
      <c r="D3380" s="2" t="str">
        <f t="shared" si="51"/>
        <v>Error?</v>
      </c>
    </row>
    <row r="3381" spans="1:4">
      <c r="A3381" s="5">
        <v>3320</v>
      </c>
      <c r="B3381" s="138">
        <f>'Expenditures 15-22'!K19</f>
        <v>0</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581609</v>
      </c>
      <c r="D3387" s="2" t="str">
        <f t="shared" si="51"/>
        <v>Error?</v>
      </c>
    </row>
    <row r="3388" spans="1:4">
      <c r="A3388" s="5">
        <v>3327</v>
      </c>
      <c r="B3388" s="138">
        <f>'Expenditures 15-22'!D217</f>
        <v>648253</v>
      </c>
      <c r="D3388" s="2" t="str">
        <f t="shared" si="51"/>
        <v>Error?</v>
      </c>
    </row>
    <row r="3389" spans="1:4">
      <c r="A3389" s="5">
        <v>3328</v>
      </c>
      <c r="B3389" s="138">
        <f>'Expenditures 15-22'!D228</f>
        <v>0</v>
      </c>
      <c r="D3389" s="2" t="str">
        <f t="shared" si="51"/>
        <v>Error?</v>
      </c>
    </row>
    <row r="3390" spans="1:4">
      <c r="A3390" s="5">
        <v>3329</v>
      </c>
      <c r="B3390" s="138">
        <f>'Expenditures 15-22'!K215</f>
        <v>581609</v>
      </c>
      <c r="C3390" s="2" t="s">
        <v>593</v>
      </c>
      <c r="D3390" s="2" t="str">
        <f t="shared" si="51"/>
        <v>Error?</v>
      </c>
    </row>
    <row r="3391" spans="1:4">
      <c r="A3391" s="5">
        <v>3330</v>
      </c>
      <c r="B3391" s="138">
        <f>'Expenditures 15-22'!K217</f>
        <v>648253</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22266661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3541966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4082473</v>
      </c>
      <c r="D3417" s="2" t="str">
        <f t="shared" si="52"/>
        <v>Error?</v>
      </c>
    </row>
    <row r="3418" spans="1:4">
      <c r="A3418" s="10">
        <v>3357</v>
      </c>
      <c r="D3418" s="2" t="str">
        <f t="shared" si="52"/>
        <v>OK</v>
      </c>
    </row>
    <row r="3419" spans="1:4">
      <c r="A3419" s="5">
        <v>3358</v>
      </c>
      <c r="B3419" s="138">
        <f>'Assets-Liab 5-6'!F4</f>
        <v>1260854</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665198</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1050748</v>
      </c>
      <c r="D3425" s="2" t="str">
        <f t="shared" si="52"/>
        <v>Error?</v>
      </c>
    </row>
    <row r="3426" spans="1:4">
      <c r="A3426" s="10">
        <v>3365</v>
      </c>
      <c r="D3426" s="2" t="str">
        <f t="shared" si="52"/>
        <v>OK</v>
      </c>
    </row>
    <row r="3427" spans="1:4">
      <c r="A3427" s="5">
        <v>3366</v>
      </c>
      <c r="B3427" s="138">
        <f>'Assets-Liab 5-6'!I4</f>
        <v>12506198</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784211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1918482</v>
      </c>
      <c r="C3446" s="2" t="s">
        <v>593</v>
      </c>
      <c r="D3446" s="2" t="str">
        <f t="shared" si="52"/>
        <v>Error?</v>
      </c>
    </row>
    <row r="3447" spans="1:4">
      <c r="A3447" s="5">
        <v>3386</v>
      </c>
      <c r="B3447" s="138">
        <f>'Tax Sched 23'!D16</f>
        <v>1376117</v>
      </c>
      <c r="C3447" s="2" t="s">
        <v>593</v>
      </c>
      <c r="D3447" s="2" t="str">
        <f t="shared" si="52"/>
        <v>Error?</v>
      </c>
    </row>
    <row r="3448" spans="1:4">
      <c r="A3448" s="5">
        <v>3387</v>
      </c>
      <c r="B3448" s="138">
        <f>'Tax Sched 23'!C16</f>
        <v>542365</v>
      </c>
      <c r="D3448" s="2" t="str">
        <f t="shared" si="52"/>
        <v>Error?</v>
      </c>
    </row>
    <row r="3449" spans="1:4">
      <c r="A3449" s="5">
        <v>3388</v>
      </c>
      <c r="B3449" s="138">
        <f>'Tax Sched 23'!F16</f>
        <v>515327</v>
      </c>
      <c r="C3449" s="2" t="s">
        <v>593</v>
      </c>
      <c r="D3449" s="2" t="str">
        <f t="shared" si="52"/>
        <v>Error?</v>
      </c>
    </row>
    <row r="3450" spans="1:4">
      <c r="A3450" s="5">
        <v>3389</v>
      </c>
      <c r="B3450" s="138">
        <f>'Tax Sched 23'!E16</f>
        <v>1057692</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73121</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73121</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593</v>
      </c>
      <c r="D3565" s="2" t="str">
        <f t="shared" si="54"/>
        <v>Error?</v>
      </c>
    </row>
    <row r="3566" spans="1:4">
      <c r="A3566" s="5">
        <v>3505</v>
      </c>
      <c r="B3566" s="138">
        <f>'Assets-Liab 5-6'!K38</f>
        <v>0</v>
      </c>
      <c r="D3566" s="2" t="str">
        <f t="shared" si="54"/>
        <v>Error?</v>
      </c>
    </row>
    <row r="3567" spans="1:4">
      <c r="A3567" s="5">
        <v>3506</v>
      </c>
      <c r="B3567" s="138">
        <f>'Assets-Liab 5-6'!K39</f>
        <v>73121</v>
      </c>
      <c r="D3567" s="2" t="str">
        <f t="shared" si="54"/>
        <v>Error?</v>
      </c>
    </row>
    <row r="3568" spans="1:4">
      <c r="A3568" s="5">
        <v>3507</v>
      </c>
      <c r="B3568" s="138">
        <f>'Assets-Liab 5-6'!K41</f>
        <v>73121</v>
      </c>
      <c r="C3568" s="2" t="s">
        <v>593</v>
      </c>
      <c r="D3568" s="2" t="str">
        <f t="shared" si="54"/>
        <v>Error?</v>
      </c>
    </row>
    <row r="3569" spans="1:4">
      <c r="A3569" s="5">
        <v>3508</v>
      </c>
      <c r="B3569" s="138">
        <f>'Acct Summary 7-8'!K4</f>
        <v>116467</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116467</v>
      </c>
      <c r="C3571" s="2" t="s">
        <v>593</v>
      </c>
      <c r="D3571" s="2" t="str">
        <f t="shared" si="54"/>
        <v>Error?</v>
      </c>
    </row>
    <row r="3572" spans="1:4">
      <c r="A3572" s="5">
        <v>3511</v>
      </c>
      <c r="B3572" s="138">
        <f>'Acct Summary 7-8'!K13</f>
        <v>64000</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64000</v>
      </c>
      <c r="C3575" s="2" t="s">
        <v>593</v>
      </c>
      <c r="D3575" s="2" t="str">
        <f t="shared" si="54"/>
        <v>Error?</v>
      </c>
    </row>
    <row r="3576" spans="1:4">
      <c r="A3576" s="5">
        <v>3515</v>
      </c>
      <c r="B3576" s="138">
        <f>'Acct Summary 7-8'!K20</f>
        <v>52467</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52467</v>
      </c>
      <c r="C3588" s="2" t="s">
        <v>593</v>
      </c>
      <c r="D3588" s="2" t="str">
        <f t="shared" si="55"/>
        <v>Error?</v>
      </c>
    </row>
    <row r="3589" spans="1:4">
      <c r="A3589" s="5">
        <v>3528</v>
      </c>
      <c r="B3589" s="138">
        <f>'Acct Summary 7-8'!K79</f>
        <v>20654</v>
      </c>
      <c r="D3589" s="2" t="str">
        <f t="shared" si="55"/>
        <v>Error?</v>
      </c>
    </row>
    <row r="3590" spans="1:4">
      <c r="A3590" s="5">
        <v>3529</v>
      </c>
      <c r="B3590" s="138">
        <f>'Acct Summary 7-8'!K80</f>
        <v>0</v>
      </c>
      <c r="D3590" s="2" t="str">
        <f t="shared" si="55"/>
        <v>Error?</v>
      </c>
    </row>
    <row r="3591" spans="1:4">
      <c r="A3591" s="5">
        <v>3530</v>
      </c>
      <c r="B3591" s="138">
        <f>'Acct Summary 7-8'!K81</f>
        <v>73121</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593</v>
      </c>
      <c r="D3635" s="2" t="str">
        <f t="shared" si="55"/>
        <v>Error?</v>
      </c>
    </row>
    <row r="3636" spans="1:4">
      <c r="A3636" s="5">
        <v>3575</v>
      </c>
      <c r="B3636" s="138">
        <f>'Expenditures 15-22'!E367</f>
        <v>0</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64000</v>
      </c>
      <c r="D3646" s="2" t="str">
        <f t="shared" si="55"/>
        <v>Error?</v>
      </c>
    </row>
    <row r="3647" spans="1:4">
      <c r="A3647" s="5">
        <v>3586</v>
      </c>
      <c r="B3647" s="138">
        <f>'Expenditures 15-22'!G350</f>
        <v>64000</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64000</v>
      </c>
      <c r="C3649" s="2" t="s">
        <v>593</v>
      </c>
      <c r="D3649" s="2" t="str">
        <f t="shared" si="56"/>
        <v>Error?</v>
      </c>
    </row>
    <row r="3650" spans="1:4">
      <c r="A3650" s="5">
        <v>3589</v>
      </c>
      <c r="B3650" s="138">
        <f>'Expenditures 15-22'!G367</f>
        <v>64000</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593</v>
      </c>
      <c r="D3668" s="2" t="str">
        <f t="shared" si="56"/>
        <v>Error?</v>
      </c>
    </row>
    <row r="3669" spans="1:4">
      <c r="A3669" s="5">
        <v>3608</v>
      </c>
      <c r="B3669" s="138">
        <f>'Expenditures 15-22'!K349</f>
        <v>64000</v>
      </c>
      <c r="C3669" s="2" t="s">
        <v>593</v>
      </c>
      <c r="D3669" s="2" t="str">
        <f t="shared" si="56"/>
        <v>Error?</v>
      </c>
    </row>
    <row r="3670" spans="1:4">
      <c r="A3670" s="5">
        <v>3609</v>
      </c>
      <c r="B3670" s="138">
        <f>'Expenditures 15-22'!K350</f>
        <v>64000</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64000</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64000</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52467</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593</v>
      </c>
      <c r="D3722" s="2" t="str">
        <f t="shared" si="57"/>
        <v>Error?</v>
      </c>
    </row>
    <row r="3723" spans="1:4">
      <c r="A3723" s="5">
        <v>3662</v>
      </c>
      <c r="B3723" s="138">
        <f>'Expenditures 15-22'!K283</f>
        <v>0</v>
      </c>
      <c r="C3723" s="2" t="s">
        <v>593</v>
      </c>
      <c r="D3723" s="2" t="str">
        <f t="shared" si="57"/>
        <v>Error?</v>
      </c>
    </row>
    <row r="3724" spans="1:4">
      <c r="A3724" s="5">
        <v>3663</v>
      </c>
      <c r="B3724" s="138">
        <f>'Expenditures 15-22'!K285</f>
        <v>0</v>
      </c>
      <c r="C3724" s="2" t="s">
        <v>593</v>
      </c>
      <c r="D3724" s="2" t="str">
        <f t="shared" si="57"/>
        <v>Error?</v>
      </c>
    </row>
    <row r="3725" spans="1:4">
      <c r="A3725" s="5">
        <v>3664</v>
      </c>
      <c r="B3725" s="138">
        <f>'Tax Sched 23'!B13</f>
        <v>0</v>
      </c>
      <c r="C3725" s="2" t="s">
        <v>593</v>
      </c>
      <c r="D3725" s="2" t="str">
        <f t="shared" si="57"/>
        <v>Error?</v>
      </c>
    </row>
    <row r="3726" spans="1:4">
      <c r="A3726" s="5">
        <v>3665</v>
      </c>
      <c r="B3726" s="138">
        <f>'Tax Sched 23'!D13</f>
        <v>0</v>
      </c>
      <c r="C3726" s="2" t="s">
        <v>593</v>
      </c>
      <c r="D3726" s="2" t="str">
        <f t="shared" si="57"/>
        <v>Error?</v>
      </c>
    </row>
    <row r="3727" spans="1:4">
      <c r="A3727" s="5">
        <v>3666</v>
      </c>
      <c r="B3727" s="138">
        <f>'Tax Sched 23'!C13</f>
        <v>0</v>
      </c>
      <c r="D3727" s="2" t="str">
        <f t="shared" si="57"/>
        <v>Error?</v>
      </c>
    </row>
    <row r="3728" spans="1:4">
      <c r="A3728" s="5">
        <v>3667</v>
      </c>
      <c r="B3728" s="138">
        <f>'Tax Sched 23'!F13</f>
        <v>0</v>
      </c>
      <c r="C3728" s="2" t="s">
        <v>593</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122756571</v>
      </c>
      <c r="C4122" s="2" t="s">
        <v>593</v>
      </c>
      <c r="D4122" s="2" t="str">
        <f t="shared" si="63"/>
        <v>Error?</v>
      </c>
    </row>
    <row r="4123" spans="1:4">
      <c r="A4123" s="5">
        <v>4062</v>
      </c>
      <c r="B4123" s="138">
        <f>'Acct Summary 7-8'!D10</f>
        <v>8558744</v>
      </c>
      <c r="C4123" s="2" t="s">
        <v>593</v>
      </c>
      <c r="D4123" s="2" t="str">
        <f t="shared" si="63"/>
        <v>Error?</v>
      </c>
    </row>
    <row r="4124" spans="1:4">
      <c r="A4124" s="5">
        <v>4063</v>
      </c>
      <c r="B4124" s="138">
        <f>'Acct Summary 7-8'!E10</f>
        <v>6159812</v>
      </c>
      <c r="C4124" s="2" t="s">
        <v>593</v>
      </c>
      <c r="D4124" s="2" t="str">
        <f t="shared" si="63"/>
        <v>Error?</v>
      </c>
    </row>
    <row r="4125" spans="1:4">
      <c r="A4125" s="5">
        <v>4064</v>
      </c>
      <c r="B4125" s="138">
        <f>'Acct Summary 7-8'!F10</f>
        <v>4807193</v>
      </c>
      <c r="C4125" s="2" t="s">
        <v>593</v>
      </c>
      <c r="D4125" s="2" t="str">
        <f t="shared" si="63"/>
        <v>Error?</v>
      </c>
    </row>
    <row r="4126" spans="1:4">
      <c r="A4126" s="5">
        <v>4065</v>
      </c>
      <c r="B4126" s="138">
        <f>'Acct Summary 7-8'!G10</f>
        <v>3348550</v>
      </c>
      <c r="C4126" s="2" t="s">
        <v>593</v>
      </c>
      <c r="D4126" s="2" t="str">
        <f t="shared" si="63"/>
        <v>Error?</v>
      </c>
    </row>
    <row r="4127" spans="1:4">
      <c r="A4127" s="5">
        <v>4066</v>
      </c>
      <c r="B4127" s="138">
        <f>'Acct Summary 7-8'!H10</f>
        <v>5185</v>
      </c>
      <c r="C4127" s="2" t="s">
        <v>593</v>
      </c>
      <c r="D4127" s="2" t="str">
        <f t="shared" si="63"/>
        <v>Error?</v>
      </c>
    </row>
    <row r="4128" spans="1:4">
      <c r="A4128" s="5">
        <v>4067</v>
      </c>
      <c r="B4128" s="138">
        <f>'Acct Summary 7-8'!I10</f>
        <v>189213</v>
      </c>
      <c r="C4128" s="2" t="s">
        <v>593</v>
      </c>
      <c r="D4128" s="2" t="str">
        <f t="shared" si="63"/>
        <v>Error?</v>
      </c>
    </row>
    <row r="4129" spans="1:4">
      <c r="A4129" s="10">
        <v>4068</v>
      </c>
      <c r="C4129" s="2" t="s">
        <v>593</v>
      </c>
      <c r="D4129" s="2" t="str">
        <f t="shared" si="63"/>
        <v>OK</v>
      </c>
    </row>
    <row r="4130" spans="1:4">
      <c r="A4130" s="5">
        <v>4069</v>
      </c>
      <c r="B4130" s="138">
        <f>'Acct Summary 7-8'!K10</f>
        <v>116467</v>
      </c>
      <c r="C4130" s="2" t="s">
        <v>593</v>
      </c>
      <c r="D4130" s="2" t="str">
        <f t="shared" si="63"/>
        <v>Error?</v>
      </c>
    </row>
    <row r="4131" spans="1:4">
      <c r="A4131" s="5">
        <v>4070</v>
      </c>
      <c r="B4131" s="138">
        <f>'Acct Summary 7-8'!C18</f>
        <v>0</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105190692</v>
      </c>
      <c r="C4136" s="2" t="s">
        <v>593</v>
      </c>
      <c r="D4136" s="2" t="str">
        <f t="shared" si="63"/>
        <v>Error?</v>
      </c>
    </row>
    <row r="4137" spans="1:4">
      <c r="A4137" s="5">
        <v>4076</v>
      </c>
      <c r="B4137" s="138">
        <f>'Acct Summary 7-8'!D19</f>
        <v>6971960</v>
      </c>
      <c r="C4137" s="2" t="s">
        <v>593</v>
      </c>
      <c r="D4137" s="2" t="str">
        <f t="shared" si="63"/>
        <v>Error?</v>
      </c>
    </row>
    <row r="4138" spans="1:4">
      <c r="A4138" s="5">
        <v>4077</v>
      </c>
      <c r="B4138" s="138">
        <f>'Acct Summary 7-8'!E19</f>
        <v>5629342</v>
      </c>
      <c r="C4138" s="2" t="s">
        <v>593</v>
      </c>
      <c r="D4138" s="2" t="str">
        <f t="shared" si="63"/>
        <v>Error?</v>
      </c>
    </row>
    <row r="4139" spans="1:4">
      <c r="A4139" s="5">
        <v>4078</v>
      </c>
      <c r="B4139" s="138">
        <f>'Acct Summary 7-8'!F19</f>
        <v>4270988</v>
      </c>
      <c r="C4139" s="2" t="s">
        <v>593</v>
      </c>
      <c r="D4139" s="2" t="str">
        <f t="shared" si="63"/>
        <v>Error?</v>
      </c>
    </row>
    <row r="4140" spans="1:4">
      <c r="A4140" s="5">
        <v>4079</v>
      </c>
      <c r="B4140" s="138">
        <f>'Acct Summary 7-8'!G19</f>
        <v>3911421</v>
      </c>
      <c r="C4140" s="2" t="s">
        <v>593</v>
      </c>
      <c r="D4140" s="2" t="str">
        <f t="shared" si="63"/>
        <v>Error?</v>
      </c>
    </row>
    <row r="4141" spans="1:4">
      <c r="A4141" s="5">
        <v>4080</v>
      </c>
      <c r="B4141" s="138">
        <f>'Acct Summary 7-8'!H19</f>
        <v>608106</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64000</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74862479</v>
      </c>
      <c r="C4171" s="2" t="s">
        <v>593</v>
      </c>
      <c r="D4171" s="2" t="str">
        <f t="shared" si="64"/>
        <v>Error?</v>
      </c>
    </row>
    <row r="4172" spans="1:4">
      <c r="A4172" s="5">
        <v>4111</v>
      </c>
      <c r="B4172" s="138">
        <f>'Short-Term Long-Term Debt 24'!J49</f>
        <v>74862479</v>
      </c>
      <c r="C4172" s="2" t="s">
        <v>593</v>
      </c>
      <c r="D4172" s="2" t="str">
        <f t="shared" si="64"/>
        <v>Error?</v>
      </c>
    </row>
    <row r="4173" spans="1:4">
      <c r="A4173" s="5">
        <v>4112</v>
      </c>
      <c r="B4173" s="138">
        <f>'Short-Term Long-Term Debt 24'!H49</f>
        <v>2663729</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2934.3999999999996</v>
      </c>
      <c r="C4265" s="2" t="s">
        <v>593</v>
      </c>
      <c r="D4265" s="2" t="str">
        <f t="shared" si="65"/>
        <v>Error?</v>
      </c>
      <c r="E4265" s="128"/>
    </row>
    <row r="4266" spans="1:5">
      <c r="A4266" s="12">
        <v>4205</v>
      </c>
      <c r="B4266" s="138">
        <f>('FP Info 3'!F10)*100000</f>
        <v>175.4</v>
      </c>
      <c r="C4266" s="2" t="s">
        <v>593</v>
      </c>
      <c r="D4266" s="2" t="str">
        <f t="shared" si="65"/>
        <v>Error?</v>
      </c>
      <c r="E4266" s="128"/>
    </row>
    <row r="4267" spans="1:5">
      <c r="A4267" s="12">
        <v>4206</v>
      </c>
      <c r="B4267" s="138">
        <f>('FP Info 3'!H10)*100000</f>
        <v>145.6</v>
      </c>
      <c r="C4267" s="2" t="s">
        <v>593</v>
      </c>
      <c r="D4267" s="2" t="str">
        <f t="shared" si="65"/>
        <v>Error?</v>
      </c>
      <c r="E4267" s="128"/>
    </row>
    <row r="4268" spans="1:5">
      <c r="A4268" s="12">
        <v>4207</v>
      </c>
      <c r="B4268" s="138">
        <f>('FP Info 3'!J10)*100000</f>
        <v>3255.0000000000005</v>
      </c>
      <c r="C4268" s="2" t="s">
        <v>593</v>
      </c>
      <c r="D4268" s="2" t="str">
        <f t="shared" si="65"/>
        <v>Error?</v>
      </c>
    </row>
    <row r="4269" spans="1:5">
      <c r="A4269" s="12">
        <v>4208</v>
      </c>
      <c r="B4269" s="138">
        <f>'FP Info 3'!J16</f>
        <v>39558643</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350230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311270</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490056</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52599</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52599</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350230</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44599</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88949</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0</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38320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968469</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1971092</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3032954923</v>
      </c>
      <c r="D4995" s="2" t="str">
        <f t="shared" si="77"/>
        <v>Error?</v>
      </c>
    </row>
    <row r="4996" spans="1:4">
      <c r="A4996" s="12">
        <v>4935</v>
      </c>
      <c r="B4996" s="138">
        <f>'FP Info 3'!H31</f>
        <v>209273889.68700001</v>
      </c>
      <c r="D4996" s="2" t="str">
        <f t="shared" si="77"/>
        <v>Error?</v>
      </c>
    </row>
    <row r="4997" spans="1:4">
      <c r="A4997" s="12">
        <v>4936</v>
      </c>
      <c r="B4997" s="138">
        <f>'FP Info 3'!H37</f>
        <v>74862479</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90570660</v>
      </c>
      <c r="D5061" s="2" t="str">
        <f t="shared" si="78"/>
        <v>Error?</v>
      </c>
    </row>
    <row r="5062" spans="1:4">
      <c r="A5062" s="10">
        <v>5001</v>
      </c>
      <c r="D5062" s="2" t="str">
        <f t="shared" si="78"/>
        <v>OK</v>
      </c>
    </row>
    <row r="5063" spans="1:4">
      <c r="A5063" s="5">
        <v>5002</v>
      </c>
      <c r="B5063" s="138">
        <f>'Revenues 9-14'!C7</f>
        <v>2962007</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93532667</v>
      </c>
      <c r="C5066" s="2" t="s">
        <v>593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1185356</v>
      </c>
      <c r="D5069" s="2" t="str">
        <f t="shared" si="78"/>
        <v>Error?</v>
      </c>
    </row>
    <row r="5070" spans="1:4">
      <c r="A5070" s="5">
        <v>5009</v>
      </c>
      <c r="B5070" s="138">
        <f>'Revenues 9-14'!C17</f>
        <v>0</v>
      </c>
      <c r="D5070" s="2" t="str">
        <f t="shared" si="78"/>
        <v>Error?</v>
      </c>
    </row>
    <row r="5071" spans="1:4">
      <c r="A5071" s="5">
        <v>5010</v>
      </c>
      <c r="B5071" s="138">
        <f>'Revenues 9-14'!C18</f>
        <v>1185356</v>
      </c>
      <c r="C5071" s="2" t="s">
        <v>593</v>
      </c>
      <c r="D5071" s="2" t="str">
        <f t="shared" si="78"/>
        <v>Error?</v>
      </c>
    </row>
    <row r="5072" spans="1:4">
      <c r="A5072" s="5">
        <v>5011</v>
      </c>
      <c r="B5072" s="138">
        <f>'Revenues 9-14'!C20</f>
        <v>38367</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89157</v>
      </c>
      <c r="C5087" s="2" t="s">
        <v>593</v>
      </c>
      <c r="D5087" s="2" t="str">
        <f t="shared" si="78"/>
        <v>Error?</v>
      </c>
    </row>
    <row r="5088" spans="1:4">
      <c r="A5088" s="5">
        <v>5027</v>
      </c>
      <c r="B5088" s="138">
        <f>'Revenues 9-14'!C65</f>
        <v>293049</v>
      </c>
      <c r="D5088" s="2" t="str">
        <f t="shared" si="78"/>
        <v>Error?</v>
      </c>
    </row>
    <row r="5089" spans="1:4">
      <c r="A5089" s="5">
        <v>5028</v>
      </c>
      <c r="B5089" s="138">
        <f>'Revenues 9-14'!C66</f>
        <v>0</v>
      </c>
      <c r="D5089" s="2" t="str">
        <f t="shared" si="78"/>
        <v>Error?</v>
      </c>
    </row>
    <row r="5090" spans="1:4">
      <c r="A5090" s="5">
        <v>5029</v>
      </c>
      <c r="B5090" s="138">
        <f>'Revenues 9-14'!C67</f>
        <v>293049</v>
      </c>
      <c r="C5090" s="2" t="s">
        <v>593</v>
      </c>
      <c r="D5090" s="2" t="str">
        <f t="shared" si="78"/>
        <v>Error?</v>
      </c>
    </row>
    <row r="5091" spans="1:4">
      <c r="A5091" s="5">
        <v>5030</v>
      </c>
      <c r="B5091" s="138">
        <f>'Revenues 9-14'!C70</f>
        <v>8519</v>
      </c>
      <c r="D5091" s="2" t="str">
        <f t="shared" si="78"/>
        <v>Error?</v>
      </c>
    </row>
    <row r="5092" spans="1:4">
      <c r="A5092" s="5">
        <v>5031</v>
      </c>
      <c r="B5092" s="138">
        <f>'Revenues 9-14'!C71</f>
        <v>163711</v>
      </c>
      <c r="D5092" s="2" t="str">
        <f t="shared" si="78"/>
        <v>Error?</v>
      </c>
    </row>
    <row r="5093" spans="1:4">
      <c r="A5093" s="5">
        <v>5032</v>
      </c>
      <c r="B5093" s="138">
        <f>'Revenues 9-14'!C72</f>
        <v>0</v>
      </c>
      <c r="D5093" s="2" t="str">
        <f t="shared" si="78"/>
        <v>Error?</v>
      </c>
    </row>
    <row r="5094" spans="1:4">
      <c r="A5094" s="5">
        <v>5033</v>
      </c>
      <c r="B5094" s="138">
        <f>'Revenues 9-14'!C73</f>
        <v>96566</v>
      </c>
      <c r="D5094" s="2" t="str">
        <f t="shared" si="78"/>
        <v>Error?</v>
      </c>
    </row>
    <row r="5095" spans="1:4">
      <c r="A5095" s="5">
        <v>5034</v>
      </c>
      <c r="B5095" s="138">
        <f>'Revenues 9-14'!C74</f>
        <v>0</v>
      </c>
      <c r="D5095" s="2" t="str">
        <f t="shared" si="78"/>
        <v>Error?</v>
      </c>
    </row>
    <row r="5096" spans="1:4">
      <c r="A5096" s="5">
        <v>5035</v>
      </c>
      <c r="B5096" s="138">
        <f>'Revenues 9-14'!C75</f>
        <v>633965</v>
      </c>
      <c r="C5096" s="2" t="s">
        <v>593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2415274</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2415274</v>
      </c>
      <c r="C5102" s="2" t="s">
        <v>593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593</v>
      </c>
      <c r="D5112" s="2" t="str">
        <f t="shared" si="78"/>
        <v>Error?</v>
      </c>
    </row>
    <row r="5113" spans="1:4">
      <c r="A5113" s="5">
        <v>5052</v>
      </c>
      <c r="B5113" s="138">
        <f>'Revenues 9-14'!C95</f>
        <v>0</v>
      </c>
      <c r="D5113" s="2" t="str">
        <f t="shared" si="78"/>
        <v>Error?</v>
      </c>
    </row>
    <row r="5114" spans="1:4">
      <c r="A5114" s="5">
        <v>5053</v>
      </c>
      <c r="B5114" s="138">
        <f>'Revenues 9-14'!C96</f>
        <v>986786</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52814</v>
      </c>
      <c r="D5118" s="2" t="str">
        <f t="shared" si="78"/>
        <v>Error?</v>
      </c>
    </row>
    <row r="5119" spans="1:4">
      <c r="A5119" s="5">
        <v>5058</v>
      </c>
      <c r="B5119" s="138">
        <f>'Revenues 9-14'!C107</f>
        <v>382764</v>
      </c>
      <c r="D5119" s="2" t="str">
        <f t="shared" ref="D5119:D5182" si="79">IF(ISBLANK(B5119),"OK",IF(A5119-B5119=0,"OK","Error?"))</f>
        <v>Error?</v>
      </c>
    </row>
    <row r="5120" spans="1:4">
      <c r="A5120" s="5">
        <v>5059</v>
      </c>
      <c r="B5120" s="138">
        <f>'Revenues 9-14'!C108</f>
        <v>1422364</v>
      </c>
      <c r="C5120" s="2" t="s">
        <v>593</v>
      </c>
      <c r="D5120" s="2" t="str">
        <f t="shared" si="79"/>
        <v>Error?</v>
      </c>
    </row>
    <row r="5121" spans="1:4">
      <c r="A5121" s="5">
        <v>5060</v>
      </c>
      <c r="B5121" s="138">
        <f>'Revenues 9-14'!C109</f>
        <v>99571832</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5909285</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7880377</v>
      </c>
      <c r="C5132" s="2" t="s">
        <v>593</v>
      </c>
      <c r="D5132" s="2" t="str">
        <f t="shared" si="79"/>
        <v>Error?</v>
      </c>
    </row>
    <row r="5133" spans="1:4">
      <c r="A5133" s="5">
        <v>5072</v>
      </c>
      <c r="B5133" s="138">
        <f>'Revenues 9-14'!C124</f>
        <v>1037010</v>
      </c>
      <c r="D5133" s="2" t="str">
        <f t="shared" si="79"/>
        <v>Error?</v>
      </c>
    </row>
    <row r="5134" spans="1:4">
      <c r="A5134" s="5">
        <v>5073</v>
      </c>
      <c r="B5134" s="138">
        <f>'Revenues 9-14'!C125</f>
        <v>496762</v>
      </c>
      <c r="D5134" s="2" t="str">
        <f t="shared" si="79"/>
        <v>Error?</v>
      </c>
    </row>
    <row r="5135" spans="1:4">
      <c r="A5135" s="5">
        <v>5074</v>
      </c>
      <c r="B5135" s="138">
        <f>'Revenues 9-14'!C126</f>
        <v>1004257</v>
      </c>
      <c r="D5135" s="2" t="str">
        <f t="shared" si="79"/>
        <v>Error?</v>
      </c>
    </row>
    <row r="5136" spans="1:4">
      <c r="A5136" s="10">
        <v>5075</v>
      </c>
      <c r="D5136" s="2" t="str">
        <f t="shared" si="79"/>
        <v>OK</v>
      </c>
    </row>
    <row r="5137" spans="1:4">
      <c r="A5137" s="5">
        <v>5076</v>
      </c>
      <c r="B5137" s="138">
        <f>'Revenues 9-14'!C127</f>
        <v>1732670</v>
      </c>
      <c r="D5137" s="2" t="str">
        <f t="shared" si="79"/>
        <v>Error?</v>
      </c>
    </row>
    <row r="5138" spans="1:4">
      <c r="A5138" s="10">
        <v>5077</v>
      </c>
      <c r="D5138" s="2" t="str">
        <f t="shared" si="79"/>
        <v>OK</v>
      </c>
    </row>
    <row r="5139" spans="1:4">
      <c r="A5139" s="5">
        <v>5078</v>
      </c>
      <c r="B5139" s="138">
        <f>'Revenues 9-14'!C128</f>
        <v>148543</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2183</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4421425</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593</v>
      </c>
      <c r="D5161" s="2" t="str">
        <f t="shared" si="79"/>
        <v>Error?</v>
      </c>
    </row>
    <row r="5162" spans="1:4">
      <c r="A5162" s="10">
        <v>5101</v>
      </c>
      <c r="D5162" s="2" t="str">
        <f t="shared" si="79"/>
        <v>OK</v>
      </c>
    </row>
    <row r="5163" spans="1:4">
      <c r="A5163" s="5">
        <v>5102</v>
      </c>
      <c r="B5163" s="138">
        <f>'Revenues 9-14'!C142</f>
        <v>312630</v>
      </c>
      <c r="D5163" s="2" t="str">
        <f t="shared" si="79"/>
        <v>Error?</v>
      </c>
    </row>
    <row r="5164" spans="1:4">
      <c r="A5164" s="5">
        <v>5103</v>
      </c>
      <c r="B5164" s="138">
        <f>'Revenues 9-14'!C143</f>
        <v>0</v>
      </c>
      <c r="D5164" s="2" t="str">
        <f t="shared" si="79"/>
        <v>Error?</v>
      </c>
    </row>
    <row r="5165" spans="1:4">
      <c r="A5165" s="5">
        <v>5104</v>
      </c>
      <c r="B5165" s="138">
        <f>'Revenues 9-14'!C144</f>
        <v>312630</v>
      </c>
      <c r="C5165" s="2" t="s">
        <v>593</v>
      </c>
      <c r="D5165" s="2" t="str">
        <f t="shared" si="79"/>
        <v>Error?</v>
      </c>
    </row>
    <row r="5166" spans="1:4">
      <c r="A5166" s="10">
        <v>5105</v>
      </c>
      <c r="D5166" s="2" t="str">
        <f t="shared" si="79"/>
        <v>OK</v>
      </c>
    </row>
    <row r="5167" spans="1:4">
      <c r="A5167" s="5">
        <v>5106</v>
      </c>
      <c r="B5167" s="138">
        <f>'Revenues 9-14'!C145</f>
        <v>18348</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102000</v>
      </c>
      <c r="D5194" s="2" t="str">
        <f t="shared" si="80"/>
        <v>Error?</v>
      </c>
    </row>
    <row r="5195" spans="1:4">
      <c r="A5195" s="10">
        <v>5134</v>
      </c>
      <c r="D5195" s="2" t="str">
        <f t="shared" si="80"/>
        <v>OK</v>
      </c>
    </row>
    <row r="5196" spans="1:4">
      <c r="A5196" s="5">
        <v>5135</v>
      </c>
      <c r="B5196" s="138">
        <f>'Revenues 9-14'!C158</f>
        <v>2031061</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6923784</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14804161</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1585740</v>
      </c>
      <c r="D5230" s="2" t="str">
        <f t="shared" si="80"/>
        <v>Error?</v>
      </c>
    </row>
    <row r="5231" spans="1:4">
      <c r="A5231" s="5">
        <v>5170</v>
      </c>
      <c r="B5231" s="138">
        <f>'Revenues 9-14'!C181</f>
        <v>0</v>
      </c>
      <c r="D5231" s="2" t="str">
        <f t="shared" si="80"/>
        <v>Error?</v>
      </c>
    </row>
    <row r="5232" spans="1:4">
      <c r="A5232" s="5">
        <v>5171</v>
      </c>
      <c r="B5232" s="138">
        <f>'Revenues 9-14'!C184</f>
        <v>2554209</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1168756</v>
      </c>
      <c r="D5239" s="2" t="str">
        <f t="shared" si="80"/>
        <v>Error?</v>
      </c>
    </row>
    <row r="5240" spans="1:4">
      <c r="A5240" s="5">
        <v>5179</v>
      </c>
      <c r="B5240" s="138">
        <f>'Revenues 9-14'!C195</f>
        <v>0</v>
      </c>
      <c r="D5240" s="2" t="str">
        <f t="shared" si="80"/>
        <v>Error?</v>
      </c>
    </row>
    <row r="5241" spans="1:4">
      <c r="A5241" s="5">
        <v>5180</v>
      </c>
      <c r="B5241" s="138">
        <f>'Revenues 9-14'!C196</f>
        <v>101602</v>
      </c>
      <c r="D5241" s="2" t="str">
        <f t="shared" si="80"/>
        <v>Error?</v>
      </c>
    </row>
    <row r="5242" spans="1:4">
      <c r="A5242" s="5">
        <v>5181</v>
      </c>
      <c r="B5242" s="138">
        <f>'Revenues 9-14'!C197</f>
        <v>0</v>
      </c>
      <c r="D5242" s="2" t="str">
        <f t="shared" si="80"/>
        <v>Error?</v>
      </c>
    </row>
    <row r="5243" spans="1:4">
      <c r="A5243" s="5">
        <v>5182</v>
      </c>
      <c r="B5243" s="138">
        <f>'Revenues 9-14'!C198</f>
        <v>161685</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1432043</v>
      </c>
      <c r="C5246" s="2" t="s">
        <v>593</v>
      </c>
      <c r="D5246" s="2" t="str">
        <f t="shared" si="80"/>
        <v>Error?</v>
      </c>
    </row>
    <row r="5247" spans="1:4">
      <c r="A5247" s="5">
        <v>5186</v>
      </c>
      <c r="B5247" s="138">
        <f>'Revenues 9-14'!C203</f>
        <v>1071857</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1071857</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53093</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1619770</v>
      </c>
      <c r="D5278" s="2" t="str">
        <f t="shared" si="81"/>
        <v>Error?</v>
      </c>
    </row>
    <row r="5279" spans="1:4">
      <c r="A5279" s="5">
        <v>5218</v>
      </c>
      <c r="B5279" s="138">
        <f>'Revenues 9-14'!C221</f>
        <v>311903</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1984766</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5826369</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8380578</v>
      </c>
      <c r="C5326" s="2" t="s">
        <v>593</v>
      </c>
      <c r="D5326" s="2" t="str">
        <f t="shared" si="82"/>
        <v>Error?</v>
      </c>
    </row>
    <row r="5327" spans="1:4">
      <c r="A5327" s="5">
        <v>5266</v>
      </c>
      <c r="B5327" s="138">
        <f>'Revenues 9-14'!C275</f>
        <v>122756571</v>
      </c>
      <c r="C5327" s="2" t="s">
        <v>593</v>
      </c>
      <c r="D5327" s="2" t="str">
        <f t="shared" si="82"/>
        <v>Error?</v>
      </c>
    </row>
    <row r="5328" spans="1:4">
      <c r="A5328" s="5">
        <v>5267</v>
      </c>
      <c r="B5328" s="138">
        <f>'Revenues 9-14'!D5</f>
        <v>8022304</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8022304</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375614</v>
      </c>
      <c r="D5337" s="2" t="str">
        <f t="shared" si="82"/>
        <v>Error?</v>
      </c>
    </row>
    <row r="5338" spans="1:4">
      <c r="A5338" s="5">
        <v>5277</v>
      </c>
      <c r="B5338" s="138">
        <f>'Revenues 9-14'!D17</f>
        <v>0</v>
      </c>
      <c r="D5338" s="2" t="str">
        <f t="shared" si="82"/>
        <v>Error?</v>
      </c>
    </row>
    <row r="5339" spans="1:4">
      <c r="A5339" s="5">
        <v>5278</v>
      </c>
      <c r="B5339" s="138">
        <f>'Revenues 9-14'!D18</f>
        <v>375614</v>
      </c>
      <c r="C5339" s="2" t="s">
        <v>593</v>
      </c>
      <c r="D5339" s="2" t="str">
        <f t="shared" si="82"/>
        <v>Error?</v>
      </c>
    </row>
    <row r="5340" spans="1:4">
      <c r="A5340" s="5">
        <v>5279</v>
      </c>
      <c r="B5340" s="138">
        <f>'Revenues 9-14'!D65</f>
        <v>56431</v>
      </c>
      <c r="D5340" s="2" t="str">
        <f t="shared" si="82"/>
        <v>Error?</v>
      </c>
    </row>
    <row r="5341" spans="1:4">
      <c r="A5341" s="5">
        <v>5280</v>
      </c>
      <c r="B5341" s="138">
        <f>'Revenues 9-14'!D66</f>
        <v>0</v>
      </c>
      <c r="D5341" s="2" t="str">
        <f t="shared" si="82"/>
        <v>Error?</v>
      </c>
    </row>
    <row r="5342" spans="1:4">
      <c r="A5342" s="5">
        <v>5281</v>
      </c>
      <c r="B5342" s="138">
        <f>'Revenues 9-14'!D67</f>
        <v>56431</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43122</v>
      </c>
      <c r="D5349" s="2" t="str">
        <f t="shared" si="82"/>
        <v>Error?</v>
      </c>
    </row>
    <row r="5350" spans="1:4">
      <c r="A5350" s="5">
        <v>5289</v>
      </c>
      <c r="B5350" s="138">
        <f>'Revenues 9-14'!D96</f>
        <v>0</v>
      </c>
      <c r="D5350" s="2" t="str">
        <f t="shared" si="82"/>
        <v>Error?</v>
      </c>
    </row>
    <row r="5351" spans="1:4">
      <c r="A5351" s="5">
        <v>5290</v>
      </c>
      <c r="B5351" s="138">
        <f>'Revenues 9-14'!D98</f>
        <v>43557</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12249</v>
      </c>
      <c r="D5354" s="2" t="str">
        <f t="shared" si="82"/>
        <v>Error?</v>
      </c>
    </row>
    <row r="5355" spans="1:4">
      <c r="A5355" s="5">
        <v>5294</v>
      </c>
      <c r="B5355" s="138">
        <f>'Revenues 9-14'!D108</f>
        <v>98928</v>
      </c>
      <c r="C5355" s="2" t="s">
        <v>593</v>
      </c>
      <c r="D5355" s="2" t="str">
        <f t="shared" si="82"/>
        <v>Error?</v>
      </c>
    </row>
    <row r="5356" spans="1:4">
      <c r="A5356" s="5">
        <v>5295</v>
      </c>
      <c r="B5356" s="138">
        <f>'Revenues 9-14'!D109</f>
        <v>8553277</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5467</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5467</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5467</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8558744</v>
      </c>
      <c r="C5508" s="2" t="s">
        <v>593</v>
      </c>
      <c r="D5508" s="2" t="str">
        <f t="shared" si="85"/>
        <v>Error?</v>
      </c>
    </row>
    <row r="5509" spans="1:4">
      <c r="A5509" s="5">
        <v>5448</v>
      </c>
      <c r="B5509" s="138">
        <f>'Revenues 9-14'!E5</f>
        <v>6069400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6069400</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90412</v>
      </c>
      <c r="D5519" s="2" t="str">
        <f t="shared" si="85"/>
        <v>Error?</v>
      </c>
    </row>
    <row r="5520" spans="1:4">
      <c r="A5520" s="5">
        <v>5459</v>
      </c>
      <c r="B5520" s="138">
        <f>'Revenues 9-14'!E66</f>
        <v>0</v>
      </c>
      <c r="D5520" s="2" t="str">
        <f t="shared" si="85"/>
        <v>Error?</v>
      </c>
    </row>
    <row r="5521" spans="1:4">
      <c r="A5521" s="5">
        <v>5460</v>
      </c>
      <c r="B5521" s="138">
        <f>'Revenues 9-14'!E67</f>
        <v>90412</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6159812</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6159812</v>
      </c>
      <c r="C5552" s="2" t="s">
        <v>593</v>
      </c>
      <c r="D5552" s="2" t="str">
        <f t="shared" si="85"/>
        <v>Error?</v>
      </c>
    </row>
    <row r="5553" spans="1:4">
      <c r="A5553" s="5">
        <v>5492</v>
      </c>
      <c r="B5553" s="138">
        <f>'Revenues 9-14'!F5</f>
        <v>3097254</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3097254</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593</v>
      </c>
      <c r="D5562" s="2" t="str">
        <f t="shared" si="85"/>
        <v>Error?</v>
      </c>
    </row>
    <row r="5563" spans="1:4">
      <c r="A5563" s="5">
        <v>5502</v>
      </c>
      <c r="B5563" s="138">
        <f>'Revenues 9-14'!F42</f>
        <v>64178</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64178</v>
      </c>
      <c r="C5579" s="2" t="s">
        <v>593</v>
      </c>
      <c r="D5579" s="2" t="str">
        <f t="shared" si="86"/>
        <v>Error?</v>
      </c>
    </row>
    <row r="5580" spans="1:4">
      <c r="A5580" s="5">
        <v>5519</v>
      </c>
      <c r="B5580" s="138">
        <f>'Revenues 9-14'!F65</f>
        <v>83522</v>
      </c>
      <c r="D5580" s="2" t="str">
        <f t="shared" si="86"/>
        <v>Error?</v>
      </c>
    </row>
    <row r="5581" spans="1:4">
      <c r="A5581" s="5">
        <v>5520</v>
      </c>
      <c r="B5581" s="138">
        <f>'Revenues 9-14'!F66</f>
        <v>0</v>
      </c>
      <c r="D5581" s="2" t="str">
        <f t="shared" si="86"/>
        <v>Error?</v>
      </c>
    </row>
    <row r="5582" spans="1:4">
      <c r="A5582" s="5">
        <v>5521</v>
      </c>
      <c r="B5582" s="138">
        <f>'Revenues 9-14'!F67</f>
        <v>83522</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593</v>
      </c>
      <c r="D5587" s="2" t="str">
        <f t="shared" si="86"/>
        <v>Error?</v>
      </c>
    </row>
    <row r="5588" spans="1:4">
      <c r="A5588" s="5">
        <v>5527</v>
      </c>
      <c r="B5588" s="138">
        <f>'Revenues 9-14'!F109</f>
        <v>3244954</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29661</v>
      </c>
      <c r="D5615" s="2" t="str">
        <f t="shared" si="86"/>
        <v>Error?</v>
      </c>
    </row>
    <row r="5616" spans="1:4">
      <c r="A5616" s="10">
        <v>5555</v>
      </c>
      <c r="D5616" s="2" t="str">
        <f t="shared" si="86"/>
        <v>OK</v>
      </c>
    </row>
    <row r="5617" spans="1:4">
      <c r="A5617" s="5">
        <v>5556</v>
      </c>
      <c r="B5617" s="138">
        <f>'Revenues 9-14'!F152</f>
        <v>1414771</v>
      </c>
      <c r="D5617" s="2" t="str">
        <f t="shared" si="86"/>
        <v>Error?</v>
      </c>
    </row>
    <row r="5618" spans="1:4">
      <c r="A5618" s="5">
        <v>5557</v>
      </c>
      <c r="B5618" s="138">
        <f>'Revenues 9-14'!F154</f>
        <v>1444432</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117807</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1562239</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1562239</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4807193</v>
      </c>
      <c r="C5720" s="2" t="s">
        <v>593</v>
      </c>
      <c r="D5720" s="2" t="str">
        <f t="shared" si="88"/>
        <v>Error?</v>
      </c>
    </row>
    <row r="5721" spans="1:4">
      <c r="A5721" s="5">
        <v>5660</v>
      </c>
      <c r="B5721" s="138">
        <f>'Revenues 9-14'!G5</f>
        <v>957981</v>
      </c>
      <c r="D5721" s="2" t="str">
        <f t="shared" si="88"/>
        <v>Error?</v>
      </c>
    </row>
    <row r="5722" spans="1:4">
      <c r="A5722" s="5">
        <v>5661</v>
      </c>
      <c r="B5722" s="138">
        <f>'Revenues 9-14'!G7</f>
        <v>0</v>
      </c>
      <c r="D5722" s="2" t="str">
        <f t="shared" si="88"/>
        <v>Error?</v>
      </c>
    </row>
    <row r="5723" spans="1:4">
      <c r="A5723" s="5">
        <v>5662</v>
      </c>
      <c r="B5723" s="138">
        <f>'Revenues 9-14'!G8</f>
        <v>1918482</v>
      </c>
      <c r="D5723" s="2" t="str">
        <f t="shared" si="88"/>
        <v>Error?</v>
      </c>
    </row>
    <row r="5724" spans="1:4">
      <c r="A5724" s="5">
        <v>5663</v>
      </c>
      <c r="B5724" s="138">
        <f>'Revenues 9-14'!G11</f>
        <v>0</v>
      </c>
      <c r="D5724" s="2" t="str">
        <f t="shared" si="88"/>
        <v>Error?</v>
      </c>
    </row>
    <row r="5725" spans="1:4">
      <c r="A5725" s="5">
        <v>5664</v>
      </c>
      <c r="B5725" s="138">
        <f>'Revenues 9-14'!G12</f>
        <v>2876463</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103813</v>
      </c>
      <c r="D5728" s="2" t="str">
        <f t="shared" si="88"/>
        <v>Error?</v>
      </c>
    </row>
    <row r="5729" spans="1:4">
      <c r="A5729" s="5">
        <v>5668</v>
      </c>
      <c r="B5729" s="138">
        <f>'Revenues 9-14'!G17</f>
        <v>0</v>
      </c>
      <c r="D5729" s="2" t="str">
        <f t="shared" si="88"/>
        <v>Error?</v>
      </c>
    </row>
    <row r="5730" spans="1:4">
      <c r="A5730" s="5">
        <v>5669</v>
      </c>
      <c r="B5730" s="138">
        <f>'Revenues 9-14'!G18</f>
        <v>103813</v>
      </c>
      <c r="C5730" s="2" t="s">
        <v>593</v>
      </c>
      <c r="D5730" s="2" t="str">
        <f t="shared" si="88"/>
        <v>Error?</v>
      </c>
    </row>
    <row r="5731" spans="1:4">
      <c r="A5731" s="5">
        <v>5670</v>
      </c>
      <c r="B5731" s="138">
        <f>'Revenues 9-14'!G65</f>
        <v>368274</v>
      </c>
      <c r="D5731" s="2" t="str">
        <f t="shared" si="88"/>
        <v>Error?</v>
      </c>
    </row>
    <row r="5732" spans="1:4">
      <c r="A5732" s="5">
        <v>5671</v>
      </c>
      <c r="B5732" s="138">
        <f>'Revenues 9-14'!G66</f>
        <v>0</v>
      </c>
      <c r="D5732" s="2" t="str">
        <f t="shared" si="88"/>
        <v>Error?</v>
      </c>
    </row>
    <row r="5733" spans="1:4">
      <c r="A5733" s="5">
        <v>5672</v>
      </c>
      <c r="B5733" s="138">
        <f>'Revenues 9-14'!G67</f>
        <v>368274</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3348550</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5185</v>
      </c>
      <c r="D5879" s="2" t="str">
        <f t="shared" si="90"/>
        <v>Error?</v>
      </c>
    </row>
    <row r="5880" spans="1:4">
      <c r="A5880" s="5">
        <v>5819</v>
      </c>
      <c r="B5880" s="138">
        <f>'Revenues 9-14'!H66</f>
        <v>0</v>
      </c>
      <c r="D5880" s="2" t="str">
        <f t="shared" si="90"/>
        <v>Error?</v>
      </c>
    </row>
    <row r="5881" spans="1:4">
      <c r="A5881" s="5">
        <v>5820</v>
      </c>
      <c r="B5881" s="138">
        <f>'Revenues 9-14'!H67</f>
        <v>5185</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5185</v>
      </c>
      <c r="C5915" s="2" t="s">
        <v>593</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189213</v>
      </c>
      <c r="D5924" s="2" t="str">
        <f t="shared" si="91"/>
        <v>Error?</v>
      </c>
    </row>
    <row r="5925" spans="1:4">
      <c r="A5925" s="5">
        <v>5864</v>
      </c>
      <c r="B5925" s="138">
        <f>'Revenues 9-14'!I66</f>
        <v>0</v>
      </c>
      <c r="D5925" s="2" t="str">
        <f t="shared" si="91"/>
        <v>Error?</v>
      </c>
    </row>
    <row r="5926" spans="1:4">
      <c r="A5926" s="5">
        <v>5865</v>
      </c>
      <c r="B5926" s="138">
        <f>'Revenues 9-14'!I67</f>
        <v>189213</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189213</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109842</v>
      </c>
      <c r="D5985" s="2" t="str">
        <f t="shared" si="92"/>
        <v>Error?</v>
      </c>
    </row>
    <row r="5986" spans="1:4">
      <c r="A5986" s="5">
        <v>5925</v>
      </c>
      <c r="B5986" s="138">
        <f>'Revenues 9-14'!K11</f>
        <v>0</v>
      </c>
      <c r="D5986" s="2" t="str">
        <f t="shared" si="92"/>
        <v>Error?</v>
      </c>
    </row>
    <row r="5987" spans="1:4">
      <c r="A5987" s="5">
        <v>5926</v>
      </c>
      <c r="B5987" s="138">
        <f>'Revenues 9-14'!K12</f>
        <v>109842</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6625</v>
      </c>
      <c r="D5993" s="2" t="str">
        <f t="shared" si="92"/>
        <v>Error?</v>
      </c>
    </row>
    <row r="5994" spans="1:4">
      <c r="A5994" s="5">
        <v>5933</v>
      </c>
      <c r="B5994" s="138">
        <f>'Revenues 9-14'!K66</f>
        <v>0</v>
      </c>
      <c r="D5994" s="2" t="str">
        <f t="shared" si="92"/>
        <v>Error?</v>
      </c>
    </row>
    <row r="5995" spans="1:4">
      <c r="A5995" s="5">
        <v>5934</v>
      </c>
      <c r="B5995" s="138">
        <f>'Revenues 9-14'!K67</f>
        <v>6625</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116467</v>
      </c>
      <c r="C6023" s="2" t="s">
        <v>593</v>
      </c>
      <c r="D6023" s="2" t="str">
        <f t="shared" si="93"/>
        <v>Error?</v>
      </c>
    </row>
    <row r="6024" spans="1:5">
      <c r="A6024" s="5">
        <v>5963</v>
      </c>
      <c r="B6024" s="138">
        <f>'Revenues 9-14'!G109</f>
        <v>3348550</v>
      </c>
      <c r="C6024" s="2" t="s">
        <v>593</v>
      </c>
      <c r="D6024" s="2" t="str">
        <f t="shared" si="93"/>
        <v>Error?</v>
      </c>
    </row>
    <row r="6025" spans="1:5">
      <c r="A6025" s="5">
        <v>5964</v>
      </c>
      <c r="B6025" s="138">
        <f>'Revenues 9-14'!H109</f>
        <v>5185</v>
      </c>
      <c r="C6025" s="2" t="s">
        <v>593</v>
      </c>
      <c r="D6025" s="2" t="str">
        <f t="shared" si="93"/>
        <v>Error?</v>
      </c>
    </row>
    <row r="6026" spans="1:5">
      <c r="A6026" s="5">
        <v>5965</v>
      </c>
      <c r="B6026" s="138">
        <f>'Revenues 9-14'!I109</f>
        <v>189213</v>
      </c>
      <c r="C6026" s="2" t="s">
        <v>593</v>
      </c>
      <c r="D6026" s="2" t="str">
        <f t="shared" si="93"/>
        <v>Error?</v>
      </c>
    </row>
    <row r="6027" spans="1:5">
      <c r="A6027" s="10">
        <v>5966</v>
      </c>
      <c r="C6027" s="2" t="s">
        <v>593</v>
      </c>
      <c r="D6027" s="2" t="str">
        <f t="shared" si="93"/>
        <v>OK</v>
      </c>
    </row>
    <row r="6028" spans="1:5">
      <c r="A6028" s="5">
        <v>5967</v>
      </c>
      <c r="B6028" s="138">
        <f>'Revenues 9-14'!K109</f>
        <v>116467</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365169</v>
      </c>
      <c r="D6031" s="2" t="str">
        <f t="shared" si="93"/>
        <v>Error?</v>
      </c>
    </row>
    <row r="6032" spans="1:5">
      <c r="A6032" s="5">
        <v>5971</v>
      </c>
      <c r="B6032" s="138">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165494</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7353.19</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47704</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2437868</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2437868</v>
      </c>
      <c r="D6215" s="2" t="str">
        <f t="shared" si="96"/>
        <v>Error?</v>
      </c>
      <c r="E6215" s="2" t="s">
        <v>199</v>
      </c>
    </row>
    <row r="6216" spans="1:5">
      <c r="A6216">
        <v>6155</v>
      </c>
      <c r="B6216" s="138">
        <f>'Assets-Liab 5-6'!J41</f>
        <v>2437868</v>
      </c>
      <c r="D6216" s="2" t="str">
        <f t="shared" si="96"/>
        <v>Error?</v>
      </c>
      <c r="E6216" s="2" t="s">
        <v>199</v>
      </c>
    </row>
    <row r="6217" spans="1:5">
      <c r="A6217">
        <v>6156</v>
      </c>
      <c r="B6217" s="138">
        <f>'Assets-Liab 5-6'!J4</f>
        <v>2437868</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1312670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1312670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1312670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880255</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880255</v>
      </c>
      <c r="D6229" s="2" t="str">
        <f t="shared" si="96"/>
        <v>Error?</v>
      </c>
      <c r="E6229" s="2" t="s">
        <v>199</v>
      </c>
    </row>
    <row r="6230" spans="1:5">
      <c r="A6230">
        <v>6169</v>
      </c>
      <c r="B6230" s="138">
        <f>'Acct Summary 7-8'!J20</f>
        <v>432415</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432415</v>
      </c>
      <c r="D6263" s="2" t="str">
        <f t="shared" si="96"/>
        <v>Error?</v>
      </c>
      <c r="E6263" s="2" t="s">
        <v>199</v>
      </c>
    </row>
    <row r="6264" spans="1:5">
      <c r="A6264">
        <v>6203</v>
      </c>
      <c r="B6264" s="138">
        <f>'Acct Summary 7-8'!J79</f>
        <v>2005453</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2437868</v>
      </c>
      <c r="D6266" s="2" t="str">
        <f t="shared" si="96"/>
        <v>Error?</v>
      </c>
      <c r="E6266" s="2" t="s">
        <v>199</v>
      </c>
    </row>
    <row r="6267" spans="1:5">
      <c r="A6267">
        <v>6206</v>
      </c>
      <c r="B6267" s="138">
        <f>'Acct Summary 7-8'!C82</f>
        <v>17565879</v>
      </c>
      <c r="D6267" s="2" t="str">
        <f t="shared" si="96"/>
        <v>Error?</v>
      </c>
      <c r="E6267" s="2" t="s">
        <v>199</v>
      </c>
    </row>
    <row r="6268" spans="1:5">
      <c r="A6268">
        <v>6207</v>
      </c>
      <c r="B6268" s="138">
        <f>'Acct Summary 7-8'!D82</f>
        <v>1586784</v>
      </c>
      <c r="D6268" s="2" t="str">
        <f t="shared" si="96"/>
        <v>Error?</v>
      </c>
      <c r="E6268" s="2" t="s">
        <v>199</v>
      </c>
    </row>
    <row r="6269" spans="1:5">
      <c r="A6269">
        <v>6208</v>
      </c>
      <c r="B6269" s="138">
        <f>'Acct Summary 7-8'!E82</f>
        <v>493401</v>
      </c>
      <c r="D6269" s="2" t="str">
        <f t="shared" si="96"/>
        <v>Error?</v>
      </c>
      <c r="E6269" s="2" t="s">
        <v>199</v>
      </c>
    </row>
    <row r="6270" spans="1:5">
      <c r="A6270">
        <v>6209</v>
      </c>
      <c r="B6270" s="138">
        <f>'Acct Summary 7-8'!F82</f>
        <v>536205</v>
      </c>
      <c r="D6270" s="2" t="str">
        <f t="shared" si="96"/>
        <v>Error?</v>
      </c>
      <c r="E6270" s="2" t="s">
        <v>199</v>
      </c>
    </row>
    <row r="6271" spans="1:5">
      <c r="A6271">
        <v>6210</v>
      </c>
      <c r="B6271" s="138">
        <f>'Acct Summary 7-8'!G82</f>
        <v>-525802</v>
      </c>
      <c r="D6271" s="2" t="str">
        <f t="shared" ref="D6271:D6334" si="97">IF(ISBLANK(B6271),"OK",IF(A6271-B6271=0,"OK","Error?"))</f>
        <v>Error?</v>
      </c>
      <c r="E6271" s="2" t="s">
        <v>199</v>
      </c>
    </row>
    <row r="6272" spans="1:5">
      <c r="A6272">
        <v>6211</v>
      </c>
      <c r="B6272" s="138">
        <f>'Acct Summary 7-8'!H82</f>
        <v>-602921</v>
      </c>
      <c r="D6272" s="2" t="str">
        <f t="shared" si="97"/>
        <v>Error?</v>
      </c>
      <c r="E6272" s="2" t="s">
        <v>199</v>
      </c>
    </row>
    <row r="6273" spans="1:5">
      <c r="A6273">
        <v>6212</v>
      </c>
      <c r="B6273" s="138">
        <f>'Acct Summary 7-8'!I82</f>
        <v>189213</v>
      </c>
      <c r="D6273" s="2" t="str">
        <f t="shared" si="97"/>
        <v>Error?</v>
      </c>
      <c r="E6273" s="2" t="s">
        <v>199</v>
      </c>
    </row>
    <row r="6274" spans="1:5">
      <c r="A6274">
        <v>6213</v>
      </c>
      <c r="B6274" s="138">
        <f>'Acct Summary 7-8'!J82</f>
        <v>432415</v>
      </c>
      <c r="D6274" s="2" t="str">
        <f t="shared" si="97"/>
        <v>Error?</v>
      </c>
      <c r="E6274" s="2" t="s">
        <v>199</v>
      </c>
    </row>
    <row r="6275" spans="1:5">
      <c r="A6275">
        <v>6214</v>
      </c>
      <c r="B6275" s="138">
        <f>'Acct Summary 7-8'!K82</f>
        <v>52467</v>
      </c>
      <c r="D6275" s="2" t="str">
        <f t="shared" si="97"/>
        <v>Error?</v>
      </c>
      <c r="E6275" s="2" t="s">
        <v>199</v>
      </c>
    </row>
    <row r="6276" spans="1:5">
      <c r="A6276">
        <v>6215</v>
      </c>
      <c r="B6276" s="138">
        <f>'Acct Summary 7-8'!C83</f>
        <v>0.78949101389349263</v>
      </c>
      <c r="D6276" s="2" t="str">
        <f t="shared" si="97"/>
        <v>Error?</v>
      </c>
      <c r="E6276" s="2" t="s">
        <v>199</v>
      </c>
    </row>
    <row r="6277" spans="1:5">
      <c r="A6277">
        <v>6216</v>
      </c>
      <c r="B6277" s="138">
        <f>'Acct Summary 7-8'!D83</f>
        <v>0.44799526590599686</v>
      </c>
      <c r="D6277" s="2" t="str">
        <f t="shared" si="97"/>
        <v>Error?</v>
      </c>
      <c r="E6277" s="2" t="s">
        <v>199</v>
      </c>
    </row>
    <row r="6278" spans="1:5">
      <c r="A6278">
        <v>6217</v>
      </c>
      <c r="B6278" s="138">
        <f>'Acct Summary 7-8'!E83</f>
        <v>0.12085836207612395</v>
      </c>
      <c r="D6278" s="2" t="str">
        <f t="shared" si="97"/>
        <v>Error?</v>
      </c>
      <c r="E6278" s="2" t="s">
        <v>199</v>
      </c>
    </row>
    <row r="6279" spans="1:5">
      <c r="A6279">
        <v>6218</v>
      </c>
      <c r="B6279" s="138">
        <f>'Acct Summary 7-8'!F83</f>
        <v>0.42527128438344169</v>
      </c>
      <c r="D6279" s="2" t="str">
        <f t="shared" si="97"/>
        <v>Error?</v>
      </c>
      <c r="E6279" s="2" t="s">
        <v>199</v>
      </c>
    </row>
    <row r="6280" spans="1:5">
      <c r="A6280">
        <v>6219</v>
      </c>
      <c r="B6280" s="138">
        <f>'Acct Summary 7-8'!G83</f>
        <v>-0.79044434890062809</v>
      </c>
      <c r="D6280" s="2" t="str">
        <f t="shared" si="97"/>
        <v>Error?</v>
      </c>
      <c r="E6280" s="2" t="s">
        <v>199</v>
      </c>
    </row>
    <row r="6281" spans="1:5">
      <c r="A6281">
        <v>6220</v>
      </c>
      <c r="B6281" s="138">
        <f>'Acct Summary 7-8'!H83</f>
        <v>-0.57380171078127196</v>
      </c>
      <c r="D6281" s="2" t="str">
        <f t="shared" si="97"/>
        <v>Error?</v>
      </c>
      <c r="E6281" s="2" t="s">
        <v>199</v>
      </c>
    </row>
    <row r="6282" spans="1:5">
      <c r="A6282">
        <v>6221</v>
      </c>
      <c r="B6282" s="138">
        <f>'Acct Summary 7-8'!I83</f>
        <v>1.5129538169793889E-2</v>
      </c>
      <c r="D6282" s="2" t="str">
        <f t="shared" si="97"/>
        <v>Error?</v>
      </c>
      <c r="E6282" s="2" t="s">
        <v>199</v>
      </c>
    </row>
    <row r="6283" spans="1:5">
      <c r="A6283">
        <v>6222</v>
      </c>
      <c r="B6283" s="138">
        <f>'Acct Summary 7-8'!J83</f>
        <v>0.17737424667783488</v>
      </c>
      <c r="D6283" s="2" t="str">
        <f t="shared" si="97"/>
        <v>Error?</v>
      </c>
      <c r="E6283" s="2" t="s">
        <v>199</v>
      </c>
    </row>
    <row r="6284" spans="1:5">
      <c r="A6284">
        <v>6223</v>
      </c>
      <c r="B6284" s="138">
        <f>'Acct Summary 7-8'!K83</f>
        <v>0.71753668576742657</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1060659</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1060659</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222726</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222726</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50790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29285</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29285</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1312670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682978</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805226</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962808</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200000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76359</v>
      </c>
      <c r="D6976" s="2" t="str">
        <f t="shared" si="108"/>
        <v>Error?</v>
      </c>
    </row>
    <row r="6977" spans="1:4">
      <c r="A6977">
        <v>6916</v>
      </c>
      <c r="B6977" s="138">
        <f>'Expenditures 15-22'!I74</f>
        <v>0</v>
      </c>
      <c r="D6977" s="2" t="str">
        <f t="shared" si="108"/>
        <v>Error?</v>
      </c>
    </row>
    <row r="6978" spans="1:4">
      <c r="A6978">
        <v>6917</v>
      </c>
      <c r="B6978" s="138">
        <f>'Expenditures 15-22'!J74</f>
        <v>76359</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242138</v>
      </c>
      <c r="D6983" s="2" t="str">
        <f t="shared" si="108"/>
        <v>Error?</v>
      </c>
    </row>
    <row r="6984" spans="1:4">
      <c r="A6984">
        <v>6923</v>
      </c>
      <c r="B6984" s="138">
        <f>'Expenditures 15-22'!K86</f>
        <v>242138</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242138</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76359</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880255</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1312670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29407</v>
      </c>
      <c r="D7073" s="2" t="str">
        <f t="shared" si="109"/>
        <v>Error?</v>
      </c>
    </row>
    <row r="7074" spans="1:4">
      <c r="A7074">
        <v>7013</v>
      </c>
      <c r="B7074" s="138">
        <f>'Expenditures 15-22'!K216</f>
        <v>29407</v>
      </c>
      <c r="D7074" s="2" t="str">
        <f t="shared" si="109"/>
        <v>Error?</v>
      </c>
    </row>
    <row r="7075" spans="1:4">
      <c r="A7075">
        <v>7014</v>
      </c>
      <c r="B7075" s="138">
        <f>'Expenditures 15-22'!D218</f>
        <v>34928</v>
      </c>
      <c r="D7075" s="2" t="str">
        <f t="shared" si="109"/>
        <v>Error?</v>
      </c>
    </row>
    <row r="7076" spans="1:4">
      <c r="A7076">
        <v>7015</v>
      </c>
      <c r="B7076" s="138">
        <f>'Expenditures 15-22'!K218</f>
        <v>34928</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229</v>
      </c>
      <c r="D7093" s="2" t="str">
        <f t="shared" si="109"/>
        <v>Error?</v>
      </c>
    </row>
    <row r="7094" spans="1:4">
      <c r="A7094">
        <v>7033</v>
      </c>
      <c r="B7094" s="138">
        <f>'Expenditures 15-22'!K254</f>
        <v>229</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413895</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413895</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11240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11240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16015</v>
      </c>
      <c r="D7172" s="2" t="str">
        <f t="shared" si="111"/>
        <v>Error?</v>
      </c>
    </row>
    <row r="7173" spans="1:4">
      <c r="A7173">
        <v>7112</v>
      </c>
      <c r="B7173" s="138">
        <f>'Expenditures 15-22'!D325</f>
        <v>0</v>
      </c>
      <c r="D7173" s="2" t="str">
        <f t="shared" si="111"/>
        <v>Error?</v>
      </c>
    </row>
    <row r="7174" spans="1:4">
      <c r="A7174">
        <v>7113</v>
      </c>
      <c r="B7174" s="138">
        <f>'Expenditures 15-22'!E325</f>
        <v>253320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269335</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4309</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4309</v>
      </c>
      <c r="D7198" s="2" t="str">
        <f t="shared" si="111"/>
        <v>Error?</v>
      </c>
    </row>
    <row r="7199" spans="1:4">
      <c r="A7199">
        <v>7138</v>
      </c>
      <c r="B7199" s="138">
        <f>'Expenditures 15-22'!C330</f>
        <v>16015</v>
      </c>
      <c r="D7199" s="2" t="str">
        <f t="shared" si="111"/>
        <v>Error?</v>
      </c>
    </row>
    <row r="7200" spans="1:4">
      <c r="A7200">
        <v>7139</v>
      </c>
      <c r="B7200" s="138">
        <f>'Expenditures 15-22'!D330</f>
        <v>0</v>
      </c>
      <c r="D7200" s="2" t="str">
        <f t="shared" si="111"/>
        <v>Error?</v>
      </c>
    </row>
    <row r="7201" spans="1:4">
      <c r="A7201">
        <v>7140</v>
      </c>
      <c r="B7201" s="138">
        <f>'Expenditures 15-22'!E330</f>
        <v>864240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880255</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16015</v>
      </c>
      <c r="D7216" s="2" t="str">
        <f t="shared" si="111"/>
        <v>Error?</v>
      </c>
    </row>
    <row r="7217" spans="1:4">
      <c r="A7217">
        <v>7156</v>
      </c>
      <c r="B7217" s="138">
        <f>'Expenditures 15-22'!D342</f>
        <v>0</v>
      </c>
      <c r="D7217" s="2" t="str">
        <f t="shared" si="111"/>
        <v>Error?</v>
      </c>
    </row>
    <row r="7218" spans="1:4">
      <c r="A7218">
        <v>7157</v>
      </c>
      <c r="B7218" s="138">
        <f>'Expenditures 15-22'!E342</f>
        <v>864240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880255</v>
      </c>
      <c r="D7224" s="2" t="str">
        <f t="shared" si="111"/>
        <v>Error?</v>
      </c>
    </row>
    <row r="7225" spans="1:4">
      <c r="A7225">
        <v>7164</v>
      </c>
      <c r="B7225" s="138">
        <f>'Expenditures 15-22'!K343</f>
        <v>432415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100644</v>
      </c>
      <c r="D7246" s="2" t="str">
        <f t="shared" si="112"/>
        <v>Error?</v>
      </c>
    </row>
    <row r="7247" spans="1:4">
      <c r="A7247">
        <f t="shared" si="113"/>
        <v>7186</v>
      </c>
      <c r="B7247" s="138">
        <f>'Expenditures 15-22'!E7</f>
        <v>6634</v>
      </c>
      <c r="D7247" s="2" t="str">
        <f t="shared" si="112"/>
        <v>Error?</v>
      </c>
    </row>
    <row r="7248" spans="1:4">
      <c r="A7248">
        <f t="shared" si="113"/>
        <v>7187</v>
      </c>
      <c r="B7248" s="138">
        <f>'Expenditures 15-22'!F7</f>
        <v>14970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823469</v>
      </c>
      <c r="D7251" s="2" t="str">
        <f t="shared" si="112"/>
        <v>Error?</v>
      </c>
    </row>
    <row r="7252" spans="1:4">
      <c r="A7252">
        <f t="shared" si="113"/>
        <v>7191</v>
      </c>
      <c r="B7252" s="138">
        <f>'Expenditures 15-22'!D9</f>
        <v>115719</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23620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1400</v>
      </c>
    </row>
    <row r="7627" spans="1:5">
      <c r="A7627">
        <f t="shared" si="123"/>
        <v>7566</v>
      </c>
      <c r="D7627" s="2" t="str">
        <f t="shared" si="124"/>
        <v>OK</v>
      </c>
      <c r="E7627" s="4" t="s">
        <v>1400</v>
      </c>
    </row>
    <row r="7628" spans="1:5">
      <c r="A7628">
        <f t="shared" si="123"/>
        <v>7567</v>
      </c>
      <c r="D7628" s="2" t="str">
        <f t="shared" si="124"/>
        <v>OK</v>
      </c>
      <c r="E7628" s="2" t="s">
        <v>19</v>
      </c>
    </row>
    <row r="7629" spans="1:5">
      <c r="A7629">
        <f t="shared" si="123"/>
        <v>7568</v>
      </c>
      <c r="D7629" s="2" t="str">
        <f t="shared" si="124"/>
        <v>OK</v>
      </c>
      <c r="E7629" s="4" t="s">
        <v>1400</v>
      </c>
    </row>
    <row r="7630" spans="1:5">
      <c r="A7630">
        <f t="shared" ref="A7630:A7650" si="125">A7629+1</f>
        <v>7569</v>
      </c>
      <c r="D7630" s="2" t="str">
        <f t="shared" si="124"/>
        <v>OK</v>
      </c>
      <c r="E7630" s="4" t="s">
        <v>1400</v>
      </c>
    </row>
    <row r="7631" spans="1:5">
      <c r="A7631">
        <f t="shared" si="125"/>
        <v>7570</v>
      </c>
      <c r="B7631" s="138">
        <f>'Cap Outlay Deprec 26'!I18</f>
        <v>2852658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1400</v>
      </c>
    </row>
    <row r="7634" spans="1:6">
      <c r="A7634">
        <f t="shared" si="125"/>
        <v>7573</v>
      </c>
      <c r="D7634" s="2" t="str">
        <f t="shared" si="124"/>
        <v>OK</v>
      </c>
      <c r="E7634" s="4" t="s">
        <v>1400</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0</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0</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181476</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181476</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0</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0</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0</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0</v>
      </c>
      <c r="D7719" s="2" t="str">
        <f t="shared" si="126"/>
        <v>Error?</v>
      </c>
      <c r="E7719" s="2" t="s">
        <v>880</v>
      </c>
    </row>
    <row r="7720" spans="1:6">
      <c r="A7720">
        <v>7659</v>
      </c>
      <c r="B7720" s="138">
        <f>'Rest Tax Levies-Tort Im 25'!H14</f>
        <v>0</v>
      </c>
      <c r="D7720" s="2" t="str">
        <f t="shared" si="126"/>
        <v>Error?</v>
      </c>
      <c r="E7720" s="2" t="s">
        <v>880</v>
      </c>
    </row>
    <row r="7721" spans="1:6">
      <c r="A7721">
        <v>7660</v>
      </c>
      <c r="B7721" s="138">
        <f>'Rest Tax Levies-Tort Im 25'!K14</f>
        <v>0</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0</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2962007</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0</v>
      </c>
      <c r="D7743" s="2" t="str">
        <f t="shared" ref="D7743:D7800" si="127">IF(ISBLANK(B7743),"OK",IF(A7743-B7743=0,"OK","Error?"))</f>
        <v>Error?</v>
      </c>
      <c r="E7743" s="2" t="s">
        <v>880</v>
      </c>
    </row>
    <row r="7744" spans="1:6">
      <c r="A7744">
        <v>7683</v>
      </c>
      <c r="D7744" s="2" t="str">
        <f t="shared" si="127"/>
        <v>OK</v>
      </c>
      <c r="E7744" s="4" t="s">
        <v>1400</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0</v>
      </c>
      <c r="D7747" s="2" t="str">
        <f t="shared" si="127"/>
        <v>Error?</v>
      </c>
      <c r="E7747" s="2" t="s">
        <v>880</v>
      </c>
      <c r="F7747" s="2" t="s">
        <v>881</v>
      </c>
    </row>
    <row r="7748" spans="1:6">
      <c r="A7748">
        <v>7687</v>
      </c>
      <c r="B7748" s="138">
        <f>'Acct Summary 7-8'!C25</f>
        <v>0</v>
      </c>
      <c r="D7748" s="2" t="str">
        <f t="shared" si="127"/>
        <v>Error?</v>
      </c>
      <c r="E7748" s="4" t="s">
        <v>1399</v>
      </c>
    </row>
    <row r="7749" spans="1:6">
      <c r="A7749">
        <v>7688</v>
      </c>
      <c r="B7749" s="138">
        <f>'Acct Summary 7-8'!D25</f>
        <v>0</v>
      </c>
      <c r="D7749" s="2" t="str">
        <f t="shared" si="127"/>
        <v>Error?</v>
      </c>
      <c r="E7749" s="4" t="s">
        <v>1399</v>
      </c>
    </row>
    <row r="7750" spans="1:6">
      <c r="A7750">
        <v>7689</v>
      </c>
      <c r="B7750" s="138">
        <f>'Acct Summary 7-8'!E25</f>
        <v>0</v>
      </c>
      <c r="D7750" s="2" t="str">
        <f t="shared" si="127"/>
        <v>Error?</v>
      </c>
      <c r="E7750" s="4" t="s">
        <v>1399</v>
      </c>
    </row>
    <row r="7751" spans="1:6">
      <c r="A7751">
        <v>7690</v>
      </c>
      <c r="B7751" s="138">
        <f>'Acct Summary 7-8'!F25</f>
        <v>0</v>
      </c>
      <c r="D7751" s="2" t="str">
        <f t="shared" si="127"/>
        <v>Error?</v>
      </c>
      <c r="E7751" s="4" t="s">
        <v>1399</v>
      </c>
    </row>
    <row r="7752" spans="1:6">
      <c r="A7752">
        <v>7691</v>
      </c>
      <c r="B7752" s="138">
        <f>'Acct Summary 7-8'!G25</f>
        <v>0</v>
      </c>
      <c r="D7752" s="2" t="str">
        <f t="shared" si="127"/>
        <v>Error?</v>
      </c>
      <c r="E7752" s="4" t="s">
        <v>1399</v>
      </c>
    </row>
    <row r="7753" spans="1:6">
      <c r="A7753">
        <v>7692</v>
      </c>
      <c r="B7753" s="138">
        <f>'Acct Summary 7-8'!H25</f>
        <v>0</v>
      </c>
      <c r="D7753" s="2" t="str">
        <f t="shared" si="127"/>
        <v>Error?</v>
      </c>
      <c r="E7753" s="4" t="s">
        <v>1399</v>
      </c>
    </row>
    <row r="7754" spans="1:6">
      <c r="A7754">
        <v>7693</v>
      </c>
      <c r="B7754" s="138">
        <f>'Acct Summary 7-8'!J25</f>
        <v>0</v>
      </c>
      <c r="D7754" s="2" t="str">
        <f t="shared" si="127"/>
        <v>Error?</v>
      </c>
      <c r="E7754" s="4" t="s">
        <v>1399</v>
      </c>
    </row>
    <row r="7755" spans="1:6">
      <c r="A7755">
        <v>7694</v>
      </c>
      <c r="B7755" s="138">
        <f>'Acct Summary 7-8'!K25</f>
        <v>0</v>
      </c>
      <c r="D7755" s="2" t="str">
        <f t="shared" si="127"/>
        <v>Error?</v>
      </c>
      <c r="E7755" s="4" t="s">
        <v>1399</v>
      </c>
    </row>
    <row r="7756" spans="1:6">
      <c r="A7756">
        <v>7695</v>
      </c>
      <c r="B7756" s="138">
        <f>'Aud Quest 2'!E85</f>
        <v>0</v>
      </c>
      <c r="D7756" s="2" t="str">
        <f t="shared" si="127"/>
        <v>Error?</v>
      </c>
      <c r="E7756" s="4" t="s">
        <v>1399</v>
      </c>
      <c r="F7756" t="s">
        <v>1519</v>
      </c>
    </row>
    <row r="7757" spans="1:6">
      <c r="A7757">
        <v>7696</v>
      </c>
      <c r="B7757" s="138">
        <f>'Aud Quest 2'!E87</f>
        <v>0</v>
      </c>
      <c r="D7757" s="2" t="str">
        <f t="shared" si="127"/>
        <v>Error?</v>
      </c>
      <c r="E7757" s="4" t="s">
        <v>1399</v>
      </c>
      <c r="F7757" t="s">
        <v>1519</v>
      </c>
    </row>
    <row r="7758" spans="1:6">
      <c r="A7758">
        <v>7697</v>
      </c>
      <c r="B7758" s="138">
        <f>'Aud Quest 2'!J85</f>
        <v>1</v>
      </c>
      <c r="D7758" s="2" t="str">
        <f t="shared" si="127"/>
        <v>Error?</v>
      </c>
      <c r="E7758" s="4" t="s">
        <v>1399</v>
      </c>
    </row>
    <row r="7759" spans="1:6">
      <c r="A7759">
        <v>7698</v>
      </c>
      <c r="B7759" s="138">
        <f>'Aud Quest 2'!J88</f>
        <v>0</v>
      </c>
      <c r="D7759" s="2" t="str">
        <f t="shared" si="127"/>
        <v>Error?</v>
      </c>
      <c r="E7759" s="4" t="s">
        <v>1399</v>
      </c>
    </row>
    <row r="7760" spans="1:6">
      <c r="A7760">
        <v>7699</v>
      </c>
      <c r="B7760" s="138">
        <f>'Aud Quest 2'!J90</f>
        <v>1</v>
      </c>
      <c r="D7760" s="2" t="str">
        <f t="shared" si="127"/>
        <v>Error?</v>
      </c>
      <c r="E7760" s="4" t="s">
        <v>1399</v>
      </c>
    </row>
    <row r="7761" spans="1:5">
      <c r="A7761">
        <v>7700</v>
      </c>
      <c r="B7761" s="138">
        <f>'Revenues 9-14'!C260</f>
        <v>0</v>
      </c>
      <c r="D7761" s="2" t="str">
        <f t="shared" si="127"/>
        <v>Error?</v>
      </c>
      <c r="E7761" s="4" t="s">
        <v>1493</v>
      </c>
    </row>
    <row r="7762" spans="1:5">
      <c r="A7762">
        <v>7701</v>
      </c>
      <c r="B7762" s="138">
        <f>'Expenditures 15-22'!E6</f>
        <v>0</v>
      </c>
      <c r="D7762" s="2" t="str">
        <f t="shared" si="127"/>
        <v>Error?</v>
      </c>
      <c r="E7762" s="4" t="s">
        <v>1506</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1534</v>
      </c>
    </row>
    <row r="7765" spans="1:5">
      <c r="A7765">
        <v>7704</v>
      </c>
      <c r="B7765" s="138">
        <f>'Revenues 9-14'!C261</f>
        <v>0</v>
      </c>
      <c r="D7765" s="2" t="str">
        <f t="shared" si="127"/>
        <v>Error?</v>
      </c>
      <c r="E7765" s="4" t="s">
        <v>1538</v>
      </c>
    </row>
    <row r="7766" spans="1:5">
      <c r="A7766">
        <v>7705</v>
      </c>
      <c r="B7766" s="138">
        <f>'Revenues 9-14'!D261</f>
        <v>0</v>
      </c>
      <c r="D7766" s="2" t="str">
        <f t="shared" si="127"/>
        <v>Error?</v>
      </c>
      <c r="E7766" s="4" t="s">
        <v>1538</v>
      </c>
    </row>
    <row r="7767" spans="1:5">
      <c r="A7767" s="129">
        <v>7706</v>
      </c>
      <c r="E7767" s="4"/>
    </row>
    <row r="7768" spans="1:5">
      <c r="A7768">
        <v>7707</v>
      </c>
      <c r="B7768" s="138">
        <f>'Revenues 9-14'!F261</f>
        <v>0</v>
      </c>
      <c r="D7768" s="2" t="str">
        <f t="shared" si="127"/>
        <v>Error?</v>
      </c>
      <c r="E7768" s="4" t="s">
        <v>1538</v>
      </c>
    </row>
    <row r="7769" spans="1:5">
      <c r="A7769">
        <v>7708</v>
      </c>
      <c r="B7769" s="138">
        <f>'Revenues 9-14'!G261</f>
        <v>0</v>
      </c>
      <c r="D7769" s="2" t="str">
        <f t="shared" si="127"/>
        <v>Error?</v>
      </c>
      <c r="E7769" s="4" t="s">
        <v>1538</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1539</v>
      </c>
    </row>
    <row r="7773" spans="1:5">
      <c r="A7773">
        <v>7712</v>
      </c>
      <c r="B7773" s="138">
        <f>'Rest Tax Levies-Tort Im 25'!J22</f>
        <v>0</v>
      </c>
      <c r="D7773" s="2" t="str">
        <f t="shared" si="127"/>
        <v>Error?</v>
      </c>
      <c r="E7773" s="4" t="s">
        <v>1633</v>
      </c>
    </row>
    <row r="7774" spans="1:5">
      <c r="A7774">
        <v>7713</v>
      </c>
      <c r="B7774" s="138">
        <f>'Expenditures 15-22'!E133</f>
        <v>0</v>
      </c>
      <c r="D7774" s="2" t="str">
        <f t="shared" si="127"/>
        <v>Error?</v>
      </c>
      <c r="E7774" s="4" t="s">
        <v>1962</v>
      </c>
    </row>
    <row r="7775" spans="1:5">
      <c r="A7775">
        <v>7714</v>
      </c>
      <c r="B7775" s="138">
        <f>'Expenditures 15-22'!H133</f>
        <v>0</v>
      </c>
      <c r="D7775" s="2" t="str">
        <f t="shared" si="127"/>
        <v>Error?</v>
      </c>
      <c r="E7775" s="4" t="s">
        <v>1962</v>
      </c>
    </row>
    <row r="7776" spans="1:5">
      <c r="A7776">
        <v>7715</v>
      </c>
      <c r="B7776" s="138">
        <f>'Expenditures 15-22'!K133</f>
        <v>0</v>
      </c>
      <c r="D7776" s="2" t="str">
        <f t="shared" si="127"/>
        <v>Error?</v>
      </c>
      <c r="E7776" s="4" t="s">
        <v>1962</v>
      </c>
    </row>
    <row r="7777" spans="1:5">
      <c r="A7777">
        <v>7716</v>
      </c>
      <c r="B7777" s="138">
        <f>'Expenditures 15-22'!H157</f>
        <v>0</v>
      </c>
      <c r="D7777" s="2" t="str">
        <f t="shared" si="127"/>
        <v>Error?</v>
      </c>
      <c r="E7777" s="4" t="s">
        <v>1962</v>
      </c>
    </row>
    <row r="7778" spans="1:5">
      <c r="A7778">
        <v>7717</v>
      </c>
      <c r="B7778" s="138">
        <f>'Expenditures 15-22'!K157</f>
        <v>0</v>
      </c>
      <c r="D7778" s="2" t="str">
        <f t="shared" si="127"/>
        <v>Error?</v>
      </c>
      <c r="E7778" s="4" t="s">
        <v>1962</v>
      </c>
    </row>
    <row r="7779" spans="1:5">
      <c r="A7779">
        <v>7718</v>
      </c>
      <c r="B7779" s="138">
        <f>'Expenditures 15-22'!H158</f>
        <v>0</v>
      </c>
      <c r="D7779" s="2" t="str">
        <f t="shared" si="127"/>
        <v>Error?</v>
      </c>
      <c r="E7779" s="4" t="s">
        <v>1962</v>
      </c>
    </row>
    <row r="7780" spans="1:5">
      <c r="A7780">
        <v>7719</v>
      </c>
      <c r="B7780" s="138">
        <f>'Expenditures 15-22'!K158</f>
        <v>0</v>
      </c>
      <c r="D7780" s="2" t="str">
        <f t="shared" si="127"/>
        <v>Error?</v>
      </c>
      <c r="E7780" s="4" t="s">
        <v>1962</v>
      </c>
    </row>
    <row r="7781" spans="1:5">
      <c r="A7781">
        <v>7720</v>
      </c>
      <c r="B7781" s="138">
        <f>'Expenditures 15-22'!H159</f>
        <v>0</v>
      </c>
      <c r="D7781" s="2" t="str">
        <f t="shared" si="127"/>
        <v>Error?</v>
      </c>
      <c r="E7781" s="4" t="s">
        <v>1962</v>
      </c>
    </row>
    <row r="7782" spans="1:5">
      <c r="A7782">
        <v>7721</v>
      </c>
      <c r="B7782" s="138">
        <f>'Expenditures 15-22'!K159</f>
        <v>0</v>
      </c>
      <c r="D7782" s="2" t="str">
        <f t="shared" si="127"/>
        <v>Error?</v>
      </c>
      <c r="E7782" s="4" t="s">
        <v>1962</v>
      </c>
    </row>
    <row r="7783" spans="1:5">
      <c r="A7783">
        <v>7722</v>
      </c>
      <c r="B7783" s="138">
        <f>'Expenditures 15-22'!D282</f>
        <v>0</v>
      </c>
      <c r="D7783" s="2" t="str">
        <f t="shared" si="127"/>
        <v>Error?</v>
      </c>
      <c r="E7783" s="4" t="s">
        <v>1962</v>
      </c>
    </row>
    <row r="7784" spans="1:5">
      <c r="A7784">
        <v>7723</v>
      </c>
      <c r="B7784" s="138">
        <f>'Expenditures 15-22'!K282</f>
        <v>0</v>
      </c>
      <c r="D7784" s="2" t="str">
        <f t="shared" si="127"/>
        <v>Error?</v>
      </c>
      <c r="E7784" s="4" t="s">
        <v>1962</v>
      </c>
    </row>
    <row r="7785" spans="1:5">
      <c r="A7785">
        <v>7724</v>
      </c>
      <c r="B7785" s="138">
        <f>'Expenditures 15-22'!H332</f>
        <v>0</v>
      </c>
      <c r="D7785" s="2" t="str">
        <f t="shared" si="127"/>
        <v>Error?</v>
      </c>
      <c r="E7785" s="4" t="s">
        <v>1962</v>
      </c>
    </row>
    <row r="7786" spans="1:5">
      <c r="A7786">
        <v>7725</v>
      </c>
      <c r="B7786" s="138">
        <f>'Expenditures 15-22'!K332</f>
        <v>0</v>
      </c>
      <c r="D7786" s="2" t="str">
        <f t="shared" si="127"/>
        <v>Error?</v>
      </c>
      <c r="E7786" s="4" t="s">
        <v>1962</v>
      </c>
    </row>
    <row r="7787" spans="1:5">
      <c r="A7787">
        <v>7726</v>
      </c>
      <c r="B7787" s="138">
        <f>'Expenditures 15-22'!H333</f>
        <v>0</v>
      </c>
      <c r="D7787" s="2" t="str">
        <f t="shared" si="127"/>
        <v>Error?</v>
      </c>
      <c r="E7787" s="4" t="s">
        <v>1962</v>
      </c>
    </row>
    <row r="7788" spans="1:5">
      <c r="A7788">
        <v>7727</v>
      </c>
      <c r="B7788" s="138">
        <f>'Expenditures 15-22'!K333</f>
        <v>0</v>
      </c>
      <c r="D7788" s="2" t="str">
        <f t="shared" si="127"/>
        <v>Error?</v>
      </c>
      <c r="E7788" s="4" t="s">
        <v>1962</v>
      </c>
    </row>
    <row r="7789" spans="1:5">
      <c r="A7789">
        <v>7728</v>
      </c>
      <c r="B7789" s="138">
        <f>'Expenditures 15-22'!H334</f>
        <v>0</v>
      </c>
      <c r="D7789" s="2" t="str">
        <f t="shared" si="127"/>
        <v>Error?</v>
      </c>
      <c r="E7789" s="4" t="s">
        <v>1962</v>
      </c>
    </row>
    <row r="7790" spans="1:5">
      <c r="A7790">
        <v>7729</v>
      </c>
      <c r="B7790" s="138">
        <f>'Expenditures 15-22'!K334</f>
        <v>0</v>
      </c>
      <c r="D7790" s="2" t="str">
        <f t="shared" si="127"/>
        <v>Error?</v>
      </c>
      <c r="E7790" s="4" t="s">
        <v>1962</v>
      </c>
    </row>
    <row r="7791" spans="1:5">
      <c r="A7791">
        <v>7730</v>
      </c>
      <c r="B7791" s="138">
        <f>'Expenditures 15-22'!H354</f>
        <v>0</v>
      </c>
      <c r="D7791" s="2" t="str">
        <f t="shared" si="127"/>
        <v>Error?</v>
      </c>
      <c r="E7791" s="4" t="s">
        <v>1962</v>
      </c>
    </row>
    <row r="7792" spans="1:5">
      <c r="A7792">
        <v>7731</v>
      </c>
      <c r="B7792" s="138">
        <f>'Expenditures 15-22'!K354</f>
        <v>0</v>
      </c>
      <c r="D7792" s="2" t="str">
        <f t="shared" si="127"/>
        <v>Error?</v>
      </c>
      <c r="E7792" s="4" t="s">
        <v>1962</v>
      </c>
    </row>
    <row r="7793" spans="1:5">
      <c r="A7793">
        <v>7732</v>
      </c>
      <c r="B7793" s="138">
        <f>'Expenditures 15-22'!H355</f>
        <v>0</v>
      </c>
      <c r="D7793" s="2" t="str">
        <f t="shared" si="127"/>
        <v>Error?</v>
      </c>
      <c r="E7793" s="4" t="s">
        <v>1962</v>
      </c>
    </row>
    <row r="7794" spans="1:5">
      <c r="A7794">
        <v>7733</v>
      </c>
      <c r="B7794" s="138">
        <f>'Expenditures 15-22'!K355</f>
        <v>0</v>
      </c>
      <c r="D7794" s="2" t="str">
        <f t="shared" si="127"/>
        <v>Error?</v>
      </c>
      <c r="E7794" s="4" t="s">
        <v>1962</v>
      </c>
    </row>
    <row r="7795" spans="1:5">
      <c r="A7795">
        <v>7734</v>
      </c>
      <c r="B7795" s="138">
        <f>'Expenditures 15-22'!E138</f>
        <v>0</v>
      </c>
      <c r="D7795" s="2" t="str">
        <f t="shared" si="127"/>
        <v>Error?</v>
      </c>
      <c r="E7795" s="4" t="s">
        <v>1962</v>
      </c>
    </row>
    <row r="7796" spans="1:5">
      <c r="A7796">
        <v>7735</v>
      </c>
      <c r="B7796" s="138">
        <f>'Acct Summary 7-8'!J15</f>
        <v>0</v>
      </c>
      <c r="D7796" s="2" t="str">
        <f t="shared" si="127"/>
        <v>Error?</v>
      </c>
      <c r="E7796" s="4" t="s">
        <v>1962</v>
      </c>
    </row>
    <row r="7797" spans="1:5">
      <c r="A7797">
        <v>7736</v>
      </c>
      <c r="B7797" s="138">
        <f>'Contracts Paid in CY 29'!D141</f>
        <v>12325014.599999998</v>
      </c>
      <c r="D7797" s="2" t="str">
        <f t="shared" si="127"/>
        <v>Error?</v>
      </c>
      <c r="E7797" s="4" t="s">
        <v>2015</v>
      </c>
    </row>
    <row r="7798" spans="1:5">
      <c r="A7798">
        <v>7737</v>
      </c>
      <c r="B7798" s="138">
        <f>'Contracts Paid in CY 29'!F141</f>
        <v>1150000</v>
      </c>
      <c r="D7798" s="2" t="str">
        <f t="shared" si="127"/>
        <v>Error?</v>
      </c>
      <c r="E7798" s="4" t="s">
        <v>2015</v>
      </c>
    </row>
    <row r="7799" spans="1:5">
      <c r="A7799">
        <v>7738</v>
      </c>
      <c r="B7799" s="138">
        <f>'Contracts Paid in CY 29'!G141</f>
        <v>5767645.3399999999</v>
      </c>
      <c r="D7799" s="2" t="str">
        <f t="shared" si="127"/>
        <v>Error?</v>
      </c>
      <c r="E7799" s="4" t="s">
        <v>2015</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A6" sqref="A6:XFD6"/>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541" t="s">
        <v>1252</v>
      </c>
      <c r="B2" s="2541"/>
      <c r="C2" s="2541"/>
      <c r="D2" s="2541"/>
      <c r="E2" s="2541"/>
      <c r="F2" s="2541"/>
      <c r="G2" s="2541"/>
      <c r="H2" s="2541"/>
      <c r="I2" s="2541"/>
      <c r="J2" s="2541"/>
      <c r="K2" s="2541"/>
      <c r="L2" s="2541"/>
    </row>
    <row r="3" spans="1:29" ht="13.5" customHeight="1">
      <c r="A3" s="2527" t="s">
        <v>1251</v>
      </c>
      <c r="B3" s="2527"/>
      <c r="C3" s="2527"/>
      <c r="D3" s="2527"/>
      <c r="E3" s="2527"/>
      <c r="F3" s="2527"/>
      <c r="G3" s="2527"/>
      <c r="H3" s="2527"/>
      <c r="I3" s="2527"/>
      <c r="J3" s="2527"/>
      <c r="K3" s="2527"/>
      <c r="L3" s="2527"/>
    </row>
    <row r="4" spans="1:29" ht="13.5" customHeight="1">
      <c r="A4" s="2541" t="s">
        <v>1798</v>
      </c>
      <c r="B4" s="2558"/>
      <c r="C4" s="2558"/>
      <c r="D4" s="2558"/>
      <c r="E4" s="2558"/>
      <c r="F4" s="2558"/>
      <c r="G4" s="2558"/>
      <c r="H4" s="2558"/>
      <c r="I4" s="2558"/>
      <c r="J4" s="2558"/>
      <c r="K4" s="2558"/>
      <c r="L4" s="2558"/>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c r="A7" s="2521" t="str">
        <f>COVER!A17</f>
        <v>Evanston CCSD 65</v>
      </c>
      <c r="B7" s="2522"/>
      <c r="C7" s="2522"/>
      <c r="D7" s="2559"/>
      <c r="E7" s="2560">
        <f>COVER!A13</f>
        <v>5016065004</v>
      </c>
      <c r="F7" s="2561"/>
      <c r="G7" s="2528" t="str">
        <f>COVER!T23</f>
        <v>066-003346</v>
      </c>
      <c r="H7" s="2529"/>
      <c r="I7" s="2529"/>
      <c r="J7" s="2529"/>
      <c r="K7" s="2529"/>
      <c r="L7" s="2530"/>
    </row>
    <row r="8" spans="1:29" ht="13.5" customHeight="1">
      <c r="A8" s="1185" t="s">
        <v>1596</v>
      </c>
      <c r="B8" s="1186"/>
      <c r="C8" s="1187"/>
      <c r="D8" s="1187"/>
      <c r="E8" s="1192"/>
      <c r="F8" s="1191"/>
      <c r="G8" s="1193" t="s">
        <v>1247</v>
      </c>
      <c r="H8" s="1194"/>
      <c r="I8" s="1194"/>
      <c r="J8" s="1194"/>
      <c r="K8" s="1194"/>
      <c r="L8" s="1195"/>
    </row>
    <row r="9" spans="1:29" ht="13.5" customHeight="1">
      <c r="A9" s="2531"/>
      <c r="B9" s="2532"/>
      <c r="C9" s="2532"/>
      <c r="D9" s="2532"/>
      <c r="E9" s="2532"/>
      <c r="F9" s="2533"/>
      <c r="G9" s="2534" t="str">
        <f>COVER!T13</f>
        <v>RSM US LLP</v>
      </c>
      <c r="H9" s="2535"/>
      <c r="I9" s="2535"/>
      <c r="J9" s="2535"/>
      <c r="K9" s="2535"/>
      <c r="L9" s="2536"/>
    </row>
    <row r="10" spans="1:29" ht="13.5" customHeight="1">
      <c r="A10" s="2518" t="str">
        <f>COVER!A38</f>
        <v>Dr. Paul Goren</v>
      </c>
      <c r="B10" s="2519"/>
      <c r="C10" s="2519"/>
      <c r="D10" s="2519"/>
      <c r="E10" s="2519"/>
      <c r="F10" s="2520"/>
      <c r="G10" s="2534" t="str">
        <f>COVER!T17</f>
        <v>One South Wacker, Suite 800</v>
      </c>
      <c r="H10" s="2547"/>
      <c r="I10" s="2547"/>
      <c r="J10" s="2547"/>
      <c r="K10" s="2547"/>
      <c r="L10" s="2548"/>
    </row>
    <row r="11" spans="1:29" ht="13.5" customHeight="1">
      <c r="A11" s="1185" t="s">
        <v>1598</v>
      </c>
      <c r="B11" s="1186"/>
      <c r="C11" s="1187"/>
      <c r="D11" s="1192"/>
      <c r="E11" s="1187"/>
      <c r="F11" s="1191"/>
      <c r="G11" s="2534" t="str">
        <f>COVER!T19</f>
        <v>Chicago</v>
      </c>
      <c r="H11" s="2547"/>
      <c r="I11" s="2547"/>
      <c r="J11" s="2547"/>
      <c r="K11" s="2547"/>
      <c r="L11" s="2548"/>
    </row>
    <row r="12" spans="1:29" ht="13.5" customHeight="1">
      <c r="A12" s="2552" t="s">
        <v>1597</v>
      </c>
      <c r="B12" s="2553"/>
      <c r="C12" s="2553"/>
      <c r="D12" s="2553"/>
      <c r="E12" s="2553"/>
      <c r="F12" s="2554"/>
      <c r="G12" s="2549"/>
      <c r="H12" s="2550"/>
      <c r="I12" s="2550"/>
      <c r="J12" s="2550"/>
      <c r="K12" s="2550"/>
      <c r="L12" s="2551"/>
    </row>
    <row r="13" spans="1:29" ht="13.5" customHeight="1">
      <c r="A13" s="2534"/>
      <c r="B13" s="2547"/>
      <c r="C13" s="2547"/>
      <c r="D13" s="2547"/>
      <c r="E13" s="2547"/>
      <c r="F13" s="2548"/>
      <c r="G13" s="2542" t="s">
        <v>1599</v>
      </c>
      <c r="H13" s="2543"/>
      <c r="I13" s="2555" t="str">
        <f>COVER!T25</f>
        <v>john.george@rsmus.com</v>
      </c>
      <c r="J13" s="2556"/>
      <c r="K13" s="2556"/>
      <c r="L13" s="2557"/>
    </row>
    <row r="14" spans="1:29" ht="13.5" customHeight="1">
      <c r="A14" s="2534" t="str">
        <f>COVER!A19</f>
        <v>1500 McDaniel Avenue</v>
      </c>
      <c r="B14" s="2547"/>
      <c r="C14" s="2547"/>
      <c r="D14" s="2547"/>
      <c r="E14" s="2547"/>
      <c r="F14" s="2548"/>
      <c r="G14" s="1196" t="s">
        <v>1246</v>
      </c>
      <c r="H14" s="1194"/>
      <c r="I14" s="1194"/>
      <c r="J14" s="1194"/>
      <c r="K14" s="1194"/>
      <c r="L14" s="1195"/>
    </row>
    <row r="15" spans="1:29" ht="13.5" customHeight="1">
      <c r="A15" s="2534" t="str">
        <f>COVER!A21</f>
        <v>Evanston</v>
      </c>
      <c r="B15" s="2547"/>
      <c r="C15" s="2547"/>
      <c r="D15" s="2547"/>
      <c r="E15" s="2547"/>
      <c r="F15" s="2548"/>
      <c r="G15" s="2544" t="str">
        <f>COVER!T15</f>
        <v>John George</v>
      </c>
      <c r="H15" s="2545"/>
      <c r="I15" s="2545"/>
      <c r="J15" s="2545"/>
      <c r="K15" s="2545"/>
      <c r="L15" s="2546"/>
    </row>
    <row r="16" spans="1:29" ht="12.2" customHeight="1">
      <c r="A16" s="2524">
        <f>COVER!A25</f>
        <v>60201</v>
      </c>
      <c r="B16" s="2525"/>
      <c r="C16" s="2525"/>
      <c r="D16" s="2525"/>
      <c r="E16" s="2525"/>
      <c r="F16" s="2526"/>
      <c r="G16" s="2537"/>
      <c r="H16" s="2538"/>
      <c r="I16" s="2538"/>
      <c r="J16" s="2538"/>
      <c r="K16" s="2538"/>
      <c r="L16" s="2539"/>
    </row>
    <row r="17" spans="1:13" ht="12.2" customHeight="1">
      <c r="A17" s="2540"/>
      <c r="B17" s="2525"/>
      <c r="C17" s="2525"/>
      <c r="D17" s="2525"/>
      <c r="E17" s="2525"/>
      <c r="F17" s="2526"/>
      <c r="G17" s="1196" t="s">
        <v>1245</v>
      </c>
      <c r="H17" s="1194"/>
      <c r="I17" s="1194"/>
      <c r="J17" s="1194"/>
      <c r="K17" s="1198" t="s">
        <v>1244</v>
      </c>
      <c r="L17" s="1191"/>
      <c r="M17" s="1184"/>
    </row>
    <row r="18" spans="1:13" ht="12.2" customHeight="1">
      <c r="A18" s="2518"/>
      <c r="B18" s="2519"/>
      <c r="C18" s="2519"/>
      <c r="D18" s="2519"/>
      <c r="E18" s="2519"/>
      <c r="F18" s="2520"/>
      <c r="G18" s="2521" t="str">
        <f>COVER!T21</f>
        <v>312-634-3400</v>
      </c>
      <c r="H18" s="2522"/>
      <c r="I18" s="2522"/>
      <c r="J18" s="2522"/>
      <c r="K18" s="2521" t="str">
        <f>COVER!X21</f>
        <v>312-634-5518</v>
      </c>
      <c r="L18" s="2523"/>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1230</v>
      </c>
      <c r="K20" s="1177" t="s">
        <v>1230</v>
      </c>
    </row>
    <row r="21" spans="1:13" ht="12.2" customHeight="1">
      <c r="A21" s="1200" t="s">
        <v>1799</v>
      </c>
    </row>
    <row r="22" spans="1:13" ht="12.2" customHeight="1">
      <c r="A22" s="1201"/>
    </row>
    <row r="23" spans="1:13" ht="12.2" customHeight="1">
      <c r="A23" s="1201"/>
      <c r="B23" s="1202"/>
      <c r="C23" s="1203" t="s">
        <v>1243</v>
      </c>
    </row>
    <row r="24" spans="1:13" ht="10.15" customHeight="1">
      <c r="A24" s="1201"/>
      <c r="C24" s="1203" t="s">
        <v>1242</v>
      </c>
    </row>
    <row r="25" spans="1:13" ht="9" customHeight="1">
      <c r="B25" s="1204" t="s">
        <v>1230</v>
      </c>
      <c r="C25" s="1205"/>
    </row>
    <row r="26" spans="1:13" s="1199" customFormat="1" ht="12.2" customHeight="1">
      <c r="B26" s="1202"/>
      <c r="C26" s="1203" t="s">
        <v>1800</v>
      </c>
    </row>
    <row r="27" spans="1:13" s="1199" customFormat="1" ht="9" customHeight="1">
      <c r="B27" s="1204"/>
      <c r="C27" s="1203"/>
    </row>
    <row r="28" spans="1:13" s="1199" customFormat="1" ht="12.2" customHeight="1">
      <c r="A28" s="1206"/>
      <c r="B28" s="1202"/>
      <c r="C28" s="1203" t="s">
        <v>1801</v>
      </c>
    </row>
    <row r="29" spans="1:13" s="1199" customFormat="1" ht="9" customHeight="1">
      <c r="A29" s="1206"/>
      <c r="B29" s="1204"/>
      <c r="C29" s="1203"/>
    </row>
    <row r="30" spans="1:13" s="1199" customFormat="1" ht="12.2" customHeight="1">
      <c r="B30" s="1202"/>
      <c r="C30" s="1203" t="s">
        <v>1642</v>
      </c>
      <c r="D30" s="1197"/>
      <c r="E30" s="1197"/>
    </row>
    <row r="31" spans="1:13" s="1199" customFormat="1" ht="9" customHeight="1">
      <c r="B31" s="1204"/>
      <c r="C31" s="1203"/>
      <c r="D31" s="1197"/>
      <c r="E31" s="1197"/>
    </row>
    <row r="32" spans="1:13" s="1199" customFormat="1" ht="12.2" customHeight="1">
      <c r="B32" s="1202"/>
      <c r="C32" s="1203" t="s">
        <v>1643</v>
      </c>
      <c r="D32" s="1197"/>
      <c r="E32" s="1197"/>
    </row>
    <row r="33" spans="1:8" s="1199" customFormat="1" ht="10.9" customHeight="1">
      <c r="B33" s="1204"/>
      <c r="C33" s="1207" t="s">
        <v>1802</v>
      </c>
      <c r="D33" s="1197"/>
      <c r="E33" s="1197"/>
    </row>
    <row r="34" spans="1:8" ht="9" customHeight="1">
      <c r="B34" s="1204"/>
      <c r="C34" s="1207"/>
    </row>
    <row r="35" spans="1:8" s="1199" customFormat="1" ht="13.5" customHeight="1">
      <c r="B35" s="1202"/>
      <c r="C35" s="1203" t="s">
        <v>1644</v>
      </c>
    </row>
    <row r="36" spans="1:8" s="1199" customFormat="1" ht="10.9" customHeight="1">
      <c r="B36" s="1204"/>
      <c r="C36" s="1207" t="s">
        <v>1645</v>
      </c>
    </row>
    <row r="37" spans="1:8" ht="9" customHeight="1">
      <c r="B37" s="1204"/>
      <c r="C37" s="1207"/>
    </row>
    <row r="38" spans="1:8" s="1199" customFormat="1" ht="12.2" customHeight="1">
      <c r="B38" s="1202"/>
      <c r="C38" s="1203" t="s">
        <v>1646</v>
      </c>
    </row>
    <row r="39" spans="1:8" ht="9" customHeight="1">
      <c r="B39" s="1204"/>
      <c r="C39" s="1207"/>
    </row>
    <row r="40" spans="1:8" s="1199" customFormat="1" ht="13.5" customHeight="1">
      <c r="B40" s="1202"/>
      <c r="C40" s="1203" t="s">
        <v>1647</v>
      </c>
    </row>
    <row r="41" spans="1:8" ht="9" customHeight="1">
      <c r="A41" s="1208"/>
      <c r="B41" s="1204"/>
      <c r="C41" s="1207"/>
    </row>
    <row r="42" spans="1:8" s="1199" customFormat="1" ht="13.5" customHeight="1">
      <c r="B42" s="1202"/>
      <c r="C42" s="1203" t="s">
        <v>1942</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1241</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1648</v>
      </c>
      <c r="D46" s="1197"/>
      <c r="E46" s="1197"/>
      <c r="F46" s="1197"/>
      <c r="G46" s="1197"/>
      <c r="H46" s="1197"/>
    </row>
    <row r="47" spans="1:8" ht="9" customHeight="1"/>
    <row r="48" spans="1:8" ht="12.2" customHeight="1">
      <c r="B48" s="1211"/>
      <c r="C48" s="1212" t="s">
        <v>1649</v>
      </c>
    </row>
    <row r="49" spans="1:12" ht="9" customHeight="1"/>
    <row r="50" spans="1:12" ht="6" customHeight="1">
      <c r="C50" s="1212"/>
    </row>
    <row r="51" spans="1:12" ht="12.2" customHeight="1">
      <c r="A51" s="1214" t="s">
        <v>1803</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6" sqref="A6:XFD6"/>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562" t="str">
        <f>'Single Audit Cover'!A7</f>
        <v>Evanston CCSD 65</v>
      </c>
      <c r="B1" s="2558"/>
      <c r="C1" s="2558"/>
      <c r="D1" s="2558"/>
    </row>
    <row r="2" spans="1:11" s="1215" customFormat="1" ht="12.75">
      <c r="A2" s="2563">
        <f>'Single Audit Cover'!E7</f>
        <v>5016065004</v>
      </c>
      <c r="B2" s="2564"/>
      <c r="C2" s="2564"/>
      <c r="D2" s="2564"/>
    </row>
    <row r="3" spans="1:11" s="1215" customFormat="1" ht="12.75">
      <c r="A3" s="2562" t="s">
        <v>1592</v>
      </c>
      <c r="B3" s="2558"/>
      <c r="C3" s="2558"/>
      <c r="D3" s="2558"/>
    </row>
    <row r="4" spans="1:11" s="1215" customFormat="1" ht="4.5" customHeight="1">
      <c r="A4" s="1216"/>
      <c r="B4" s="1217"/>
      <c r="C4" s="1217"/>
      <c r="D4" s="1217"/>
    </row>
    <row r="5" spans="1:11">
      <c r="B5" s="1219" t="s">
        <v>1593</v>
      </c>
      <c r="C5" s="1220"/>
      <c r="D5" s="1221"/>
    </row>
    <row r="6" spans="1:11">
      <c r="B6" s="1219" t="s">
        <v>1286</v>
      </c>
      <c r="C6" s="1220"/>
      <c r="D6" s="1221"/>
    </row>
    <row r="7" spans="1:11">
      <c r="B7" s="1219" t="s">
        <v>1594</v>
      </c>
      <c r="C7" s="1220"/>
      <c r="D7" s="1221"/>
    </row>
    <row r="8" spans="1:11" ht="4.5" customHeight="1">
      <c r="B8" s="1219"/>
      <c r="C8" s="1220"/>
      <c r="D8" s="1221"/>
    </row>
    <row r="9" spans="1:11">
      <c r="B9" s="1223" t="s">
        <v>1285</v>
      </c>
      <c r="C9" s="1224"/>
      <c r="D9" s="1221"/>
    </row>
    <row r="10" spans="1:11" ht="4.5" customHeight="1">
      <c r="B10" s="1223"/>
      <c r="C10" s="1224"/>
      <c r="D10" s="1221"/>
    </row>
    <row r="11" spans="1:11">
      <c r="B11" s="1225"/>
      <c r="C11" s="1226">
        <v>1</v>
      </c>
      <c r="D11" s="1227" t="s">
        <v>1804</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1805</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1806</v>
      </c>
      <c r="E15" s="1228"/>
      <c r="F15" s="1228"/>
      <c r="G15" s="1228"/>
      <c r="H15" s="1228"/>
      <c r="I15" s="1228"/>
      <c r="J15" s="1228"/>
      <c r="K15" s="1228"/>
    </row>
    <row r="16" spans="1:11" ht="10.5" customHeight="1">
      <c r="B16" s="1231"/>
      <c r="D16" s="1230" t="s">
        <v>1284</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1807</v>
      </c>
      <c r="E18" s="1228"/>
      <c r="F18" s="1228"/>
      <c r="G18" s="1228"/>
      <c r="H18" s="1228"/>
      <c r="I18" s="1228"/>
      <c r="J18" s="1228"/>
      <c r="K18" s="1228"/>
    </row>
    <row r="19" spans="1:11" ht="9.75" customHeight="1">
      <c r="A19" s="1222"/>
      <c r="B19" s="1231"/>
      <c r="D19" s="1230" t="s">
        <v>1283</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1282</v>
      </c>
      <c r="E21" s="1228"/>
      <c r="F21" s="1228"/>
      <c r="G21" s="1228"/>
      <c r="H21" s="1228"/>
      <c r="I21" s="1228"/>
      <c r="J21" s="1228"/>
      <c r="K21" s="1228"/>
    </row>
    <row r="22" spans="1:11" ht="10.5" customHeight="1">
      <c r="A22" s="1222"/>
      <c r="B22" s="1231"/>
      <c r="D22" s="1230" t="s">
        <v>1281</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1828</v>
      </c>
      <c r="E24" s="1228"/>
      <c r="F24" s="1228"/>
      <c r="G24" s="1228"/>
      <c r="H24" s="1228"/>
      <c r="I24" s="1228"/>
      <c r="J24" s="1228"/>
      <c r="K24" s="1228"/>
    </row>
    <row r="25" spans="1:11">
      <c r="A25" s="1222"/>
      <c r="B25" s="1231"/>
      <c r="D25" s="1230" t="s">
        <v>1808</v>
      </c>
      <c r="E25" s="1228"/>
      <c r="F25" s="1228"/>
      <c r="G25" s="1228"/>
      <c r="H25" s="1228"/>
      <c r="I25" s="1228"/>
      <c r="J25" s="1228"/>
      <c r="K25" s="1228"/>
    </row>
    <row r="26" spans="1:11">
      <c r="A26" s="1222"/>
      <c r="B26" s="1231"/>
      <c r="D26" s="1235" t="s">
        <v>1809</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1650</v>
      </c>
      <c r="E28" s="1228"/>
      <c r="F28" s="1228"/>
      <c r="G28" s="1228"/>
      <c r="H28" s="1228"/>
      <c r="I28" s="1228"/>
      <c r="J28" s="1228"/>
      <c r="K28" s="1228"/>
    </row>
    <row r="29" spans="1:11" ht="10.5" customHeight="1">
      <c r="A29" s="1222"/>
      <c r="D29" s="1236" t="s">
        <v>1651</v>
      </c>
    </row>
    <row r="30" spans="1:11" ht="6" customHeight="1">
      <c r="A30" s="1222"/>
      <c r="D30" s="1221"/>
    </row>
    <row r="31" spans="1:11">
      <c r="A31" s="1222"/>
      <c r="B31" s="1223" t="s">
        <v>1280</v>
      </c>
      <c r="C31" s="1224"/>
      <c r="D31" s="1221"/>
    </row>
    <row r="32" spans="1:11" ht="4.5" customHeight="1">
      <c r="A32" s="1222"/>
      <c r="B32" s="1223"/>
      <c r="C32" s="1224"/>
      <c r="D32" s="1221"/>
    </row>
    <row r="33" spans="1:5">
      <c r="A33" s="1222"/>
      <c r="B33" s="1225"/>
      <c r="C33" s="1226">
        <v>8</v>
      </c>
      <c r="D33" s="1237" t="s">
        <v>1279</v>
      </c>
    </row>
    <row r="34" spans="1:5" ht="10.5" customHeight="1">
      <c r="A34" s="1222"/>
      <c r="B34" s="1238"/>
      <c r="C34" s="1226"/>
      <c r="D34" s="1237" t="s">
        <v>1652</v>
      </c>
    </row>
    <row r="35" spans="1:5" ht="3" customHeight="1">
      <c r="A35" s="1222"/>
      <c r="B35" s="1231"/>
      <c r="D35" s="1221"/>
    </row>
    <row r="36" spans="1:5">
      <c r="A36" s="1222"/>
      <c r="B36" s="1225"/>
      <c r="C36" s="1226">
        <f>C33+1</f>
        <v>9</v>
      </c>
      <c r="D36" s="1237" t="s">
        <v>1278</v>
      </c>
    </row>
    <row r="37" spans="1:5" ht="10.5" customHeight="1">
      <c r="A37" s="1222"/>
      <c r="B37" s="1231"/>
      <c r="D37" s="1237" t="s">
        <v>1652</v>
      </c>
    </row>
    <row r="38" spans="1:5" ht="3" customHeight="1">
      <c r="A38" s="1222"/>
      <c r="B38" s="1239"/>
      <c r="C38" s="1240"/>
      <c r="D38" s="1221"/>
    </row>
    <row r="39" spans="1:5">
      <c r="A39" s="1222"/>
      <c r="B39" s="1241"/>
      <c r="C39" s="1232">
        <f>C36+1</f>
        <v>10</v>
      </c>
      <c r="D39" s="1221" t="s">
        <v>1277</v>
      </c>
    </row>
    <row r="40" spans="1:5" ht="10.5" customHeight="1">
      <c r="A40" s="1222"/>
      <c r="B40" s="1242"/>
      <c r="C40" s="1240"/>
      <c r="D40" s="1221" t="s">
        <v>1653</v>
      </c>
    </row>
    <row r="41" spans="1:5" ht="3" customHeight="1">
      <c r="A41" s="1222"/>
      <c r="B41" s="1239"/>
      <c r="C41" s="1240"/>
      <c r="D41" s="1221"/>
    </row>
    <row r="42" spans="1:5" ht="10.5" customHeight="1">
      <c r="A42" s="1222"/>
      <c r="B42" s="1241"/>
      <c r="C42" s="1232">
        <v>11</v>
      </c>
      <c r="D42" s="1243" t="s">
        <v>1654</v>
      </c>
      <c r="E42" s="312"/>
    </row>
    <row r="43" spans="1:5" ht="3" customHeight="1">
      <c r="A43" s="1222"/>
      <c r="B43" s="1239"/>
      <c r="C43" s="1240"/>
      <c r="D43" s="1221"/>
    </row>
    <row r="44" spans="1:5">
      <c r="A44" s="1222"/>
      <c r="B44" s="1225"/>
      <c r="C44" s="1226">
        <f>C42+1</f>
        <v>12</v>
      </c>
      <c r="D44" s="1237" t="s">
        <v>1276</v>
      </c>
    </row>
    <row r="45" spans="1:5" ht="10.5" customHeight="1">
      <c r="A45" s="1222"/>
      <c r="B45" s="1238"/>
      <c r="C45" s="1226"/>
      <c r="D45" s="1237" t="s">
        <v>1275</v>
      </c>
    </row>
    <row r="46" spans="1:5" ht="10.5" customHeight="1">
      <c r="A46" s="1222"/>
      <c r="B46" s="1239"/>
      <c r="C46" s="1240"/>
      <c r="D46" s="1237" t="s">
        <v>1274</v>
      </c>
    </row>
    <row r="47" spans="1:5" ht="3" customHeight="1">
      <c r="A47" s="1222"/>
      <c r="B47" s="1239"/>
      <c r="C47" s="1240"/>
      <c r="D47" s="1237"/>
    </row>
    <row r="48" spans="1:5">
      <c r="A48" s="1222"/>
      <c r="B48" s="1225"/>
      <c r="C48" s="1226">
        <f>C44+1</f>
        <v>13</v>
      </c>
      <c r="D48" s="1237" t="s">
        <v>1655</v>
      </c>
    </row>
    <row r="49" spans="1:4" ht="3" customHeight="1">
      <c r="A49" s="1222"/>
      <c r="B49" s="1229"/>
      <c r="C49" s="1226"/>
      <c r="D49" s="1237"/>
    </row>
    <row r="50" spans="1:4">
      <c r="A50" s="1222"/>
      <c r="B50" s="1225"/>
      <c r="C50" s="1226">
        <f>C48+1</f>
        <v>14</v>
      </c>
      <c r="D50" s="1237" t="s">
        <v>1273</v>
      </c>
    </row>
    <row r="51" spans="1:4" ht="3" customHeight="1">
      <c r="A51" s="1222"/>
      <c r="B51" s="1229"/>
      <c r="C51" s="1226"/>
      <c r="D51" s="1237"/>
    </row>
    <row r="52" spans="1:4">
      <c r="A52" s="1222"/>
      <c r="B52" s="1225"/>
      <c r="C52" s="1226">
        <f>C50+1</f>
        <v>15</v>
      </c>
      <c r="D52" s="1237" t="s">
        <v>1272</v>
      </c>
    </row>
    <row r="53" spans="1:4" ht="3" customHeight="1">
      <c r="A53" s="1222"/>
      <c r="B53" s="1229"/>
      <c r="C53" s="1226"/>
      <c r="D53" s="1237"/>
    </row>
    <row r="54" spans="1:4">
      <c r="A54" s="1222"/>
      <c r="B54" s="1225"/>
      <c r="C54" s="1226">
        <f>C52+1</f>
        <v>16</v>
      </c>
      <c r="D54" s="1237" t="s">
        <v>1271</v>
      </c>
    </row>
    <row r="55" spans="1:4" ht="3" customHeight="1">
      <c r="A55" s="1222"/>
      <c r="B55" s="1229"/>
      <c r="C55" s="1226"/>
      <c r="D55" s="1237"/>
    </row>
    <row r="56" spans="1:4">
      <c r="A56" s="1222"/>
      <c r="B56" s="1225"/>
      <c r="C56" s="1226">
        <f>C54+1</f>
        <v>17</v>
      </c>
      <c r="D56" s="1221" t="s">
        <v>1810</v>
      </c>
    </row>
    <row r="57" spans="1:4" ht="10.5" customHeight="1">
      <c r="A57" s="1222"/>
      <c r="D57" s="1237" t="s">
        <v>1811</v>
      </c>
    </row>
    <row r="58" spans="1:4">
      <c r="A58" s="1222"/>
      <c r="C58" s="1244"/>
      <c r="D58" s="1237" t="s">
        <v>1812</v>
      </c>
    </row>
    <row r="59" spans="1:4" ht="10.5" customHeight="1">
      <c r="A59" s="1222"/>
      <c r="D59" s="1221" t="s">
        <v>1270</v>
      </c>
    </row>
    <row r="60" spans="1:4" ht="10.5" customHeight="1">
      <c r="A60" s="1222"/>
      <c r="D60" s="1245" t="s">
        <v>1680</v>
      </c>
    </row>
    <row r="61" spans="1:4" ht="10.5" customHeight="1">
      <c r="A61" s="1222"/>
      <c r="C61" s="1244"/>
      <c r="D61" s="1237" t="s">
        <v>1813</v>
      </c>
    </row>
    <row r="62" spans="1:4" ht="10.5" customHeight="1">
      <c r="A62" s="1222"/>
      <c r="D62" s="1246" t="s">
        <v>1269</v>
      </c>
    </row>
    <row r="63" spans="1:4" ht="10.5" customHeight="1">
      <c r="A63" s="1222"/>
      <c r="D63" s="1221" t="s">
        <v>1656</v>
      </c>
    </row>
    <row r="64" spans="1:4" ht="10.5" customHeight="1">
      <c r="A64" s="1222"/>
      <c r="D64" s="1245" t="s">
        <v>1679</v>
      </c>
    </row>
    <row r="65" spans="1:4">
      <c r="A65" s="1222"/>
      <c r="C65" s="1244"/>
      <c r="D65" s="1237" t="s">
        <v>1814</v>
      </c>
    </row>
    <row r="66" spans="1:4" ht="10.5" customHeight="1">
      <c r="A66" s="1222"/>
      <c r="D66" s="1247" t="s">
        <v>1268</v>
      </c>
    </row>
    <row r="67" spans="1:4" ht="10.5" customHeight="1">
      <c r="A67" s="1222"/>
      <c r="D67" s="1221" t="s">
        <v>1657</v>
      </c>
    </row>
    <row r="68" spans="1:4" ht="10.5" customHeight="1">
      <c r="A68" s="1222"/>
      <c r="D68" s="1245" t="s">
        <v>1679</v>
      </c>
    </row>
    <row r="69" spans="1:4" ht="10.5" customHeight="1">
      <c r="A69" s="1222"/>
      <c r="C69" s="1244"/>
      <c r="D69" s="1237" t="s">
        <v>1815</v>
      </c>
    </row>
    <row r="70" spans="1:4">
      <c r="A70" s="1222"/>
      <c r="D70" s="1246" t="s">
        <v>1267</v>
      </c>
    </row>
    <row r="71" spans="1:4" ht="3" customHeight="1">
      <c r="A71" s="1222"/>
      <c r="D71" s="1221"/>
    </row>
    <row r="72" spans="1:4">
      <c r="A72" s="1222"/>
      <c r="B72" s="1225"/>
      <c r="C72" s="1226">
        <f>C56+1</f>
        <v>18</v>
      </c>
      <c r="D72" s="1247" t="s">
        <v>1816</v>
      </c>
    </row>
    <row r="73" spans="1:4" ht="3" customHeight="1">
      <c r="A73" s="1222"/>
      <c r="B73" s="1229"/>
      <c r="C73" s="1226"/>
      <c r="D73" s="1247"/>
    </row>
    <row r="74" spans="1:4">
      <c r="A74" s="1222"/>
      <c r="B74" s="1225"/>
      <c r="C74" s="1226">
        <f>C72+1</f>
        <v>19</v>
      </c>
      <c r="D74" s="1237" t="s">
        <v>1266</v>
      </c>
    </row>
    <row r="75" spans="1:4" ht="3" customHeight="1">
      <c r="A75" s="1222"/>
      <c r="B75" s="1229"/>
      <c r="C75" s="1226"/>
      <c r="D75" s="1237"/>
    </row>
    <row r="76" spans="1:4">
      <c r="A76" s="1222"/>
      <c r="B76" s="1225"/>
      <c r="C76" s="1226">
        <f>C74+1</f>
        <v>20</v>
      </c>
      <c r="D76" s="1248" t="s">
        <v>1817</v>
      </c>
    </row>
    <row r="77" spans="1:4" ht="3" customHeight="1">
      <c r="A77" s="1222"/>
      <c r="B77" s="1229"/>
      <c r="C77" s="1226"/>
      <c r="D77" s="1248"/>
    </row>
    <row r="78" spans="1:4">
      <c r="A78" s="1222"/>
      <c r="B78" s="1225"/>
      <c r="C78" s="1226">
        <f>C76+1</f>
        <v>21</v>
      </c>
      <c r="D78" s="1221" t="s">
        <v>1818</v>
      </c>
    </row>
    <row r="79" spans="1:4" ht="3" customHeight="1">
      <c r="A79" s="1222"/>
      <c r="B79" s="1229"/>
      <c r="C79" s="1226"/>
      <c r="D79" s="1221"/>
    </row>
    <row r="80" spans="1:4">
      <c r="A80" s="1222"/>
      <c r="B80" s="1225"/>
      <c r="C80" s="1226">
        <f>C78+1</f>
        <v>22</v>
      </c>
      <c r="D80" s="1249" t="s">
        <v>1819</v>
      </c>
    </row>
    <row r="81" spans="1:4" ht="3" customHeight="1">
      <c r="A81" s="1222"/>
      <c r="B81" s="1229"/>
      <c r="C81" s="1226"/>
      <c r="D81" s="1249"/>
    </row>
    <row r="82" spans="1:4">
      <c r="A82" s="1222"/>
      <c r="B82" s="1225"/>
      <c r="C82" s="1226">
        <f>C80+1</f>
        <v>23</v>
      </c>
      <c r="D82" s="1248" t="s">
        <v>1820</v>
      </c>
    </row>
    <row r="83" spans="1:4" ht="10.5" customHeight="1">
      <c r="A83" s="1222"/>
      <c r="B83" s="1231"/>
      <c r="D83" s="1237" t="s">
        <v>1265</v>
      </c>
    </row>
    <row r="84" spans="1:4" ht="3" customHeight="1">
      <c r="A84" s="1222"/>
      <c r="B84" s="1231"/>
      <c r="D84" s="1237"/>
    </row>
    <row r="85" spans="1:4">
      <c r="A85" s="1222"/>
      <c r="B85" s="1225"/>
      <c r="C85" s="1226">
        <f>C82+1</f>
        <v>24</v>
      </c>
      <c r="D85" s="1237" t="s">
        <v>1264</v>
      </c>
    </row>
    <row r="86" spans="1:4" ht="3" customHeight="1">
      <c r="A86" s="1222"/>
      <c r="B86" s="1229"/>
      <c r="C86" s="1226"/>
      <c r="D86" s="1237"/>
    </row>
    <row r="87" spans="1:4">
      <c r="A87" s="1222"/>
      <c r="B87" s="1225"/>
      <c r="C87" s="1226">
        <f>C85+1</f>
        <v>25</v>
      </c>
      <c r="D87" s="1237" t="s">
        <v>1263</v>
      </c>
    </row>
    <row r="88" spans="1:4" ht="3" customHeight="1">
      <c r="A88" s="1222"/>
      <c r="B88" s="1229"/>
      <c r="C88" s="1226"/>
      <c r="D88" s="1237"/>
    </row>
    <row r="89" spans="1:4">
      <c r="A89" s="1222"/>
      <c r="B89" s="1225"/>
      <c r="C89" s="1226">
        <f>C87+1</f>
        <v>26</v>
      </c>
      <c r="D89" s="1237" t="s">
        <v>1262</v>
      </c>
    </row>
    <row r="90" spans="1:4" ht="3" customHeight="1">
      <c r="A90" s="1222"/>
      <c r="B90" s="1229"/>
      <c r="C90" s="1226"/>
      <c r="D90" s="1237"/>
    </row>
    <row r="91" spans="1:4">
      <c r="A91" s="1222"/>
      <c r="B91" s="1225"/>
      <c r="C91" s="1226">
        <f>C89+1</f>
        <v>27</v>
      </c>
      <c r="D91" s="1237" t="s">
        <v>1821</v>
      </c>
    </row>
    <row r="92" spans="1:4">
      <c r="A92" s="1222"/>
      <c r="B92" s="1250"/>
      <c r="C92" s="1244"/>
      <c r="D92" s="1237" t="s">
        <v>1261</v>
      </c>
    </row>
    <row r="93" spans="1:4" ht="4.5" customHeight="1">
      <c r="A93" s="1222"/>
      <c r="D93" s="1221"/>
    </row>
    <row r="94" spans="1:4">
      <c r="A94" s="1222"/>
      <c r="B94" s="1223" t="s">
        <v>1658</v>
      </c>
      <c r="C94" s="1224"/>
      <c r="D94" s="1221"/>
    </row>
    <row r="95" spans="1:4" ht="4.5" customHeight="1">
      <c r="A95" s="1222"/>
      <c r="B95" s="1223"/>
      <c r="C95" s="1224"/>
      <c r="D95" s="1221"/>
    </row>
    <row r="96" spans="1:4">
      <c r="A96" s="1222"/>
      <c r="B96" s="1225"/>
      <c r="C96" s="1226">
        <f>C91+1</f>
        <v>28</v>
      </c>
      <c r="D96" s="1237" t="s">
        <v>1822</v>
      </c>
    </row>
    <row r="97" spans="1:4" ht="3" customHeight="1">
      <c r="A97" s="1222"/>
      <c r="B97" s="1229"/>
      <c r="C97" s="1226"/>
      <c r="D97" s="1237"/>
    </row>
    <row r="98" spans="1:4">
      <c r="A98" s="1222"/>
      <c r="B98" s="1225"/>
      <c r="C98" s="1226">
        <f>C96+1</f>
        <v>29</v>
      </c>
      <c r="D98" s="1251" t="s">
        <v>1823</v>
      </c>
    </row>
    <row r="99" spans="1:4" ht="3" customHeight="1">
      <c r="A99" s="1222"/>
      <c r="B99" s="1229"/>
      <c r="C99" s="1226"/>
      <c r="D99" s="1251"/>
    </row>
    <row r="100" spans="1:4">
      <c r="A100" s="1222"/>
      <c r="B100" s="1225"/>
      <c r="C100" s="1226">
        <f>C98+1</f>
        <v>30</v>
      </c>
      <c r="D100" s="1237" t="s">
        <v>1824</v>
      </c>
    </row>
    <row r="101" spans="1:4" ht="3" customHeight="1">
      <c r="A101" s="1222"/>
      <c r="B101" s="1229"/>
      <c r="C101" s="1226"/>
      <c r="D101" s="1252"/>
    </row>
    <row r="102" spans="1:4">
      <c r="A102" s="1222"/>
      <c r="B102" s="1225"/>
      <c r="C102" s="1226">
        <f>C100+1</f>
        <v>31</v>
      </c>
      <c r="D102" s="1237" t="s">
        <v>1659</v>
      </c>
    </row>
    <row r="103" spans="1:4" ht="4.5" customHeight="1">
      <c r="A103" s="1222"/>
      <c r="B103" s="312"/>
      <c r="C103" s="1226"/>
      <c r="D103" s="1237"/>
    </row>
    <row r="104" spans="1:4" ht="14.1" customHeight="1">
      <c r="A104" s="1222"/>
      <c r="B104" s="1253" t="s">
        <v>1260</v>
      </c>
    </row>
    <row r="105" spans="1:4" ht="4.5" customHeight="1">
      <c r="A105" s="1222"/>
      <c r="B105" s="1253"/>
    </row>
    <row r="106" spans="1:4">
      <c r="A106" s="1222"/>
      <c r="B106" s="1225"/>
      <c r="C106" s="1226">
        <f>C102+1</f>
        <v>32</v>
      </c>
      <c r="D106" s="1221" t="s">
        <v>1660</v>
      </c>
    </row>
    <row r="107" spans="1:4" ht="3" customHeight="1">
      <c r="A107" s="1222"/>
      <c r="B107" s="1229"/>
      <c r="C107" s="1226"/>
      <c r="D107" s="1221"/>
    </row>
    <row r="108" spans="1:4">
      <c r="A108" s="1222"/>
      <c r="B108" s="1225"/>
      <c r="C108" s="1226">
        <v>33</v>
      </c>
      <c r="D108" s="1221" t="s">
        <v>1825</v>
      </c>
    </row>
    <row r="109" spans="1:4" ht="3" customHeight="1">
      <c r="A109" s="1222"/>
      <c r="B109" s="1229"/>
      <c r="C109" s="1226"/>
      <c r="D109" s="1221"/>
    </row>
    <row r="110" spans="1:4">
      <c r="A110" s="1222"/>
      <c r="B110" s="1225"/>
      <c r="C110" s="1226">
        <f>C108+1</f>
        <v>34</v>
      </c>
      <c r="D110" s="1221" t="s">
        <v>1259</v>
      </c>
    </row>
    <row r="111" spans="1:4" ht="3" customHeight="1">
      <c r="A111" s="1222"/>
      <c r="B111" s="1229"/>
      <c r="C111" s="1226"/>
      <c r="D111" s="1221"/>
    </row>
    <row r="112" spans="1:4">
      <c r="A112" s="1222"/>
      <c r="B112" s="1225"/>
      <c r="C112" s="1226">
        <f>C110+1</f>
        <v>35</v>
      </c>
      <c r="D112" s="1221" t="s">
        <v>1258</v>
      </c>
    </row>
    <row r="113" spans="1:4" ht="11.25" customHeight="1">
      <c r="A113" s="1222"/>
      <c r="B113" s="1254"/>
      <c r="C113" s="1226"/>
      <c r="D113" s="1255" t="s">
        <v>1257</v>
      </c>
    </row>
    <row r="114" spans="1:4" ht="3" customHeight="1">
      <c r="A114" s="1222"/>
      <c r="B114" s="1256"/>
      <c r="C114" s="1226"/>
      <c r="D114" s="1255"/>
    </row>
    <row r="115" spans="1:4">
      <c r="A115" s="1222"/>
      <c r="B115" s="1225"/>
      <c r="C115" s="1226">
        <f>C112+1</f>
        <v>36</v>
      </c>
      <c r="D115" s="1237" t="s">
        <v>1256</v>
      </c>
    </row>
    <row r="116" spans="1:4" ht="3" customHeight="1">
      <c r="A116" s="1222"/>
      <c r="B116" s="1229"/>
      <c r="C116" s="1226"/>
      <c r="D116" s="1237"/>
    </row>
    <row r="117" spans="1:4">
      <c r="A117" s="1222"/>
      <c r="B117" s="1225"/>
      <c r="C117" s="1226">
        <f>C115+1</f>
        <v>37</v>
      </c>
      <c r="D117" s="1237" t="s">
        <v>1826</v>
      </c>
    </row>
    <row r="118" spans="1:4" ht="3" customHeight="1">
      <c r="A118" s="1222"/>
      <c r="B118" s="1229"/>
      <c r="C118" s="1226"/>
      <c r="D118" s="1237"/>
    </row>
    <row r="119" spans="1:4">
      <c r="A119" s="1222"/>
      <c r="B119" s="1225"/>
      <c r="C119" s="1226">
        <f>C117+1</f>
        <v>38</v>
      </c>
      <c r="D119" s="1237" t="s">
        <v>1827</v>
      </c>
    </row>
    <row r="120" spans="1:4" ht="10.5" customHeight="1">
      <c r="A120" s="1222"/>
      <c r="B120" s="1250"/>
      <c r="C120" s="1226"/>
      <c r="D120" s="1237" t="s">
        <v>1255</v>
      </c>
    </row>
    <row r="121" spans="1:4" ht="10.5" customHeight="1">
      <c r="A121" s="1222"/>
      <c r="B121" s="1250"/>
      <c r="C121" s="1226"/>
      <c r="D121" s="1237" t="s">
        <v>1254</v>
      </c>
    </row>
    <row r="122" spans="1:4" ht="3" customHeight="1">
      <c r="A122" s="1222"/>
      <c r="B122" s="1250"/>
      <c r="C122" s="1226"/>
      <c r="D122" s="1237"/>
    </row>
    <row r="123" spans="1:4">
      <c r="A123" s="1222"/>
      <c r="B123" s="1225"/>
      <c r="C123" s="1226">
        <f>C119+1</f>
        <v>39</v>
      </c>
      <c r="D123" s="1247" t="s">
        <v>1943</v>
      </c>
    </row>
    <row r="124" spans="1:4">
      <c r="A124" s="1222"/>
      <c r="B124" s="312"/>
      <c r="C124" s="1226"/>
      <c r="D124" s="1237" t="s">
        <v>1253</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566" t="str">
        <f>'Single Audit Cover'!A7</f>
        <v>Evanston CCSD 65</v>
      </c>
      <c r="B1" s="2566"/>
      <c r="C1" s="2566"/>
      <c r="D1" s="2566"/>
      <c r="E1" s="2566"/>
    </row>
    <row r="2" spans="1:5">
      <c r="A2" s="2567">
        <f>'Single Audit Cover'!E7</f>
        <v>5016065004</v>
      </c>
      <c r="B2" s="2567"/>
      <c r="C2" s="2567"/>
      <c r="D2" s="2567"/>
      <c r="E2" s="2567"/>
    </row>
    <row r="3" spans="1:5" ht="4.5" customHeight="1"/>
    <row r="4" spans="1:5">
      <c r="A4" s="2566" t="s">
        <v>1306</v>
      </c>
      <c r="B4" s="2566"/>
      <c r="C4" s="2566"/>
      <c r="D4" s="2566"/>
      <c r="E4" s="2566"/>
    </row>
    <row r="5" spans="1:5">
      <c r="A5" s="2569" t="str">
        <f>'Single Audit Cover'!A4</f>
        <v>Year Ending June 30, 2018</v>
      </c>
      <c r="B5" s="2569"/>
      <c r="C5" s="2569"/>
      <c r="D5" s="2569"/>
      <c r="E5" s="2569"/>
    </row>
    <row r="6" spans="1:5">
      <c r="A6" s="2566" t="s">
        <v>1305</v>
      </c>
      <c r="B6" s="2566"/>
      <c r="C6" s="2566"/>
      <c r="D6" s="2566"/>
      <c r="E6" s="2566"/>
    </row>
    <row r="8" spans="1:5">
      <c r="A8" s="1260" t="s">
        <v>1304</v>
      </c>
    </row>
    <row r="10" spans="1:5">
      <c r="A10" s="1261" t="s">
        <v>1303</v>
      </c>
      <c r="B10" s="1262" t="s">
        <v>1302</v>
      </c>
      <c r="C10" s="1262"/>
      <c r="D10" s="1263">
        <f>SUM('Acct Summary 7-8'!C7:K7)</f>
        <v>8380578</v>
      </c>
    </row>
    <row r="11" spans="1:5" ht="18" customHeight="1">
      <c r="A11" s="1261" t="s">
        <v>1301</v>
      </c>
      <c r="B11" s="1262"/>
      <c r="C11" s="1262"/>
    </row>
    <row r="12" spans="1:5">
      <c r="A12" s="1261" t="s">
        <v>1300</v>
      </c>
      <c r="B12" s="1262" t="s">
        <v>1299</v>
      </c>
      <c r="C12" s="1262"/>
      <c r="D12" s="1264">
        <f>SUM('Revenues 9-14'!C112:D112,'Revenues 9-14'!F112:G112)</f>
        <v>0</v>
      </c>
    </row>
    <row r="13" spans="1:5">
      <c r="A13" s="1261" t="s">
        <v>1298</v>
      </c>
      <c r="B13" s="1262"/>
      <c r="C13" s="1262"/>
    </row>
    <row r="14" spans="1:5">
      <c r="A14" s="1261" t="s">
        <v>1829</v>
      </c>
      <c r="B14" s="1262"/>
      <c r="C14" s="1262"/>
      <c r="D14" s="1264">
        <f>'ICR Computation 30'!E11</f>
        <v>165494</v>
      </c>
    </row>
    <row r="15" spans="1:5">
      <c r="A15" s="1261"/>
      <c r="B15" s="1262"/>
      <c r="C15" s="1262"/>
    </row>
    <row r="16" spans="1:5">
      <c r="A16" s="1261" t="s">
        <v>1951</v>
      </c>
      <c r="B16" s="1262"/>
      <c r="C16" s="1262"/>
    </row>
    <row r="17" spans="1:4">
      <c r="A17" s="1261" t="s">
        <v>1600</v>
      </c>
      <c r="B17" s="1262" t="s">
        <v>1297</v>
      </c>
      <c r="C17" s="1262"/>
      <c r="D17" s="1264">
        <f>-SUM('Revenues 9-14'!C271:D271,'Revenues 9-14'!F271:G271)</f>
        <v>-490056</v>
      </c>
    </row>
    <row r="19" spans="1:4" ht="13.5" thickBot="1">
      <c r="A19" s="1265" t="s">
        <v>1296</v>
      </c>
      <c r="D19" s="1266">
        <f>SUM(D10:D17)</f>
        <v>8056016</v>
      </c>
    </row>
    <row r="20" spans="1:4" ht="21.75" customHeight="1" thickTop="1"/>
    <row r="21" spans="1:4">
      <c r="A21" s="1260" t="s">
        <v>1295</v>
      </c>
    </row>
    <row r="22" spans="1:4" ht="8.25" customHeight="1"/>
    <row r="23" spans="1:4">
      <c r="A23" s="1267" t="s">
        <v>1289</v>
      </c>
    </row>
    <row r="24" spans="1:4">
      <c r="A24" s="2568"/>
      <c r="B24" s="2568"/>
      <c r="D24" s="1268"/>
    </row>
    <row r="25" spans="1:4">
      <c r="A25" s="2565"/>
      <c r="B25" s="2565"/>
      <c r="D25" s="1268"/>
    </row>
    <row r="26" spans="1:4">
      <c r="A26" s="2565"/>
      <c r="B26" s="2565"/>
      <c r="D26" s="1268"/>
    </row>
    <row r="27" spans="1:4">
      <c r="A27" s="2565"/>
      <c r="B27" s="2565"/>
      <c r="D27" s="1268"/>
    </row>
    <row r="28" spans="1:4">
      <c r="A28" s="2565"/>
      <c r="B28" s="2565"/>
      <c r="D28" s="1268"/>
    </row>
    <row r="29" spans="1:4">
      <c r="A29" s="2565"/>
      <c r="B29" s="2565"/>
      <c r="D29" s="1268"/>
    </row>
    <row r="30" spans="1:4">
      <c r="A30" s="2565"/>
      <c r="B30" s="2565"/>
      <c r="D30" s="1268"/>
    </row>
    <row r="32" spans="1:4">
      <c r="A32" s="1260" t="s">
        <v>1294</v>
      </c>
      <c r="D32" s="1263">
        <f>SUM(D19:D30)</f>
        <v>8056016</v>
      </c>
    </row>
    <row r="33" spans="1:4">
      <c r="D33" s="1269"/>
    </row>
    <row r="34" spans="1:4">
      <c r="A34" s="317" t="s">
        <v>1293</v>
      </c>
    </row>
    <row r="35" spans="1:4">
      <c r="A35" s="317" t="s">
        <v>1292</v>
      </c>
      <c r="B35" s="1258" t="s">
        <v>1291</v>
      </c>
      <c r="D35" s="1270">
        <f>'2018 SEFA'!F164</f>
        <v>7713831</v>
      </c>
    </row>
    <row r="37" spans="1:4">
      <c r="A37" s="1260" t="s">
        <v>1290</v>
      </c>
    </row>
    <row r="39" spans="1:4" ht="13.35" customHeight="1">
      <c r="A39" s="1267" t="s">
        <v>1289</v>
      </c>
    </row>
    <row r="40" spans="1:4">
      <c r="A40" s="2565" t="s">
        <v>2230</v>
      </c>
      <c r="B40" s="2565"/>
      <c r="D40" s="1268">
        <v>334135</v>
      </c>
    </row>
    <row r="41" spans="1:4">
      <c r="A41" s="2565"/>
      <c r="B41" s="2565"/>
      <c r="D41" s="1271"/>
    </row>
    <row r="42" spans="1:4">
      <c r="A42" s="2565" t="s">
        <v>2231</v>
      </c>
      <c r="B42" s="2565"/>
      <c r="D42" s="1271">
        <v>8050</v>
      </c>
    </row>
    <row r="43" spans="1:4">
      <c r="A43" s="2565"/>
      <c r="B43" s="2565"/>
      <c r="D43" s="1271"/>
    </row>
    <row r="44" spans="1:4">
      <c r="A44" s="2565"/>
      <c r="B44" s="2565"/>
      <c r="D44" s="1271"/>
    </row>
    <row r="45" spans="1:4">
      <c r="A45" s="2565"/>
      <c r="B45" s="2565"/>
      <c r="D45" s="1271"/>
    </row>
    <row r="47" spans="1:4">
      <c r="B47" s="1272" t="s">
        <v>1288</v>
      </c>
      <c r="C47" s="1272"/>
      <c r="D47" s="1273">
        <f>SUM(D35:D45)</f>
        <v>8056016</v>
      </c>
    </row>
    <row r="49" spans="2:4">
      <c r="B49" s="1272" t="s">
        <v>1287</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6" sqref="A6:XFD6"/>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571" t="str">
        <f>'Single Audit Cover'!A7</f>
        <v>Evanston CCSD 65</v>
      </c>
      <c r="B1" s="2571"/>
      <c r="C1" s="2571"/>
      <c r="D1" s="2571"/>
      <c r="E1" s="2571"/>
      <c r="F1" s="2571"/>
    </row>
    <row r="2" spans="1:7" ht="13.5" customHeight="1">
      <c r="A2" s="2572">
        <f>'Single Audit Cover'!E7</f>
        <v>5016065004</v>
      </c>
      <c r="B2" s="2572"/>
      <c r="C2" s="2572"/>
      <c r="D2" s="2572"/>
      <c r="E2" s="2572"/>
      <c r="F2" s="2572"/>
      <c r="G2" s="1275"/>
    </row>
    <row r="3" spans="1:7" ht="15.75" customHeight="1">
      <c r="A3" s="2573" t="s">
        <v>1332</v>
      </c>
      <c r="B3" s="2573"/>
      <c r="C3" s="2573"/>
      <c r="D3" s="2573"/>
      <c r="E3" s="2573"/>
      <c r="F3" s="2573"/>
    </row>
    <row r="4" spans="1:7" ht="13.5" customHeight="1">
      <c r="A4" s="2574" t="str">
        <f>'Single Audit Cover'!A4</f>
        <v>Year Ending June 30, 2018</v>
      </c>
      <c r="B4" s="2574"/>
      <c r="C4" s="2574"/>
      <c r="D4" s="2574"/>
      <c r="E4" s="2574"/>
      <c r="F4" s="2574"/>
    </row>
    <row r="5" spans="1:7" ht="8.25" customHeight="1">
      <c r="C5" s="317"/>
      <c r="D5" s="317"/>
    </row>
    <row r="6" spans="1:7" ht="13.5" customHeight="1">
      <c r="A6" s="1276" t="s">
        <v>1830</v>
      </c>
      <c r="C6" s="317"/>
      <c r="D6" s="317"/>
    </row>
    <row r="7" spans="1:7" ht="60.95" customHeight="1">
      <c r="A7" s="2570" t="s">
        <v>2245</v>
      </c>
      <c r="B7" s="2570"/>
      <c r="C7" s="2570"/>
      <c r="D7" s="2570"/>
      <c r="E7" s="2570"/>
      <c r="F7" s="2570"/>
    </row>
    <row r="8" spans="1:7" ht="12" customHeight="1">
      <c r="A8" s="1276"/>
      <c r="B8" s="1282"/>
      <c r="C8" s="1282"/>
      <c r="D8" s="1282"/>
    </row>
    <row r="9" spans="1:7" ht="15" customHeight="1">
      <c r="A9" s="1277" t="s">
        <v>1831</v>
      </c>
      <c r="B9" s="1280"/>
      <c r="C9" s="1280"/>
      <c r="D9" s="1280"/>
      <c r="E9" s="1278"/>
      <c r="F9" s="1278"/>
      <c r="G9" s="1278"/>
    </row>
    <row r="10" spans="1:7" ht="15" customHeight="1">
      <c r="A10" s="1279" t="s">
        <v>1627</v>
      </c>
      <c r="B10" s="1280"/>
      <c r="C10" s="1281"/>
      <c r="D10" s="1280" t="s">
        <v>1628</v>
      </c>
      <c r="E10" s="1281" t="s">
        <v>2073</v>
      </c>
      <c r="F10" s="1280" t="s">
        <v>101</v>
      </c>
      <c r="G10" s="1278"/>
    </row>
    <row r="11" spans="1:7" ht="12" customHeight="1">
      <c r="A11" s="1279"/>
      <c r="B11" s="1280"/>
      <c r="C11" s="1925"/>
      <c r="D11" s="1280"/>
      <c r="E11" s="1925"/>
      <c r="F11" s="1280"/>
      <c r="G11" s="1278"/>
    </row>
    <row r="12" spans="1:7">
      <c r="A12" s="1276" t="s">
        <v>1668</v>
      </c>
      <c r="C12" s="1260"/>
      <c r="D12" s="1260"/>
    </row>
    <row r="13" spans="1:7" ht="15" customHeight="1">
      <c r="A13" s="2570" t="s">
        <v>2246</v>
      </c>
      <c r="B13" s="2570"/>
      <c r="C13" s="2570"/>
      <c r="D13" s="2570"/>
      <c r="E13" s="2570"/>
      <c r="F13" s="2570"/>
    </row>
    <row r="14" spans="1:7" ht="9.75" customHeight="1">
      <c r="C14" s="1260"/>
      <c r="D14" s="1260"/>
    </row>
    <row r="15" spans="1:7" ht="13.5" customHeight="1">
      <c r="C15" s="1869" t="s">
        <v>1331</v>
      </c>
      <c r="D15" s="2576" t="s">
        <v>1330</v>
      </c>
      <c r="E15" s="2576"/>
      <c r="F15" s="2576"/>
    </row>
    <row r="16" spans="1:7" ht="13.5" customHeight="1">
      <c r="A16" s="1282"/>
      <c r="B16" s="1276" t="s">
        <v>1329</v>
      </c>
      <c r="C16" s="1869" t="s">
        <v>1328</v>
      </c>
      <c r="D16" s="2577" t="s">
        <v>1669</v>
      </c>
      <c r="E16" s="2577"/>
      <c r="F16" s="2577"/>
    </row>
    <row r="17" spans="1:6" ht="20.45" customHeight="1">
      <c r="A17" s="1283"/>
      <c r="B17" s="1284" t="s">
        <v>2105</v>
      </c>
      <c r="C17" s="1956" t="s">
        <v>2106</v>
      </c>
      <c r="D17" s="2578">
        <v>542003</v>
      </c>
      <c r="E17" s="2575"/>
      <c r="F17" s="2575"/>
    </row>
    <row r="18" spans="1:6" ht="20.65" customHeight="1">
      <c r="A18" s="1283"/>
      <c r="B18" s="1284"/>
      <c r="C18" s="1285"/>
      <c r="D18" s="2575"/>
      <c r="E18" s="2575"/>
      <c r="F18" s="2575"/>
    </row>
    <row r="19" spans="1:6" ht="20.65" customHeight="1">
      <c r="A19" s="1283"/>
      <c r="B19" s="1284"/>
      <c r="C19" s="1285"/>
      <c r="D19" s="2575"/>
      <c r="E19" s="2575"/>
      <c r="F19" s="2575"/>
    </row>
    <row r="20" spans="1:6" ht="20.65" customHeight="1">
      <c r="A20" s="1283"/>
      <c r="B20" s="1284"/>
      <c r="C20" s="1285"/>
      <c r="D20" s="2575"/>
      <c r="E20" s="2575"/>
      <c r="F20" s="2575"/>
    </row>
    <row r="21" spans="1:6" ht="20.65" customHeight="1">
      <c r="A21" s="1283"/>
      <c r="B21" s="1284"/>
      <c r="C21" s="1285"/>
      <c r="D21" s="2575"/>
      <c r="E21" s="2575"/>
      <c r="F21" s="2575"/>
    </row>
    <row r="22" spans="1:6" ht="20.65" customHeight="1">
      <c r="A22" s="1283"/>
      <c r="B22" s="1284"/>
      <c r="C22" s="1285"/>
      <c r="D22" s="2575"/>
      <c r="E22" s="2575"/>
      <c r="F22" s="2575"/>
    </row>
    <row r="23" spans="1:6" ht="20.65" customHeight="1">
      <c r="A23" s="1283"/>
      <c r="B23" s="1284"/>
      <c r="C23" s="1285"/>
      <c r="D23" s="2575"/>
      <c r="E23" s="2575"/>
      <c r="F23" s="2575"/>
    </row>
    <row r="24" spans="1:6" ht="20.65" customHeight="1">
      <c r="A24" s="1283"/>
      <c r="B24" s="1284"/>
      <c r="C24" s="1285"/>
      <c r="D24" s="2575"/>
      <c r="E24" s="2575"/>
      <c r="F24" s="2575"/>
    </row>
    <row r="25" spans="1:6" ht="20.65" customHeight="1">
      <c r="A25" s="1283"/>
      <c r="B25" s="1284"/>
      <c r="C25" s="1285"/>
      <c r="D25" s="2575"/>
      <c r="E25" s="2575"/>
      <c r="F25" s="2575"/>
    </row>
    <row r="26" spans="1:6" ht="20.65" customHeight="1">
      <c r="A26" s="1283"/>
      <c r="B26" s="1284"/>
      <c r="C26" s="1285"/>
      <c r="D26" s="2575"/>
      <c r="E26" s="2575"/>
      <c r="F26" s="2575"/>
    </row>
    <row r="27" spans="1:6" ht="20.65" customHeight="1">
      <c r="A27" s="1283"/>
      <c r="B27" s="1284"/>
      <c r="C27" s="1285"/>
      <c r="D27" s="2575"/>
      <c r="E27" s="2575"/>
      <c r="F27" s="2575"/>
    </row>
    <row r="28" spans="1:6" ht="20.65" customHeight="1">
      <c r="A28" s="1283"/>
      <c r="B28" s="1284"/>
      <c r="C28" s="1285"/>
      <c r="D28" s="2575"/>
      <c r="E28" s="2575"/>
      <c r="F28" s="2575"/>
    </row>
    <row r="29" spans="1:6" ht="20.65" customHeight="1">
      <c r="A29" s="1283"/>
      <c r="B29" s="1284"/>
      <c r="C29" s="1285"/>
      <c r="D29" s="2575"/>
      <c r="E29" s="2575"/>
      <c r="F29" s="2575"/>
    </row>
    <row r="30" spans="1:6" ht="12" customHeight="1">
      <c r="A30" s="328"/>
      <c r="B30" s="328"/>
      <c r="C30" s="1478"/>
      <c r="D30" s="1926"/>
      <c r="E30" s="1286"/>
    </row>
    <row r="31" spans="1:6" ht="12" customHeight="1">
      <c r="A31" s="1287" t="s">
        <v>1629</v>
      </c>
      <c r="B31" s="328"/>
      <c r="C31" s="1478"/>
      <c r="D31" s="1926"/>
      <c r="E31" s="1286"/>
    </row>
    <row r="32" spans="1:6" ht="30" customHeight="1">
      <c r="A32" s="2580" t="s">
        <v>2247</v>
      </c>
      <c r="B32" s="2580"/>
      <c r="C32" s="2580"/>
      <c r="D32" s="2580"/>
      <c r="E32" s="2580"/>
      <c r="F32" s="2580"/>
    </row>
    <row r="33" spans="1:6" ht="13.5" customHeight="1">
      <c r="A33" s="328" t="s">
        <v>1508</v>
      </c>
      <c r="B33" s="328"/>
      <c r="C33" s="1288">
        <v>165494</v>
      </c>
      <c r="D33" s="1926"/>
      <c r="E33" s="1286"/>
    </row>
    <row r="34" spans="1:6" ht="13.5" customHeight="1">
      <c r="A34" s="328" t="s">
        <v>1944</v>
      </c>
      <c r="B34" s="328"/>
      <c r="C34" s="1289">
        <v>0</v>
      </c>
      <c r="D34" s="1926" t="s">
        <v>1670</v>
      </c>
      <c r="E34" s="2581">
        <f>+C33+C34</f>
        <v>165494</v>
      </c>
      <c r="F34" s="2582"/>
    </row>
    <row r="35" spans="1:6" ht="12" customHeight="1">
      <c r="A35" s="328"/>
      <c r="B35" s="328"/>
      <c r="C35" s="1927"/>
      <c r="D35" s="1926"/>
      <c r="E35" s="1290"/>
      <c r="F35" s="1291"/>
    </row>
    <row r="36" spans="1:6" ht="13.5" customHeight="1">
      <c r="A36" s="1287" t="s">
        <v>1630</v>
      </c>
      <c r="B36" s="328"/>
      <c r="C36" s="1478"/>
      <c r="D36" s="1926"/>
      <c r="E36" s="1286"/>
    </row>
    <row r="37" spans="1:6" ht="14.25" customHeight="1">
      <c r="A37" s="328" t="s">
        <v>1562</v>
      </c>
      <c r="B37" s="328"/>
      <c r="C37" s="1928"/>
      <c r="D37" s="1926"/>
      <c r="E37" s="1286"/>
    </row>
    <row r="38" spans="1:6" ht="14.25" customHeight="1">
      <c r="A38" s="328"/>
      <c r="B38" s="328" t="s">
        <v>1509</v>
      </c>
      <c r="C38" s="1292">
        <v>0</v>
      </c>
      <c r="D38" s="1926"/>
      <c r="E38" s="1286"/>
    </row>
    <row r="39" spans="1:6" ht="14.25" customHeight="1">
      <c r="A39" s="328"/>
      <c r="B39" s="328" t="s">
        <v>1510</v>
      </c>
      <c r="C39" s="1292">
        <v>0</v>
      </c>
      <c r="D39" s="1926"/>
      <c r="E39" s="1286"/>
    </row>
    <row r="40" spans="1:6" ht="14.25" customHeight="1">
      <c r="A40" s="328"/>
      <c r="B40" s="328" t="s">
        <v>1511</v>
      </c>
      <c r="C40" s="1292">
        <v>0</v>
      </c>
      <c r="D40" s="1926"/>
      <c r="E40" s="1286"/>
    </row>
    <row r="41" spans="1:6" ht="14.25" customHeight="1">
      <c r="A41" s="328"/>
      <c r="B41" s="328" t="s">
        <v>1512</v>
      </c>
      <c r="C41" s="1292">
        <v>0</v>
      </c>
      <c r="D41" s="1926"/>
      <c r="E41" s="1286"/>
    </row>
    <row r="42" spans="1:6" ht="14.25" customHeight="1">
      <c r="A42" s="328" t="s">
        <v>1513</v>
      </c>
      <c r="B42" s="328"/>
      <c r="C42" s="1924">
        <v>0</v>
      </c>
      <c r="D42" s="1926"/>
      <c r="E42" s="1286"/>
    </row>
    <row r="43" spans="1:6" ht="14.25" customHeight="1">
      <c r="A43" s="328" t="s">
        <v>1514</v>
      </c>
      <c r="B43" s="328"/>
      <c r="C43" s="1293">
        <v>0</v>
      </c>
      <c r="D43" s="1926"/>
      <c r="E43" s="1286"/>
    </row>
    <row r="44" spans="1:6" ht="14.25" customHeight="1">
      <c r="A44" s="328"/>
      <c r="B44" s="328"/>
      <c r="C44" s="1928" t="s">
        <v>1515</v>
      </c>
      <c r="D44" s="1926"/>
      <c r="E44" s="1286"/>
    </row>
    <row r="45" spans="1:6" ht="13.5" customHeight="1">
      <c r="B45" s="322"/>
      <c r="C45" s="1294"/>
      <c r="D45" s="1294"/>
    </row>
    <row r="46" spans="1:6">
      <c r="A46" s="1295" t="s">
        <v>1832</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583" t="s">
        <v>1671</v>
      </c>
      <c r="C49" s="2583"/>
      <c r="D49" s="2583"/>
      <c r="E49" s="1399"/>
    </row>
    <row r="50" spans="1:5" s="1300" customFormat="1" ht="3.75" customHeight="1">
      <c r="A50" s="1299"/>
      <c r="B50" s="1868"/>
      <c r="C50" s="1868"/>
      <c r="D50" s="1868"/>
      <c r="E50" s="1399"/>
    </row>
    <row r="51" spans="1:5" s="1300" customFormat="1" ht="20.25" customHeight="1">
      <c r="A51" s="1301">
        <v>6</v>
      </c>
      <c r="B51" s="2579" t="s">
        <v>1631</v>
      </c>
      <c r="C51" s="2579"/>
      <c r="D51" s="2579"/>
    </row>
    <row r="52" spans="1:5" ht="14.25" customHeight="1">
      <c r="A52" s="1301"/>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41"/>
  <sheetViews>
    <sheetView showGridLines="0" topLeftCell="A136" zoomScale="70" zoomScaleNormal="70" workbookViewId="0">
      <selection activeCell="A6" sqref="A6:XFD6"/>
    </sheetView>
  </sheetViews>
  <sheetFormatPr defaultColWidth="9.140625" defaultRowHeight="15"/>
  <cols>
    <col min="1" max="1" width="63.140625" style="1957" customWidth="1"/>
    <col min="2" max="2" width="9.140625" style="1957" bestFit="1" customWidth="1"/>
    <col min="3" max="3" width="15.140625" style="1957" customWidth="1"/>
    <col min="4" max="4" width="9.140625" style="1958"/>
    <col min="5" max="5" width="15.5703125" style="1959" bestFit="1" customWidth="1"/>
    <col min="6" max="6" width="16.85546875" style="1958" bestFit="1" customWidth="1"/>
    <col min="7" max="7" width="9.140625" style="1957" bestFit="1" customWidth="1"/>
    <col min="8" max="8" width="15.5703125" style="1957" bestFit="1" customWidth="1"/>
    <col min="9" max="9" width="22.140625" style="1958" customWidth="1"/>
    <col min="10" max="10" width="5.85546875" style="1957" customWidth="1"/>
    <col min="11" max="11" width="13.85546875" style="1957" customWidth="1"/>
    <col min="12" max="12" width="16.85546875" style="1957" bestFit="1" customWidth="1"/>
    <col min="13" max="13" width="14.140625" style="1958" bestFit="1" customWidth="1"/>
    <col min="14" max="14" width="9.140625" style="1957"/>
    <col min="15" max="15" width="13.5703125" style="1957" bestFit="1" customWidth="1"/>
    <col min="16" max="16384" width="9.140625" style="1957"/>
  </cols>
  <sheetData>
    <row r="1" spans="1:13">
      <c r="A1" s="1965"/>
      <c r="B1" s="2075"/>
      <c r="C1" s="1973"/>
      <c r="D1" s="1965"/>
      <c r="E1" s="1965"/>
      <c r="F1" s="1965"/>
      <c r="G1" s="1965"/>
      <c r="H1" s="1965"/>
      <c r="I1" s="2002" t="s">
        <v>2229</v>
      </c>
      <c r="J1" s="2002"/>
      <c r="K1" s="2002"/>
      <c r="L1" s="2002"/>
      <c r="M1" s="2002"/>
    </row>
    <row r="2" spans="1:13" ht="15.75">
      <c r="A2" s="1965"/>
      <c r="B2" s="2076"/>
      <c r="C2" s="1973"/>
      <c r="D2" s="1965"/>
      <c r="E2" s="1965"/>
      <c r="F2" s="1965"/>
      <c r="G2" s="1965"/>
      <c r="H2" s="1965"/>
      <c r="I2" s="1965" t="s">
        <v>2228</v>
      </c>
      <c r="J2" s="1965"/>
      <c r="K2" s="1965"/>
      <c r="L2" s="1965"/>
      <c r="M2" s="1965"/>
    </row>
    <row r="3" spans="1:13">
      <c r="A3" s="1965"/>
      <c r="B3" s="1973"/>
      <c r="C3" s="1973"/>
      <c r="D3" s="1991"/>
      <c r="E3" s="1982"/>
      <c r="F3" s="1982"/>
      <c r="G3" s="1982"/>
      <c r="H3" s="1991"/>
      <c r="I3" s="2002" t="s">
        <v>2227</v>
      </c>
      <c r="J3" s="2002"/>
      <c r="K3" s="2002"/>
      <c r="L3" s="2002"/>
      <c r="M3" s="2002"/>
    </row>
    <row r="4" spans="1:13" ht="15.75">
      <c r="A4" s="1998" t="s">
        <v>424</v>
      </c>
      <c r="B4" s="1973"/>
      <c r="C4" s="2075"/>
      <c r="D4" s="1991"/>
      <c r="E4" s="2074"/>
      <c r="F4" s="2074"/>
      <c r="G4" s="2074"/>
      <c r="H4" s="2073"/>
      <c r="I4" s="1965" t="s">
        <v>1063</v>
      </c>
      <c r="J4" s="1965"/>
      <c r="K4" s="1965"/>
      <c r="L4" s="1965"/>
      <c r="M4" s="1965"/>
    </row>
    <row r="5" spans="1:13">
      <c r="A5" s="1998" t="s">
        <v>2226</v>
      </c>
      <c r="B5" s="1973"/>
      <c r="C5" s="1973"/>
      <c r="D5" s="1991"/>
      <c r="E5" s="1982"/>
      <c r="F5" s="1982"/>
      <c r="G5" s="1982"/>
      <c r="H5" s="1982"/>
      <c r="I5" s="2002" t="s">
        <v>2225</v>
      </c>
      <c r="J5" s="2002"/>
      <c r="K5" s="2002"/>
      <c r="L5" s="2002"/>
      <c r="M5" s="2002"/>
    </row>
    <row r="6" spans="1:13">
      <c r="A6" s="1998" t="s">
        <v>2224</v>
      </c>
      <c r="B6" s="1973"/>
      <c r="C6" s="1973"/>
      <c r="D6" s="1991"/>
      <c r="E6" s="1982" t="s">
        <v>1230</v>
      </c>
      <c r="F6" s="1982" t="s">
        <v>1230</v>
      </c>
      <c r="G6" s="1982"/>
      <c r="H6" s="1982"/>
      <c r="I6" s="1965" t="s">
        <v>2223</v>
      </c>
      <c r="J6" s="1965"/>
      <c r="K6" s="1965"/>
      <c r="L6" s="1965"/>
      <c r="M6" s="1965"/>
    </row>
    <row r="7" spans="1:13">
      <c r="A7" s="1998"/>
      <c r="B7" s="1973"/>
      <c r="C7" s="1973"/>
      <c r="D7" s="1991"/>
      <c r="E7" s="1982"/>
      <c r="F7" s="1982"/>
      <c r="G7" s="1982"/>
      <c r="H7" s="1982"/>
      <c r="I7" s="2072">
        <v>65</v>
      </c>
      <c r="J7" s="2072"/>
      <c r="K7" s="2002"/>
      <c r="L7" s="2002"/>
      <c r="M7" s="2002"/>
    </row>
    <row r="8" spans="1:13">
      <c r="A8" s="1998" t="s">
        <v>1280</v>
      </c>
      <c r="B8" s="1973"/>
      <c r="C8" s="1973"/>
      <c r="D8" s="1991"/>
      <c r="E8" s="1982"/>
      <c r="F8" s="1982"/>
      <c r="G8" s="1982"/>
      <c r="H8" s="1991"/>
      <c r="I8" s="1965"/>
      <c r="J8" s="1965"/>
      <c r="K8" s="1965"/>
      <c r="L8" s="1965"/>
      <c r="M8" s="1965"/>
    </row>
    <row r="9" spans="1:13">
      <c r="A9" s="1998" t="s">
        <v>2222</v>
      </c>
      <c r="B9" s="1973"/>
      <c r="C9" s="1973"/>
      <c r="D9" s="1991"/>
      <c r="E9" s="1991"/>
      <c r="F9" s="1991"/>
      <c r="G9" s="1991"/>
      <c r="H9" s="1991"/>
      <c r="I9" s="1995"/>
      <c r="J9" s="1995"/>
      <c r="K9" s="1965"/>
      <c r="L9" s="1995"/>
      <c r="M9" s="1965"/>
    </row>
    <row r="10" spans="1:13" ht="15.75">
      <c r="A10" s="2002"/>
      <c r="B10" s="2001"/>
      <c r="C10" s="2001"/>
      <c r="D10" s="2002"/>
      <c r="E10" s="2071"/>
      <c r="F10" s="1991"/>
      <c r="G10" s="1991"/>
      <c r="H10" s="2071"/>
      <c r="I10" s="1991"/>
      <c r="J10" s="2002"/>
      <c r="K10" s="1999"/>
      <c r="L10" s="2002"/>
      <c r="M10" s="2002"/>
    </row>
    <row r="11" spans="1:13">
      <c r="A11" s="1998" t="s">
        <v>2148</v>
      </c>
      <c r="B11" s="1973"/>
      <c r="C11" s="1973" t="s">
        <v>2147</v>
      </c>
      <c r="D11" s="2023"/>
      <c r="E11" s="2587" t="s">
        <v>2146</v>
      </c>
      <c r="F11" s="2588"/>
      <c r="G11" s="2070"/>
      <c r="H11" s="2587" t="s">
        <v>2145</v>
      </c>
      <c r="I11" s="2588"/>
      <c r="J11" s="2069"/>
      <c r="K11" s="2068"/>
      <c r="L11" s="2068"/>
      <c r="M11" s="2068"/>
    </row>
    <row r="12" spans="1:13">
      <c r="A12" s="1998" t="s">
        <v>2144</v>
      </c>
      <c r="B12" s="1973" t="s">
        <v>1325</v>
      </c>
      <c r="C12" s="1973" t="s">
        <v>2143</v>
      </c>
      <c r="D12" s="2013"/>
      <c r="E12" s="2007" t="s">
        <v>2142</v>
      </c>
      <c r="F12" s="2007" t="s">
        <v>2141</v>
      </c>
      <c r="G12" s="2007"/>
      <c r="H12" s="2021">
        <v>42552</v>
      </c>
      <c r="I12" s="2021">
        <v>42917</v>
      </c>
      <c r="J12" s="2007"/>
      <c r="K12" s="1973" t="s">
        <v>1322</v>
      </c>
      <c r="L12" s="1973" t="s">
        <v>2140</v>
      </c>
      <c r="M12" s="1965"/>
    </row>
    <row r="13" spans="1:13">
      <c r="A13" s="1998" t="s">
        <v>2139</v>
      </c>
      <c r="B13" s="1973" t="s">
        <v>2138</v>
      </c>
      <c r="C13" s="1973" t="s">
        <v>2138</v>
      </c>
      <c r="D13" s="2007"/>
      <c r="E13" s="2021">
        <v>42916</v>
      </c>
      <c r="F13" s="2021">
        <v>43281</v>
      </c>
      <c r="G13" s="2007"/>
      <c r="H13" s="2007" t="s">
        <v>2137</v>
      </c>
      <c r="I13" s="2007" t="s">
        <v>2136</v>
      </c>
      <c r="J13" s="2007"/>
      <c r="K13" s="1973" t="s">
        <v>2135</v>
      </c>
      <c r="L13" s="1973" t="s">
        <v>1318</v>
      </c>
      <c r="M13" s="1973" t="s">
        <v>30</v>
      </c>
    </row>
    <row r="14" spans="1:13">
      <c r="A14" s="2002"/>
      <c r="B14" s="2001" t="s">
        <v>1316</v>
      </c>
      <c r="C14" s="2001" t="s">
        <v>1315</v>
      </c>
      <c r="D14" s="2001"/>
      <c r="E14" s="2001" t="s">
        <v>1313</v>
      </c>
      <c r="F14" s="2001" t="s">
        <v>1313</v>
      </c>
      <c r="G14" s="2001"/>
      <c r="H14" s="2001" t="s">
        <v>1312</v>
      </c>
      <c r="I14" s="2001" t="s">
        <v>1311</v>
      </c>
      <c r="J14" s="2001"/>
      <c r="K14" s="2001" t="s">
        <v>1310</v>
      </c>
      <c r="L14" s="2001" t="s">
        <v>1309</v>
      </c>
      <c r="M14" s="2001" t="s">
        <v>1308</v>
      </c>
    </row>
    <row r="15" spans="1:13">
      <c r="A15" s="1965" t="s">
        <v>2221</v>
      </c>
      <c r="B15" s="1984"/>
      <c r="C15" s="1984"/>
      <c r="D15" s="1984"/>
      <c r="E15" s="1984"/>
      <c r="F15" s="1984"/>
      <c r="G15" s="1984"/>
      <c r="H15" s="1984"/>
      <c r="I15" s="1984"/>
      <c r="J15" s="1984"/>
      <c r="K15" s="1984"/>
      <c r="L15" s="1984"/>
      <c r="M15" s="1984"/>
    </row>
    <row r="16" spans="1:13">
      <c r="A16" s="2038" t="s">
        <v>2168</v>
      </c>
      <c r="B16" s="2001"/>
      <c r="C16" s="2001"/>
      <c r="D16" s="2002"/>
      <c r="E16" s="2002"/>
      <c r="F16" s="2002"/>
      <c r="G16" s="2002"/>
      <c r="H16" s="2002"/>
      <c r="I16" s="2002"/>
      <c r="J16" s="2002"/>
      <c r="K16" s="2002"/>
      <c r="L16" s="2002"/>
      <c r="M16" s="2002"/>
    </row>
    <row r="17" spans="1:13">
      <c r="A17" s="1991"/>
      <c r="B17" s="1984"/>
      <c r="C17" s="1984"/>
      <c r="D17" s="1991"/>
      <c r="E17" s="1991"/>
      <c r="F17" s="2067"/>
      <c r="G17" s="1991"/>
      <c r="H17" s="1991"/>
      <c r="I17" s="1991"/>
      <c r="J17" s="1991"/>
      <c r="K17" s="1991"/>
      <c r="L17" s="1991"/>
      <c r="M17" s="1991"/>
    </row>
    <row r="18" spans="1:13">
      <c r="A18" s="1997" t="s">
        <v>2220</v>
      </c>
      <c r="B18" s="1984"/>
      <c r="C18" s="1983"/>
      <c r="D18" s="1982"/>
      <c r="E18" s="1982"/>
      <c r="F18" s="2067"/>
      <c r="G18" s="1982"/>
      <c r="H18" s="1982"/>
      <c r="I18" s="1982"/>
      <c r="J18" s="1982"/>
      <c r="K18" s="1982"/>
      <c r="L18" s="1982"/>
      <c r="M18" s="1982"/>
    </row>
    <row r="19" spans="1:13">
      <c r="A19" s="2057" t="s">
        <v>2219</v>
      </c>
      <c r="B19" s="1973" t="s">
        <v>2218</v>
      </c>
      <c r="C19" s="1983" t="s">
        <v>2217</v>
      </c>
      <c r="D19" s="1982"/>
      <c r="E19" s="1982"/>
      <c r="F19" s="1961">
        <v>598261</v>
      </c>
      <c r="G19" s="1982"/>
      <c r="H19" s="1982"/>
      <c r="I19" s="1961">
        <v>1024251</v>
      </c>
      <c r="J19" s="1982"/>
      <c r="K19" s="1982"/>
      <c r="L19" s="2017">
        <f>H19+I18+K19</f>
        <v>0</v>
      </c>
      <c r="M19" s="1982">
        <v>1101686</v>
      </c>
    </row>
    <row r="20" spans="1:13">
      <c r="C20" s="1983" t="s">
        <v>2216</v>
      </c>
      <c r="D20" s="1982"/>
      <c r="E20" s="2029">
        <v>712869</v>
      </c>
      <c r="F20" s="1961">
        <v>473596</v>
      </c>
      <c r="G20" s="1982"/>
      <c r="H20" s="2029">
        <v>1092487</v>
      </c>
      <c r="I20" s="1961">
        <f>72993+20985</f>
        <v>93978</v>
      </c>
      <c r="J20" s="1982"/>
      <c r="K20" s="1982"/>
      <c r="L20" s="2017">
        <f>H20+I19+K20</f>
        <v>2116738</v>
      </c>
      <c r="M20" s="1982"/>
    </row>
    <row r="21" spans="1:13" ht="15.75">
      <c r="C21" s="1983" t="s">
        <v>2215</v>
      </c>
      <c r="D21" s="2018"/>
      <c r="E21" s="2029">
        <v>661371</v>
      </c>
      <c r="F21" s="2028"/>
      <c r="G21" s="1982"/>
      <c r="H21" s="2029">
        <v>17579</v>
      </c>
      <c r="J21" s="1982"/>
      <c r="K21" s="1982"/>
      <c r="L21" s="2017">
        <f>H21+I20+K21</f>
        <v>111557</v>
      </c>
      <c r="M21" s="1982"/>
    </row>
    <row r="22" spans="1:13" ht="15.75">
      <c r="A22" s="2061"/>
      <c r="B22" s="2061"/>
      <c r="C22" s="2060"/>
      <c r="D22" s="2004"/>
      <c r="E22" s="2026"/>
      <c r="F22" s="2066"/>
      <c r="G22" s="2065"/>
      <c r="H22" s="2026"/>
      <c r="I22" s="2026"/>
      <c r="J22" s="2026"/>
      <c r="K22" s="1986"/>
      <c r="L22" s="2014"/>
      <c r="M22" s="1986"/>
    </row>
    <row r="23" spans="1:13">
      <c r="A23" s="2064"/>
      <c r="B23" s="1984"/>
      <c r="C23" s="2058"/>
      <c r="D23" s="1982"/>
      <c r="E23" s="1982"/>
      <c r="F23" s="1982"/>
      <c r="G23" s="1982"/>
      <c r="H23" s="1982"/>
      <c r="I23" s="1982"/>
      <c r="J23" s="1982"/>
      <c r="K23" s="1982"/>
      <c r="L23" s="1982"/>
      <c r="M23" s="1982"/>
    </row>
    <row r="24" spans="1:13">
      <c r="A24" s="2054" t="s">
        <v>2214</v>
      </c>
      <c r="D24" s="1961"/>
      <c r="E24" s="1961">
        <f>SUM(E20:E22)</f>
        <v>1374240</v>
      </c>
      <c r="F24" s="1961">
        <f>SUM(F19:F22)</f>
        <v>1071857</v>
      </c>
      <c r="G24" s="1961"/>
      <c r="H24" s="1961">
        <f>SUM(H20:H22)</f>
        <v>1110066</v>
      </c>
      <c r="I24" s="1961">
        <f>SUM(I19:I22)</f>
        <v>1118229</v>
      </c>
      <c r="J24" s="1961"/>
      <c r="K24" s="1961">
        <f>SUM(K19:K22)</f>
        <v>0</v>
      </c>
      <c r="L24" s="1961">
        <f>SUM(L19:L22)</f>
        <v>2228295</v>
      </c>
      <c r="M24" s="1961">
        <f>SUM(M19:M22)</f>
        <v>1101686</v>
      </c>
    </row>
    <row r="25" spans="1:13">
      <c r="A25" s="2047"/>
      <c r="B25" s="2041"/>
      <c r="C25" s="2041"/>
      <c r="D25" s="2014"/>
      <c r="E25" s="2014"/>
      <c r="F25" s="2014"/>
      <c r="G25" s="2014"/>
      <c r="H25" s="2014"/>
      <c r="I25" s="2014"/>
      <c r="J25" s="2014"/>
      <c r="K25" s="2014"/>
      <c r="L25" s="2014"/>
      <c r="M25" s="2014"/>
    </row>
    <row r="26" spans="1:13">
      <c r="A26" s="1958"/>
      <c r="B26" s="1958"/>
      <c r="C26" s="1958"/>
      <c r="D26" s="2017"/>
      <c r="E26" s="1961"/>
      <c r="F26" s="1961"/>
      <c r="G26" s="1961"/>
      <c r="H26" s="2017"/>
      <c r="I26" s="1961"/>
      <c r="J26" s="1961"/>
      <c r="K26" s="2017"/>
      <c r="L26" s="2017"/>
      <c r="M26" s="2017"/>
    </row>
    <row r="27" spans="1:13">
      <c r="A27" s="2009" t="s">
        <v>2213</v>
      </c>
      <c r="B27" s="1958"/>
      <c r="C27" s="1958"/>
      <c r="D27" s="2017"/>
      <c r="E27" s="1961"/>
      <c r="F27" s="1961"/>
      <c r="G27" s="1961"/>
      <c r="H27" s="2017"/>
      <c r="I27" s="1961"/>
      <c r="J27" s="1961"/>
      <c r="K27" s="2017"/>
      <c r="L27" s="2017"/>
      <c r="M27" s="2017"/>
    </row>
    <row r="28" spans="1:13" ht="15.75">
      <c r="A28" s="2057" t="s">
        <v>2212</v>
      </c>
      <c r="B28" s="1973" t="s">
        <v>2211</v>
      </c>
      <c r="C28" s="2062" t="s">
        <v>2210</v>
      </c>
      <c r="D28" s="2019"/>
      <c r="E28" s="1961">
        <v>0</v>
      </c>
      <c r="F28" s="1961"/>
      <c r="G28" s="2043"/>
      <c r="H28" s="1961">
        <v>0</v>
      </c>
      <c r="I28" s="2063">
        <v>0</v>
      </c>
      <c r="J28" s="1961"/>
      <c r="K28" s="2017">
        <v>0</v>
      </c>
      <c r="L28" s="2017">
        <f>H28+I28+K28</f>
        <v>0</v>
      </c>
      <c r="M28" s="2017">
        <v>0</v>
      </c>
    </row>
    <row r="29" spans="1:13" ht="15.75">
      <c r="C29" s="2062"/>
      <c r="D29" s="2019"/>
      <c r="E29" s="1961"/>
      <c r="F29" s="1961"/>
      <c r="G29" s="2043"/>
      <c r="H29" s="1961"/>
      <c r="I29" s="1961"/>
      <c r="J29" s="1961"/>
      <c r="K29" s="2017"/>
      <c r="L29" s="2017"/>
      <c r="M29" s="2017"/>
    </row>
    <row r="30" spans="1:13" ht="15.75">
      <c r="A30" s="1993"/>
      <c r="B30" s="2061"/>
      <c r="C30" s="2060"/>
      <c r="D30" s="2004"/>
      <c r="E30" s="2014"/>
      <c r="F30" s="2014"/>
      <c r="G30" s="2040"/>
      <c r="H30" s="2014"/>
      <c r="I30" s="2014"/>
      <c r="J30" s="2014"/>
      <c r="K30" s="2014"/>
      <c r="L30" s="2014"/>
      <c r="M30" s="2014"/>
    </row>
    <row r="31" spans="1:13">
      <c r="A31" s="2059"/>
      <c r="B31" s="2039"/>
      <c r="C31" s="2058"/>
      <c r="D31" s="1982"/>
      <c r="E31" s="1982"/>
      <c r="F31" s="1982"/>
      <c r="G31" s="1982"/>
      <c r="H31" s="1982"/>
      <c r="I31" s="1982"/>
      <c r="J31" s="1982"/>
      <c r="K31" s="1982"/>
      <c r="L31" s="1982"/>
      <c r="M31" s="1982"/>
    </row>
    <row r="32" spans="1:13">
      <c r="A32" s="2024" t="s">
        <v>2209</v>
      </c>
      <c r="D32" s="2017"/>
      <c r="E32" s="2017">
        <v>0</v>
      </c>
      <c r="F32" s="2017">
        <f>SUM(F28:F30)</f>
        <v>0</v>
      </c>
      <c r="G32" s="2017"/>
      <c r="H32" s="2017">
        <v>0</v>
      </c>
      <c r="I32" s="2017">
        <f>SUM(I28:I30)</f>
        <v>0</v>
      </c>
      <c r="J32" s="2017"/>
      <c r="K32" s="2017">
        <f>SUM(K28:K30)</f>
        <v>0</v>
      </c>
      <c r="L32" s="2017">
        <f>SUM(L28:L30)</f>
        <v>0</v>
      </c>
      <c r="M32" s="2017">
        <f>SUM(M28:M30)</f>
        <v>0</v>
      </c>
    </row>
    <row r="33" spans="1:13">
      <c r="A33" s="2047"/>
      <c r="B33" s="2041"/>
      <c r="C33" s="2041"/>
      <c r="D33" s="2014"/>
      <c r="E33" s="2014"/>
      <c r="F33" s="2014"/>
      <c r="G33" s="2014"/>
      <c r="H33" s="2014"/>
      <c r="I33" s="2014"/>
      <c r="J33" s="2014"/>
      <c r="K33" s="2014"/>
      <c r="L33" s="2014"/>
      <c r="M33" s="2014"/>
    </row>
    <row r="34" spans="1:13">
      <c r="C34" s="1958"/>
      <c r="D34" s="2017"/>
      <c r="E34" s="1961"/>
      <c r="F34" s="1961"/>
      <c r="G34" s="1961"/>
      <c r="H34" s="2017"/>
      <c r="I34" s="1961"/>
      <c r="J34" s="1961"/>
      <c r="K34" s="2017"/>
      <c r="L34" s="2017"/>
      <c r="M34" s="2017"/>
    </row>
    <row r="35" spans="1:13">
      <c r="A35" s="2009" t="s">
        <v>2208</v>
      </c>
      <c r="C35" s="1958"/>
      <c r="D35" s="2017"/>
      <c r="E35" s="1961"/>
      <c r="F35" s="1961"/>
      <c r="G35" s="1961"/>
      <c r="H35" s="2017"/>
      <c r="I35" s="1961"/>
      <c r="J35" s="1961"/>
      <c r="K35" s="2017"/>
      <c r="L35" s="2017"/>
      <c r="M35" s="2017"/>
    </row>
    <row r="36" spans="1:13">
      <c r="A36" s="2057" t="s">
        <v>2207</v>
      </c>
      <c r="C36" s="1958"/>
      <c r="D36" s="2017"/>
      <c r="E36" s="1961"/>
      <c r="F36" s="1961"/>
      <c r="G36" s="1961"/>
      <c r="H36" s="2017"/>
      <c r="I36" s="1961"/>
      <c r="J36" s="1961"/>
      <c r="K36" s="2017"/>
      <c r="L36" s="2017"/>
      <c r="M36" s="2017"/>
    </row>
    <row r="37" spans="1:13">
      <c r="A37" s="2054" t="s">
        <v>2206</v>
      </c>
      <c r="B37" s="1984" t="s">
        <v>2205</v>
      </c>
      <c r="C37" s="2056" t="s">
        <v>2204</v>
      </c>
      <c r="D37" s="2017"/>
      <c r="E37" s="1961"/>
      <c r="F37" s="1961">
        <v>26018</v>
      </c>
      <c r="G37" s="1961"/>
      <c r="H37" s="2017"/>
      <c r="I37" s="1961">
        <v>61274</v>
      </c>
      <c r="J37" s="1961"/>
      <c r="K37" s="2017">
        <v>0</v>
      </c>
      <c r="L37" s="2017">
        <f>H37+I37+K37</f>
        <v>61274</v>
      </c>
      <c r="M37" s="2017">
        <v>62651</v>
      </c>
    </row>
    <row r="38" spans="1:13">
      <c r="C38" s="2056" t="s">
        <v>2203</v>
      </c>
      <c r="D38" s="2017"/>
      <c r="E38" s="1961">
        <v>40765</v>
      </c>
      <c r="F38" s="1961">
        <v>27075</v>
      </c>
      <c r="G38" s="1961"/>
      <c r="H38" s="1961">
        <v>67840</v>
      </c>
      <c r="I38" s="1961">
        <v>0</v>
      </c>
      <c r="J38" s="1961"/>
      <c r="K38" s="2017">
        <v>0</v>
      </c>
      <c r="L38" s="2017">
        <f>H38+I38+K38</f>
        <v>67840</v>
      </c>
      <c r="M38" s="2017"/>
    </row>
    <row r="39" spans="1:13">
      <c r="C39" s="2056" t="s">
        <v>2202</v>
      </c>
      <c r="D39" s="2017"/>
      <c r="E39" s="1961">
        <v>24298</v>
      </c>
      <c r="F39" s="1961"/>
      <c r="G39" s="1961"/>
      <c r="H39" s="1961">
        <v>0</v>
      </c>
      <c r="I39" s="1961"/>
      <c r="J39" s="1961"/>
      <c r="K39" s="2017">
        <v>0</v>
      </c>
      <c r="L39" s="2017">
        <f>H39+I39+K39</f>
        <v>0</v>
      </c>
      <c r="M39" s="2017"/>
    </row>
    <row r="40" spans="1:13" ht="15.75">
      <c r="C40" s="1983"/>
      <c r="D40" s="2019"/>
      <c r="E40" s="2017"/>
      <c r="F40" s="2017"/>
      <c r="G40" s="2055"/>
      <c r="H40" s="2017"/>
      <c r="I40" s="2017"/>
      <c r="J40" s="2017"/>
      <c r="K40" s="2017"/>
      <c r="L40" s="2017"/>
      <c r="M40" s="2017"/>
    </row>
    <row r="41" spans="1:13">
      <c r="A41" s="1991"/>
      <c r="B41" s="1984"/>
      <c r="C41" s="1983"/>
      <c r="D41" s="1982"/>
      <c r="E41" s="1982"/>
      <c r="F41" s="1982"/>
      <c r="G41" s="1982"/>
      <c r="H41" s="1982"/>
      <c r="I41" s="1982"/>
      <c r="J41" s="1982"/>
      <c r="K41" s="1982"/>
      <c r="L41" s="2017"/>
      <c r="M41" s="1982"/>
    </row>
    <row r="42" spans="1:13">
      <c r="A42" s="2008" t="s">
        <v>2201</v>
      </c>
      <c r="B42" s="1984"/>
      <c r="C42" s="1983"/>
      <c r="D42" s="1982"/>
      <c r="E42" s="1982"/>
      <c r="F42" s="1982"/>
      <c r="G42" s="1982"/>
      <c r="H42" s="1982"/>
      <c r="I42" s="1982"/>
      <c r="J42" s="1982"/>
      <c r="K42" s="1982"/>
      <c r="L42" s="2017"/>
      <c r="M42" s="1982"/>
    </row>
    <row r="43" spans="1:13">
      <c r="A43" s="2054" t="s">
        <v>2200</v>
      </c>
      <c r="B43" s="1984" t="s">
        <v>2195</v>
      </c>
      <c r="C43" s="1983" t="s">
        <v>2199</v>
      </c>
      <c r="D43" s="1982"/>
      <c r="E43" s="1982"/>
      <c r="F43" s="1961">
        <v>1553999</v>
      </c>
      <c r="G43" s="1982"/>
      <c r="H43" s="1982"/>
      <c r="I43" s="1961">
        <v>1866128</v>
      </c>
      <c r="J43" s="1982"/>
      <c r="K43" s="1982"/>
      <c r="L43" s="2017">
        <f>H43+I43+K43</f>
        <v>1866128</v>
      </c>
      <c r="M43" s="1982">
        <v>1804439</v>
      </c>
    </row>
    <row r="44" spans="1:13">
      <c r="C44" s="1983" t="s">
        <v>2198</v>
      </c>
      <c r="D44" s="1982"/>
      <c r="E44" s="1961">
        <v>1645568</v>
      </c>
      <c r="F44" s="1961">
        <v>65770</v>
      </c>
      <c r="G44" s="1982"/>
      <c r="H44" s="1961">
        <v>1697493</v>
      </c>
      <c r="I44" s="1961">
        <v>13845</v>
      </c>
      <c r="J44" s="1982"/>
      <c r="K44" s="1982"/>
      <c r="L44" s="2017">
        <f>H44+I44+K44</f>
        <v>1711338</v>
      </c>
      <c r="M44" s="1982"/>
    </row>
    <row r="45" spans="1:13">
      <c r="C45" s="1983" t="s">
        <v>2197</v>
      </c>
      <c r="D45" s="1982"/>
      <c r="E45" s="1961">
        <v>72222</v>
      </c>
      <c r="F45" s="1961"/>
      <c r="G45" s="1982"/>
      <c r="H45" s="1961">
        <v>32206</v>
      </c>
      <c r="I45" s="1961"/>
      <c r="J45" s="1982"/>
      <c r="K45" s="1982"/>
      <c r="L45" s="2017">
        <f>H45+I45+K45</f>
        <v>32206</v>
      </c>
      <c r="M45" s="1982"/>
    </row>
    <row r="46" spans="1:13" ht="15.75">
      <c r="B46" s="1958"/>
      <c r="C46" s="1983"/>
      <c r="D46" s="2019"/>
      <c r="E46" s="1961"/>
      <c r="F46" s="1961"/>
      <c r="G46" s="2055"/>
      <c r="H46" s="1961"/>
      <c r="I46" s="1961"/>
      <c r="J46" s="1961"/>
      <c r="K46" s="1961"/>
      <c r="L46" s="2017"/>
      <c r="M46" s="1961"/>
    </row>
    <row r="47" spans="1:13">
      <c r="A47" s="2020"/>
      <c r="B47" s="2039"/>
      <c r="C47" s="1983"/>
      <c r="D47" s="1982"/>
      <c r="E47" s="1961"/>
      <c r="F47" s="1961"/>
      <c r="G47" s="1982"/>
      <c r="H47" s="1982"/>
      <c r="I47" s="1982"/>
      <c r="J47" s="1982"/>
      <c r="K47" s="1982"/>
      <c r="L47" s="2017"/>
      <c r="M47" s="1982"/>
    </row>
    <row r="48" spans="1:13">
      <c r="A48" s="2054" t="s">
        <v>2196</v>
      </c>
      <c r="B48" s="1984" t="s">
        <v>2195</v>
      </c>
      <c r="C48" s="1983" t="s">
        <v>2194</v>
      </c>
      <c r="D48" s="1982"/>
      <c r="E48" s="1961"/>
      <c r="F48" s="1961">
        <v>177395</v>
      </c>
      <c r="G48" s="1982"/>
      <c r="H48" s="1982"/>
      <c r="I48" s="1961">
        <v>244127</v>
      </c>
      <c r="J48" s="1982"/>
      <c r="K48" s="1982">
        <v>0</v>
      </c>
      <c r="L48" s="2017">
        <f>H48+I48+K48</f>
        <v>244127</v>
      </c>
      <c r="M48" s="1981"/>
    </row>
    <row r="49" spans="1:13">
      <c r="C49" s="1983" t="s">
        <v>2193</v>
      </c>
      <c r="D49" s="1982"/>
      <c r="E49" s="1961">
        <v>285177</v>
      </c>
      <c r="F49" s="1961">
        <v>134507</v>
      </c>
      <c r="G49" s="1982"/>
      <c r="H49" s="1961">
        <v>309387</v>
      </c>
      <c r="I49" s="1961">
        <f>39655+14978+32530</f>
        <v>87163</v>
      </c>
      <c r="J49" s="1982"/>
      <c r="K49" s="1982">
        <v>0</v>
      </c>
      <c r="L49" s="2017">
        <f>H49+I49+K49</f>
        <v>396550</v>
      </c>
      <c r="M49" s="1981"/>
    </row>
    <row r="50" spans="1:13">
      <c r="C50" s="1983" t="s">
        <v>2192</v>
      </c>
      <c r="D50" s="1982"/>
      <c r="E50" s="1961">
        <v>247201</v>
      </c>
      <c r="F50" s="2053"/>
      <c r="G50" s="1982"/>
      <c r="H50" s="1982">
        <v>106173</v>
      </c>
      <c r="I50" s="1982"/>
      <c r="J50" s="1982"/>
      <c r="K50" s="1982"/>
      <c r="L50" s="2017">
        <f>H50+I50+K50</f>
        <v>106173</v>
      </c>
      <c r="M50" s="1981"/>
    </row>
    <row r="51" spans="1:13" ht="15.75">
      <c r="A51" s="2027"/>
      <c r="B51" s="2027"/>
      <c r="C51" s="1987"/>
      <c r="D51" s="2004"/>
      <c r="E51" s="1986"/>
      <c r="F51" s="1986"/>
      <c r="G51" s="2049"/>
      <c r="H51" s="1986"/>
      <c r="I51" s="1986"/>
      <c r="J51" s="1986"/>
      <c r="K51" s="2014"/>
      <c r="L51" s="2014"/>
      <c r="M51" s="1985"/>
    </row>
    <row r="52" spans="1:13">
      <c r="A52" s="2020"/>
      <c r="B52" s="2039"/>
      <c r="C52" s="1983"/>
      <c r="D52" s="1982"/>
      <c r="E52" s="1982"/>
      <c r="F52" s="1982"/>
      <c r="G52" s="1982"/>
      <c r="H52" s="1982"/>
      <c r="I52" s="1982"/>
      <c r="J52" s="1982"/>
      <c r="K52" s="1982"/>
      <c r="L52" s="1982"/>
      <c r="M52" s="1982"/>
    </row>
    <row r="53" spans="1:13">
      <c r="A53" s="2024" t="s">
        <v>2191</v>
      </c>
      <c r="B53" s="2039"/>
      <c r="C53" s="1983"/>
      <c r="D53" s="1982"/>
      <c r="E53" s="1982">
        <f>SUM(E38:E52)</f>
        <v>2315231</v>
      </c>
      <c r="F53" s="1982">
        <f>SUM(F37:F52)</f>
        <v>1984764</v>
      </c>
      <c r="G53" s="1982"/>
      <c r="H53" s="1982">
        <f>SUM(H38:H52)</f>
        <v>2213099</v>
      </c>
      <c r="I53" s="1982">
        <f>SUM(I37:I52)</f>
        <v>2272537</v>
      </c>
      <c r="J53" s="1982"/>
      <c r="K53" s="1982">
        <f>SUM(K37:K52)</f>
        <v>0</v>
      </c>
      <c r="L53" s="1982">
        <f>SUM(L37:L52)</f>
        <v>4485636</v>
      </c>
      <c r="M53" s="1982">
        <f>SUM(M37:M52)</f>
        <v>1867090</v>
      </c>
    </row>
    <row r="54" spans="1:13" s="1958" customFormat="1" ht="15.75">
      <c r="A54" s="1993"/>
      <c r="B54" s="2052"/>
      <c r="C54" s="2051"/>
      <c r="D54" s="2049"/>
      <c r="E54" s="1986"/>
      <c r="F54" s="1986"/>
      <c r="G54" s="2049"/>
      <c r="H54" s="1986"/>
      <c r="I54" s="1986"/>
      <c r="J54" s="1986"/>
      <c r="K54" s="1986"/>
      <c r="L54" s="2014"/>
      <c r="M54" s="1985"/>
    </row>
    <row r="55" spans="1:13">
      <c r="A55" s="2586" t="s">
        <v>2149</v>
      </c>
      <c r="B55" s="2586"/>
      <c r="C55" s="2586"/>
      <c r="D55" s="2586"/>
      <c r="E55" s="2586"/>
      <c r="F55" s="2586"/>
      <c r="G55" s="2586"/>
      <c r="H55" s="2586"/>
      <c r="I55" s="2586"/>
      <c r="J55" s="2586"/>
      <c r="K55" s="2586"/>
      <c r="L55" s="2586"/>
      <c r="M55" s="2586"/>
    </row>
    <row r="56" spans="1:13">
      <c r="A56" s="1988"/>
      <c r="B56" s="1988"/>
      <c r="C56" s="1988"/>
      <c r="D56" s="1988"/>
      <c r="E56" s="1988"/>
      <c r="F56" s="1988"/>
      <c r="G56" s="1988"/>
      <c r="H56" s="1988"/>
      <c r="I56" s="1988"/>
      <c r="J56" s="1988"/>
      <c r="K56" s="1988"/>
      <c r="L56" s="1988"/>
      <c r="M56" s="1988"/>
    </row>
    <row r="57" spans="1:13">
      <c r="A57" s="1998" t="s">
        <v>2148</v>
      </c>
      <c r="B57" s="1973"/>
      <c r="C57" s="1973" t="s">
        <v>2147</v>
      </c>
      <c r="D57" s="2023"/>
      <c r="E57" s="2584" t="s">
        <v>2146</v>
      </c>
      <c r="F57" s="2585"/>
      <c r="G57" s="2022"/>
      <c r="H57" s="2584" t="s">
        <v>2145</v>
      </c>
      <c r="I57" s="2585"/>
      <c r="J57" s="1988"/>
      <c r="K57" s="2016"/>
      <c r="L57" s="2016"/>
      <c r="M57" s="2016"/>
    </row>
    <row r="58" spans="1:13">
      <c r="A58" s="1998" t="s">
        <v>2144</v>
      </c>
      <c r="B58" s="1973" t="s">
        <v>1325</v>
      </c>
      <c r="C58" s="1973" t="s">
        <v>2143</v>
      </c>
      <c r="D58" s="2013"/>
      <c r="E58" s="2007" t="s">
        <v>2142</v>
      </c>
      <c r="F58" s="2007" t="s">
        <v>2141</v>
      </c>
      <c r="G58" s="2007"/>
      <c r="H58" s="2021">
        <v>42552</v>
      </c>
      <c r="I58" s="2021">
        <v>42917</v>
      </c>
      <c r="J58" s="2007"/>
      <c r="K58" s="1973" t="s">
        <v>1322</v>
      </c>
      <c r="L58" s="1973" t="s">
        <v>2140</v>
      </c>
      <c r="M58" s="1965"/>
    </row>
    <row r="59" spans="1:13">
      <c r="A59" s="1998" t="s">
        <v>2139</v>
      </c>
      <c r="B59" s="1973" t="s">
        <v>2138</v>
      </c>
      <c r="C59" s="1973" t="s">
        <v>2138</v>
      </c>
      <c r="D59" s="2007"/>
      <c r="E59" s="2021">
        <v>42916</v>
      </c>
      <c r="F59" s="2021">
        <v>43281</v>
      </c>
      <c r="G59" s="2007"/>
      <c r="H59" s="2007" t="s">
        <v>2137</v>
      </c>
      <c r="I59" s="2007" t="s">
        <v>2136</v>
      </c>
      <c r="J59" s="2007"/>
      <c r="K59" s="1973" t="s">
        <v>2135</v>
      </c>
      <c r="L59" s="1973" t="s">
        <v>1318</v>
      </c>
      <c r="M59" s="1973" t="s">
        <v>30</v>
      </c>
    </row>
    <row r="60" spans="1:13">
      <c r="A60" s="2002"/>
      <c r="B60" s="2001" t="s">
        <v>1316</v>
      </c>
      <c r="C60" s="2001" t="s">
        <v>1315</v>
      </c>
      <c r="D60" s="2001"/>
      <c r="E60" s="2001" t="s">
        <v>1313</v>
      </c>
      <c r="F60" s="2001" t="s">
        <v>1313</v>
      </c>
      <c r="G60" s="2001"/>
      <c r="H60" s="2001" t="s">
        <v>1312</v>
      </c>
      <c r="I60" s="2001" t="s">
        <v>1311</v>
      </c>
      <c r="J60" s="2001"/>
      <c r="K60" s="2001" t="s">
        <v>1310</v>
      </c>
      <c r="L60" s="2001" t="s">
        <v>1309</v>
      </c>
      <c r="M60" s="2001" t="s">
        <v>1308</v>
      </c>
    </row>
    <row r="61" spans="1:13">
      <c r="A61" s="1984"/>
      <c r="B61" s="1984"/>
      <c r="C61" s="1984"/>
      <c r="D61" s="1984"/>
      <c r="E61" s="1984"/>
      <c r="F61" s="1984"/>
      <c r="G61" s="1984"/>
      <c r="H61" s="1984"/>
      <c r="I61" s="1984"/>
      <c r="J61" s="1984"/>
      <c r="K61" s="1984"/>
      <c r="L61" s="1984"/>
      <c r="M61" s="1984"/>
    </row>
    <row r="62" spans="1:13">
      <c r="A62" s="2044" t="s">
        <v>2190</v>
      </c>
      <c r="B62" s="2039"/>
      <c r="C62" s="1983"/>
      <c r="D62" s="1982"/>
      <c r="E62" s="1982"/>
      <c r="F62" s="1982"/>
      <c r="G62" s="1982"/>
      <c r="H62" s="1982"/>
      <c r="I62" s="1982"/>
      <c r="J62" s="1982"/>
      <c r="K62" s="2011"/>
      <c r="L62" s="2050"/>
      <c r="M62" s="2011"/>
    </row>
    <row r="63" spans="1:13">
      <c r="A63" s="2008" t="s">
        <v>2189</v>
      </c>
      <c r="B63" s="1984" t="s">
        <v>2188</v>
      </c>
      <c r="C63" s="1983" t="s">
        <v>2187</v>
      </c>
      <c r="D63" s="1982"/>
      <c r="E63" s="1982"/>
      <c r="F63" s="1961">
        <v>4952</v>
      </c>
      <c r="G63" s="1982"/>
      <c r="H63" s="1982"/>
      <c r="I63" s="1961">
        <v>28553</v>
      </c>
      <c r="J63" s="1982"/>
      <c r="K63" s="2011"/>
      <c r="L63" s="2050">
        <f t="shared" ref="L63:L68" si="0">H63+I63+K63</f>
        <v>28553</v>
      </c>
      <c r="M63" s="2011">
        <v>112042</v>
      </c>
    </row>
    <row r="64" spans="1:13">
      <c r="A64" s="2044"/>
      <c r="B64" s="2039"/>
      <c r="C64" s="1983" t="s">
        <v>2186</v>
      </c>
      <c r="D64" s="1982"/>
      <c r="E64" s="1982"/>
      <c r="F64" s="1961">
        <v>0</v>
      </c>
      <c r="G64" s="1982"/>
      <c r="H64" s="1982"/>
      <c r="I64" s="1961">
        <v>0</v>
      </c>
      <c r="J64" s="1982"/>
      <c r="K64" s="2011"/>
      <c r="L64" s="2050">
        <f t="shared" si="0"/>
        <v>0</v>
      </c>
      <c r="M64" s="2011"/>
    </row>
    <row r="65" spans="1:13">
      <c r="C65" s="1983" t="s">
        <v>2185</v>
      </c>
      <c r="D65" s="1982"/>
      <c r="E65" s="2029">
        <v>57527</v>
      </c>
      <c r="F65" s="1961">
        <v>39644</v>
      </c>
      <c r="G65" s="1982"/>
      <c r="H65" s="2029">
        <v>94752</v>
      </c>
      <c r="I65" s="1961">
        <f>2125+294</f>
        <v>2419</v>
      </c>
      <c r="J65" s="1982"/>
      <c r="K65" s="2011"/>
      <c r="L65" s="2050">
        <f t="shared" si="0"/>
        <v>97171</v>
      </c>
      <c r="M65" s="2011"/>
    </row>
    <row r="66" spans="1:13">
      <c r="A66" s="2008"/>
      <c r="B66" s="1984"/>
      <c r="C66" s="1983" t="s">
        <v>2184</v>
      </c>
      <c r="D66" s="1982"/>
      <c r="E66" s="2031"/>
      <c r="F66" s="1961">
        <v>0</v>
      </c>
      <c r="G66" s="1982"/>
      <c r="H66" s="1982">
        <v>0</v>
      </c>
      <c r="I66" s="1961">
        <v>0</v>
      </c>
      <c r="J66" s="1982"/>
      <c r="K66" s="2011"/>
      <c r="L66" s="2050">
        <f t="shared" si="0"/>
        <v>0</v>
      </c>
      <c r="M66" s="2011"/>
    </row>
    <row r="67" spans="1:13">
      <c r="C67" s="1983" t="s">
        <v>2183</v>
      </c>
      <c r="D67" s="1982"/>
      <c r="E67" s="2029">
        <v>83807</v>
      </c>
      <c r="F67" s="2028"/>
      <c r="G67" s="1982"/>
      <c r="H67" s="2029">
        <v>24690</v>
      </c>
      <c r="I67" s="2028"/>
      <c r="J67" s="1982"/>
      <c r="K67" s="2011"/>
      <c r="L67" s="2050">
        <f t="shared" si="0"/>
        <v>24690</v>
      </c>
      <c r="M67" s="2011"/>
    </row>
    <row r="68" spans="1:13">
      <c r="A68" s="2008"/>
      <c r="B68" s="1984"/>
      <c r="C68" s="1983" t="s">
        <v>2182</v>
      </c>
      <c r="D68" s="1982"/>
      <c r="E68" s="2029">
        <v>6513</v>
      </c>
      <c r="F68" s="2028"/>
      <c r="G68" s="1982"/>
      <c r="H68" s="2029">
        <v>6513</v>
      </c>
      <c r="I68" s="2028"/>
      <c r="J68" s="1982"/>
      <c r="K68" s="2011"/>
      <c r="L68" s="2050">
        <f t="shared" si="0"/>
        <v>6513</v>
      </c>
      <c r="M68" s="2011"/>
    </row>
    <row r="69" spans="1:13" ht="15.75">
      <c r="A69" s="2027"/>
      <c r="B69" s="2027"/>
      <c r="C69" s="1987"/>
      <c r="D69" s="2004"/>
      <c r="E69" s="1986"/>
      <c r="F69" s="1986"/>
      <c r="G69" s="2049"/>
      <c r="H69" s="1986"/>
      <c r="I69" s="1986"/>
      <c r="J69" s="1986"/>
      <c r="K69" s="1986"/>
      <c r="L69" s="2014"/>
      <c r="M69" s="1986"/>
    </row>
    <row r="70" spans="1:13" ht="15.75">
      <c r="A70" s="2048"/>
      <c r="B70" s="2039"/>
      <c r="C70" s="1983"/>
      <c r="D70" s="1982"/>
      <c r="E70" s="1982"/>
      <c r="F70" s="1982"/>
      <c r="G70" s="1982"/>
      <c r="H70" s="1982"/>
      <c r="I70" s="1982"/>
      <c r="J70" s="1982"/>
      <c r="K70" s="1982"/>
      <c r="L70" s="1982"/>
      <c r="M70" s="1982"/>
    </row>
    <row r="71" spans="1:13">
      <c r="A71" s="2024" t="s">
        <v>2181</v>
      </c>
      <c r="B71" s="2039"/>
      <c r="C71" s="1983"/>
      <c r="D71" s="1982"/>
      <c r="E71" s="1982">
        <f>SUM(E65:E69)</f>
        <v>147847</v>
      </c>
      <c r="F71" s="1982">
        <f>SUM(F63:F69)</f>
        <v>44596</v>
      </c>
      <c r="G71" s="1982"/>
      <c r="H71" s="1982">
        <f>SUM(H65:H69)</f>
        <v>125955</v>
      </c>
      <c r="I71" s="1982">
        <f>SUM(I63:I69)</f>
        <v>30972</v>
      </c>
      <c r="J71" s="1982"/>
      <c r="K71" s="1982">
        <f>SUM(K65:K69)</f>
        <v>0</v>
      </c>
      <c r="L71" s="1982">
        <f>SUM(L65:L69)</f>
        <v>128374</v>
      </c>
      <c r="M71" s="1982">
        <f>SUM(M63:M69)</f>
        <v>112042</v>
      </c>
    </row>
    <row r="72" spans="1:13">
      <c r="A72" s="2047"/>
      <c r="B72" s="2041"/>
      <c r="C72" s="2041"/>
      <c r="D72" s="2014"/>
      <c r="E72" s="2014"/>
      <c r="F72" s="2014"/>
      <c r="G72" s="2014"/>
      <c r="H72" s="2014"/>
      <c r="I72" s="2014"/>
      <c r="J72" s="2014"/>
      <c r="K72" s="2014"/>
      <c r="L72" s="2014"/>
      <c r="M72" s="2014"/>
    </row>
    <row r="73" spans="1:13" ht="15.75">
      <c r="A73" s="2048"/>
      <c r="B73" s="2039"/>
      <c r="C73" s="1983"/>
      <c r="D73" s="1982"/>
      <c r="E73" s="1982"/>
      <c r="F73" s="1982"/>
      <c r="G73" s="1982"/>
      <c r="H73" s="1982"/>
      <c r="I73" s="1982"/>
      <c r="J73" s="1982"/>
      <c r="K73" s="1982"/>
      <c r="L73" s="1982"/>
      <c r="M73" s="1982"/>
    </row>
    <row r="74" spans="1:13">
      <c r="A74" s="2044" t="s">
        <v>2180</v>
      </c>
      <c r="B74" s="2039"/>
      <c r="C74" s="1983"/>
      <c r="D74" s="1982"/>
      <c r="E74" s="1982"/>
      <c r="F74" s="1982"/>
      <c r="G74" s="1982"/>
      <c r="H74" s="1982"/>
      <c r="I74" s="1982"/>
      <c r="J74" s="1982"/>
      <c r="K74" s="1982"/>
      <c r="L74" s="1982"/>
      <c r="M74" s="1982"/>
    </row>
    <row r="75" spans="1:13">
      <c r="A75" s="2008" t="s">
        <v>2179</v>
      </c>
      <c r="B75" s="1984" t="s">
        <v>2178</v>
      </c>
      <c r="C75" s="1983" t="s">
        <v>2177</v>
      </c>
      <c r="D75" s="1982"/>
      <c r="E75" s="1982"/>
      <c r="F75" s="1961">
        <v>50603</v>
      </c>
      <c r="G75" s="1982"/>
      <c r="H75" s="1982"/>
      <c r="I75" s="1961">
        <v>99173</v>
      </c>
      <c r="J75" s="1982"/>
      <c r="K75" s="1982">
        <v>0</v>
      </c>
      <c r="L75" s="2017">
        <f>H75+I75+K75</f>
        <v>99173</v>
      </c>
      <c r="M75" s="1982">
        <v>237045</v>
      </c>
    </row>
    <row r="76" spans="1:13">
      <c r="C76" s="1983" t="s">
        <v>2176</v>
      </c>
      <c r="D76" s="1982"/>
      <c r="E76" s="1982">
        <v>99617</v>
      </c>
      <c r="F76" s="1961">
        <v>90945</v>
      </c>
      <c r="G76" s="1982"/>
      <c r="H76" s="1982">
        <v>172367</v>
      </c>
      <c r="I76" s="1961">
        <v>18195</v>
      </c>
      <c r="J76" s="1982"/>
      <c r="K76" s="1982">
        <v>0</v>
      </c>
      <c r="L76" s="2017">
        <f>H76+I76+K76</f>
        <v>190562</v>
      </c>
      <c r="M76" s="1982"/>
    </row>
    <row r="77" spans="1:13">
      <c r="C77" s="1983" t="s">
        <v>2175</v>
      </c>
      <c r="D77" s="1982"/>
      <c r="E77" s="1982">
        <v>106641</v>
      </c>
      <c r="G77" s="1982"/>
      <c r="H77" s="1982">
        <v>18788</v>
      </c>
      <c r="I77" s="1982"/>
      <c r="J77" s="1982"/>
      <c r="K77" s="1982">
        <v>0</v>
      </c>
      <c r="L77" s="2017">
        <f>H77+I77+K77</f>
        <v>18788</v>
      </c>
      <c r="M77" s="1982"/>
    </row>
    <row r="78" spans="1:13" ht="15.75">
      <c r="A78" s="2027"/>
      <c r="B78" s="2027"/>
      <c r="C78" s="1987"/>
      <c r="D78" s="2004"/>
      <c r="E78" s="2026"/>
      <c r="F78" s="2026"/>
      <c r="G78" s="2049"/>
      <c r="H78" s="2026"/>
      <c r="I78" s="2026"/>
      <c r="J78" s="2026"/>
      <c r="K78" s="1986"/>
      <c r="L78" s="2014"/>
      <c r="M78" s="1986"/>
    </row>
    <row r="79" spans="1:13" ht="15.75">
      <c r="A79" s="2048"/>
      <c r="B79" s="2039"/>
      <c r="C79" s="1983"/>
      <c r="D79" s="1982"/>
      <c r="E79" s="1966"/>
      <c r="F79" s="1966"/>
      <c r="G79" s="1966"/>
      <c r="H79" s="1982"/>
      <c r="I79" s="1966"/>
      <c r="J79" s="1966"/>
      <c r="K79" s="1982"/>
      <c r="L79" s="1982"/>
      <c r="M79" s="1982"/>
    </row>
    <row r="80" spans="1:13">
      <c r="A80" s="2024" t="s">
        <v>2174</v>
      </c>
      <c r="B80" s="2039"/>
      <c r="C80" s="1983"/>
      <c r="D80" s="1982"/>
      <c r="E80" s="1982">
        <f>SUM(E76:E78)</f>
        <v>206258</v>
      </c>
      <c r="F80" s="1982">
        <f>SUM(F75:F78)</f>
        <v>141548</v>
      </c>
      <c r="G80" s="1982"/>
      <c r="H80" s="1982">
        <f>SUM(H76:H78)</f>
        <v>191155</v>
      </c>
      <c r="I80" s="1982">
        <f>SUM(I75:I78)</f>
        <v>117368</v>
      </c>
      <c r="J80" s="1982"/>
      <c r="K80" s="1982">
        <f>SUM(K76:K78)</f>
        <v>0</v>
      </c>
      <c r="L80" s="1982">
        <f>SUM(L76:L78)</f>
        <v>209350</v>
      </c>
      <c r="M80" s="1982">
        <f>SUM(M75:M78)</f>
        <v>237045</v>
      </c>
    </row>
    <row r="81" spans="1:13">
      <c r="A81" s="2047"/>
      <c r="B81" s="2041"/>
      <c r="C81" s="2041"/>
      <c r="D81" s="2014"/>
      <c r="E81" s="2014"/>
      <c r="F81" s="2014"/>
      <c r="G81" s="2014"/>
      <c r="H81" s="2014"/>
      <c r="I81" s="2014"/>
      <c r="J81" s="2014"/>
      <c r="K81" s="2014"/>
      <c r="L81" s="2014"/>
      <c r="M81" s="2014"/>
    </row>
    <row r="82" spans="1:13">
      <c r="A82" s="1960"/>
      <c r="B82" s="2039"/>
      <c r="C82" s="2039"/>
      <c r="D82" s="1961"/>
      <c r="E82" s="1961"/>
      <c r="F82" s="1961"/>
      <c r="G82" s="1961"/>
      <c r="H82" s="1961"/>
      <c r="I82" s="1961"/>
      <c r="J82" s="1961"/>
      <c r="K82" s="1961"/>
      <c r="L82" s="1961"/>
      <c r="M82" s="2046"/>
    </row>
    <row r="83" spans="1:13" s="1958" customFormat="1">
      <c r="A83" s="2045" t="s">
        <v>2173</v>
      </c>
      <c r="B83" s="2039"/>
      <c r="C83" s="1983"/>
      <c r="D83" s="1982"/>
      <c r="E83" s="1982"/>
      <c r="F83" s="1982"/>
      <c r="G83" s="1982"/>
      <c r="H83" s="1982"/>
      <c r="I83" s="1982"/>
      <c r="J83" s="1982"/>
      <c r="K83" s="1982"/>
      <c r="L83" s="1982"/>
      <c r="M83" s="1981"/>
    </row>
    <row r="84" spans="1:13" s="1958" customFormat="1" ht="15.75">
      <c r="A84" s="2044" t="s">
        <v>2172</v>
      </c>
      <c r="B84" s="2039">
        <v>84.126000000000005</v>
      </c>
      <c r="C84" s="1983" t="s">
        <v>2171</v>
      </c>
      <c r="D84" s="2019"/>
      <c r="E84" s="1982">
        <v>0</v>
      </c>
      <c r="F84" s="1982"/>
      <c r="G84" s="2043"/>
      <c r="H84" s="1982">
        <v>0</v>
      </c>
      <c r="I84" s="1982"/>
      <c r="J84" s="1982"/>
      <c r="K84" s="1982">
        <v>0</v>
      </c>
      <c r="L84" s="1961">
        <f>H84+I84+K84</f>
        <v>0</v>
      </c>
      <c r="M84" s="1981"/>
    </row>
    <row r="85" spans="1:13" s="1958" customFormat="1" ht="15.75">
      <c r="A85" s="2044"/>
      <c r="B85" s="2039"/>
      <c r="C85" s="1983" t="s">
        <v>2171</v>
      </c>
      <c r="D85" s="2019"/>
      <c r="E85" s="1982"/>
      <c r="F85" s="1982"/>
      <c r="G85" s="2043"/>
      <c r="H85" s="1982"/>
      <c r="I85" s="1982"/>
      <c r="J85" s="1982"/>
      <c r="K85" s="1982">
        <v>0</v>
      </c>
      <c r="L85" s="1961">
        <f>H85+I85+K85</f>
        <v>0</v>
      </c>
      <c r="M85" s="1981"/>
    </row>
    <row r="86" spans="1:13" s="1958" customFormat="1" ht="15.75">
      <c r="A86" s="2042"/>
      <c r="B86" s="2041"/>
      <c r="C86" s="1987" t="s">
        <v>2171</v>
      </c>
      <c r="D86" s="2019"/>
      <c r="E86" s="1986">
        <v>8050</v>
      </c>
      <c r="F86" s="2014">
        <v>8050</v>
      </c>
      <c r="G86" s="2040"/>
      <c r="H86" s="1986">
        <v>8050</v>
      </c>
      <c r="I86" s="2014">
        <v>8050</v>
      </c>
      <c r="J86" s="1986"/>
      <c r="K86" s="1986">
        <v>0</v>
      </c>
      <c r="L86" s="2014">
        <f>H86+I86+K86</f>
        <v>16100</v>
      </c>
      <c r="M86" s="1985"/>
    </row>
    <row r="87" spans="1:13" s="1958" customFormat="1">
      <c r="A87" s="1960"/>
      <c r="B87" s="2039"/>
      <c r="C87" s="1983"/>
      <c r="D87" s="1982"/>
      <c r="E87" s="1982"/>
      <c r="F87" s="1982"/>
      <c r="G87" s="1982"/>
      <c r="H87" s="1982"/>
      <c r="I87" s="1982"/>
      <c r="J87" s="1982"/>
      <c r="K87" s="1982"/>
      <c r="L87" s="1982"/>
      <c r="M87" s="1982"/>
    </row>
    <row r="88" spans="1:13">
      <c r="A88" s="2024" t="s">
        <v>2170</v>
      </c>
      <c r="B88" s="1973"/>
      <c r="C88" s="1996"/>
      <c r="D88" s="1994"/>
      <c r="E88" s="1994">
        <f>SUM(E84:E84,E80,E71,E54,E53,E32,E24,E86)</f>
        <v>4051626</v>
      </c>
      <c r="F88" s="1994">
        <f>SUM(F84:F84,F80,F71,F54,F53,F32,F24,F86)</f>
        <v>3250815</v>
      </c>
      <c r="G88" s="1994"/>
      <c r="H88" s="1994">
        <f>SUM(H84:H84,H80,H71,H54,H53,H32,H24,H86)</f>
        <v>3648325</v>
      </c>
      <c r="I88" s="1994">
        <f>SUM(I84:I84,I80,I71,I54,I53,I32,I24,I86)</f>
        <v>3547156</v>
      </c>
      <c r="J88" s="1994"/>
      <c r="K88" s="1994">
        <f>SUM(K84:K84,K80,K71,K54,K53,K32,K24,K86)</f>
        <v>0</v>
      </c>
      <c r="L88" s="1994">
        <f>SUM(L84:L84,L80,L71,L54,L53,L32,L24,L86)</f>
        <v>7067755</v>
      </c>
      <c r="M88" s="1990"/>
    </row>
    <row r="89" spans="1:13">
      <c r="A89" s="2002"/>
      <c r="B89" s="2001"/>
      <c r="C89" s="2000"/>
      <c r="D89" s="1999"/>
      <c r="E89" s="1999"/>
      <c r="F89" s="1999"/>
      <c r="G89" s="1999"/>
      <c r="H89" s="1999"/>
      <c r="I89" s="1999"/>
      <c r="J89" s="1999"/>
      <c r="K89" s="1999"/>
      <c r="L89" s="1999"/>
      <c r="M89" s="1999"/>
    </row>
    <row r="90" spans="1:13">
      <c r="A90" s="1965"/>
      <c r="B90" s="1973"/>
      <c r="C90" s="1996"/>
      <c r="D90" s="1994"/>
      <c r="E90" s="1994"/>
      <c r="F90" s="1994"/>
      <c r="G90" s="1994"/>
      <c r="H90" s="1994"/>
      <c r="I90" s="1994"/>
      <c r="J90" s="1994"/>
      <c r="K90" s="1994"/>
      <c r="L90" s="1994"/>
      <c r="M90" s="1994"/>
    </row>
    <row r="91" spans="1:13">
      <c r="A91" s="1965" t="s">
        <v>2169</v>
      </c>
      <c r="B91" s="1973"/>
      <c r="C91" s="1996"/>
      <c r="D91" s="1994"/>
      <c r="E91" s="1994"/>
      <c r="F91" s="1994"/>
      <c r="G91" s="1994"/>
      <c r="H91" s="1994"/>
      <c r="I91" s="1994"/>
      <c r="J91" s="1994"/>
      <c r="K91" s="1994"/>
      <c r="L91" s="1994"/>
      <c r="M91" s="1994"/>
    </row>
    <row r="92" spans="1:13">
      <c r="A92" s="2038" t="s">
        <v>2168</v>
      </c>
      <c r="B92" s="1988"/>
      <c r="C92" s="1987"/>
      <c r="D92" s="1986"/>
      <c r="E92" s="1986"/>
      <c r="F92" s="1986"/>
      <c r="G92" s="1986"/>
      <c r="H92" s="1986"/>
      <c r="I92" s="1986"/>
      <c r="J92" s="1986"/>
      <c r="K92" s="1986"/>
      <c r="L92" s="1986"/>
      <c r="M92" s="1986"/>
    </row>
    <row r="93" spans="1:13">
      <c r="A93" s="1998"/>
      <c r="B93" s="1973"/>
      <c r="C93" s="1996"/>
      <c r="D93" s="1994"/>
      <c r="E93" s="1994"/>
      <c r="F93" s="1994"/>
      <c r="G93" s="1994"/>
      <c r="H93" s="1994"/>
      <c r="I93" s="1994"/>
      <c r="J93" s="1994"/>
      <c r="K93" s="1994"/>
      <c r="L93" s="1994"/>
      <c r="M93" s="1994"/>
    </row>
    <row r="94" spans="1:13">
      <c r="A94" s="2009" t="s">
        <v>2167</v>
      </c>
      <c r="B94" s="1973"/>
      <c r="C94" s="1996"/>
      <c r="D94" s="1994"/>
      <c r="E94" s="1994"/>
      <c r="F94" s="1994"/>
      <c r="G94" s="1994"/>
      <c r="H94" s="1994"/>
      <c r="I94" s="1994"/>
      <c r="J94" s="1994"/>
      <c r="K94" s="1994"/>
      <c r="L94" s="1994"/>
      <c r="M94" s="1994"/>
    </row>
    <row r="95" spans="1:13" ht="15.75">
      <c r="A95" s="2008" t="s">
        <v>2166</v>
      </c>
      <c r="B95" s="2013" t="s">
        <v>2165</v>
      </c>
      <c r="C95" s="1984" t="s">
        <v>2111</v>
      </c>
      <c r="D95" s="2019"/>
      <c r="E95" s="1994">
        <v>99640.8</v>
      </c>
      <c r="F95" s="1961">
        <v>90809</v>
      </c>
      <c r="G95" s="2034"/>
      <c r="H95" s="1994">
        <v>99640.8</v>
      </c>
      <c r="I95" s="1961">
        <v>90809</v>
      </c>
      <c r="J95" s="1994"/>
      <c r="K95" s="1994">
        <v>0</v>
      </c>
      <c r="L95" s="2017">
        <f>H95+I95+K95</f>
        <v>190449.8</v>
      </c>
      <c r="M95" s="1990"/>
    </row>
    <row r="96" spans="1:13" ht="15.75">
      <c r="A96" s="1958"/>
      <c r="B96" s="1958"/>
      <c r="C96" s="1984"/>
      <c r="D96" s="2019"/>
      <c r="E96" s="1994"/>
      <c r="F96" s="1994"/>
      <c r="G96" s="2034"/>
      <c r="H96" s="1994"/>
      <c r="I96" s="1994"/>
      <c r="J96" s="2018"/>
      <c r="K96" s="1994">
        <v>0</v>
      </c>
      <c r="L96" s="2017">
        <f>H96+I96+K96</f>
        <v>0</v>
      </c>
      <c r="M96" s="1990"/>
    </row>
    <row r="97" spans="1:13" ht="15.75">
      <c r="A97" s="1958"/>
      <c r="B97" s="1958"/>
      <c r="C97" s="1984"/>
      <c r="D97" s="2019"/>
      <c r="E97" s="2036"/>
      <c r="F97" s="2036"/>
      <c r="G97" s="2034"/>
      <c r="H97" s="1994"/>
      <c r="I97" s="1994"/>
      <c r="J97" s="2018"/>
      <c r="K97" s="1994"/>
      <c r="L97" s="2017"/>
      <c r="M97" s="1990"/>
    </row>
    <row r="98" spans="1:13" ht="15.75">
      <c r="A98" s="2037" t="s">
        <v>1117</v>
      </c>
      <c r="B98" s="1984" t="s">
        <v>2165</v>
      </c>
      <c r="C98" s="1983" t="s">
        <v>2164</v>
      </c>
      <c r="D98" s="2019"/>
      <c r="E98" s="2036"/>
      <c r="F98" s="1961">
        <v>1015776</v>
      </c>
      <c r="G98" s="2034"/>
      <c r="H98" s="1994"/>
      <c r="I98" s="1961">
        <v>1015776</v>
      </c>
      <c r="J98" s="2018"/>
      <c r="K98" s="1982">
        <v>0</v>
      </c>
      <c r="L98" s="2017">
        <f>H98+F98+K98</f>
        <v>1015776</v>
      </c>
      <c r="M98" s="1981"/>
    </row>
    <row r="99" spans="1:13">
      <c r="C99" s="1983" t="s">
        <v>2163</v>
      </c>
      <c r="D99" s="1982"/>
      <c r="E99" s="2029">
        <v>1008475.38</v>
      </c>
      <c r="F99" s="1961">
        <v>152980</v>
      </c>
      <c r="G99" s="1982"/>
      <c r="H99" s="2029">
        <v>1008475.38</v>
      </c>
      <c r="I99" s="1961">
        <f>128367+24613</f>
        <v>152980</v>
      </c>
      <c r="J99" s="1982"/>
      <c r="K99" s="1982">
        <v>0</v>
      </c>
      <c r="L99" s="2017">
        <f>H99+F99+K99</f>
        <v>1161455.3799999999</v>
      </c>
      <c r="M99" s="1981"/>
    </row>
    <row r="100" spans="1:13" ht="15.75">
      <c r="C100" s="1983" t="s">
        <v>2162</v>
      </c>
      <c r="D100" s="2019"/>
      <c r="E100" s="2029">
        <v>184748.84</v>
      </c>
      <c r="F100" s="2028"/>
      <c r="G100" s="1982"/>
      <c r="H100" s="2029">
        <f>137280.56+36490.88+10977.4</f>
        <v>184748.84</v>
      </c>
      <c r="I100" s="2028"/>
      <c r="J100" s="1982"/>
      <c r="K100" s="1982">
        <v>0</v>
      </c>
      <c r="L100" s="2017">
        <f>H100+F100+K100</f>
        <v>184748.84</v>
      </c>
      <c r="M100" s="1981"/>
    </row>
    <row r="101" spans="1:13" ht="15.75">
      <c r="A101" s="1958"/>
      <c r="B101" s="1958"/>
      <c r="C101" s="1983"/>
      <c r="D101" s="2019"/>
      <c r="E101" s="2035"/>
      <c r="F101" s="2035"/>
      <c r="G101" s="2034"/>
      <c r="H101" s="1966"/>
      <c r="I101" s="1966"/>
      <c r="J101" s="1966"/>
      <c r="K101" s="1982"/>
      <c r="L101" s="2017"/>
      <c r="M101" s="1981"/>
    </row>
    <row r="102" spans="1:13">
      <c r="A102" s="2033"/>
      <c r="B102" s="1984"/>
      <c r="C102" s="1983"/>
      <c r="D102" s="1982"/>
      <c r="E102" s="2031"/>
      <c r="F102" s="2031"/>
      <c r="G102" s="1982"/>
      <c r="H102" s="1982"/>
      <c r="I102" s="1982"/>
      <c r="J102" s="1982"/>
      <c r="K102" s="1982"/>
      <c r="L102" s="1982"/>
      <c r="M102" s="1981"/>
    </row>
    <row r="103" spans="1:13">
      <c r="A103" s="2032" t="s">
        <v>2161</v>
      </c>
      <c r="B103" s="1973" t="s">
        <v>2160</v>
      </c>
      <c r="C103" s="1983" t="s">
        <v>2159</v>
      </c>
      <c r="D103" s="1982"/>
      <c r="E103" s="2031"/>
      <c r="F103" s="1961">
        <v>90854</v>
      </c>
      <c r="G103" s="1982"/>
      <c r="H103" s="1982"/>
      <c r="I103" s="1961">
        <v>90854</v>
      </c>
      <c r="J103" s="1982"/>
      <c r="K103" s="1982"/>
      <c r="L103" s="2017">
        <f>H103+F103+K103</f>
        <v>90854</v>
      </c>
      <c r="M103" s="1981"/>
    </row>
    <row r="104" spans="1:13">
      <c r="C104" s="1983" t="s">
        <v>2158</v>
      </c>
      <c r="D104" s="1982"/>
      <c r="E104" s="2029">
        <v>88716.76</v>
      </c>
      <c r="F104" s="1961">
        <v>10748</v>
      </c>
      <c r="G104" s="1982"/>
      <c r="H104" s="2029">
        <v>88716.76</v>
      </c>
      <c r="I104" s="1961">
        <f>9491+1257</f>
        <v>10748</v>
      </c>
      <c r="J104" s="1982"/>
      <c r="K104" s="1982"/>
      <c r="L104" s="2017">
        <f>H104+F104+K104</f>
        <v>99464.76</v>
      </c>
      <c r="M104" s="1981"/>
    </row>
    <row r="105" spans="1:13" ht="15.75">
      <c r="C105" s="1983" t="s">
        <v>2157</v>
      </c>
      <c r="D105" s="2019"/>
      <c r="E105" s="2029">
        <v>14510.52</v>
      </c>
      <c r="F105" s="2028"/>
      <c r="G105" s="1982"/>
      <c r="H105" s="2029">
        <f>11376+1983</f>
        <v>13359</v>
      </c>
      <c r="I105" s="2028"/>
      <c r="J105" s="1982"/>
      <c r="K105" s="1982"/>
      <c r="L105" s="2017">
        <f>H105+F105+K105</f>
        <v>13359</v>
      </c>
      <c r="M105" s="1981"/>
    </row>
    <row r="106" spans="1:13" ht="15.75">
      <c r="A106" s="2027"/>
      <c r="B106" s="2027"/>
      <c r="C106" s="1987"/>
      <c r="D106" s="2015"/>
      <c r="E106" s="2026"/>
      <c r="F106" s="2026"/>
      <c r="G106" s="2004"/>
      <c r="H106" s="2026"/>
      <c r="I106" s="2026"/>
      <c r="J106" s="2026"/>
      <c r="K106" s="1986"/>
      <c r="L106" s="2014"/>
      <c r="M106" s="1985"/>
    </row>
    <row r="107" spans="1:13">
      <c r="A107" s="1963"/>
      <c r="B107" s="1963"/>
      <c r="C107" s="1963"/>
      <c r="D107" s="1963"/>
      <c r="E107" s="1994"/>
      <c r="F107" s="1994"/>
      <c r="G107" s="1994"/>
      <c r="H107" s="1994"/>
      <c r="I107" s="1994"/>
      <c r="J107" s="1994"/>
      <c r="K107" s="1994"/>
      <c r="L107" s="1994"/>
      <c r="M107" s="1994"/>
    </row>
    <row r="108" spans="1:13">
      <c r="A108" s="2024" t="s">
        <v>2156</v>
      </c>
      <c r="B108" s="1963"/>
      <c r="C108" s="1963"/>
      <c r="D108" s="1994"/>
      <c r="E108" s="1994">
        <f>SUM(E95:E106)</f>
        <v>1396092.3</v>
      </c>
      <c r="F108" s="1994">
        <f>SUM(F95:F106)</f>
        <v>1361167</v>
      </c>
      <c r="G108" s="1994"/>
      <c r="H108" s="1994">
        <f>SUM(H95:H106)</f>
        <v>1394940.78</v>
      </c>
      <c r="I108" s="1994">
        <f>SUM(I95:I106)</f>
        <v>1361167</v>
      </c>
      <c r="J108" s="1994"/>
      <c r="K108" s="1994">
        <f>SUM(K95:K106)</f>
        <v>0</v>
      </c>
      <c r="L108" s="1994">
        <f>SUM(L95:L106)</f>
        <v>2756107.7799999993</v>
      </c>
      <c r="M108" s="1990"/>
    </row>
    <row r="109" spans="1:13">
      <c r="A109" s="2002"/>
      <c r="B109" s="2001"/>
      <c r="C109" s="2000"/>
      <c r="D109" s="1999"/>
      <c r="E109" s="1999"/>
      <c r="F109" s="1999"/>
      <c r="G109" s="1999"/>
      <c r="H109" s="1999"/>
      <c r="I109" s="1999"/>
      <c r="J109" s="1999"/>
      <c r="K109" s="1999"/>
      <c r="L109" s="1999"/>
      <c r="M109" s="1999"/>
    </row>
    <row r="110" spans="1:13">
      <c r="A110" s="1963"/>
      <c r="B110" s="1963"/>
      <c r="C110" s="1963"/>
      <c r="D110" s="1994"/>
      <c r="E110" s="1994"/>
      <c r="F110" s="1994"/>
      <c r="G110" s="1994"/>
      <c r="H110" s="1994"/>
      <c r="I110" s="1994"/>
      <c r="J110" s="1994"/>
      <c r="K110" s="1994"/>
      <c r="L110" s="1994"/>
      <c r="M110" s="1994"/>
    </row>
    <row r="111" spans="1:13">
      <c r="A111" s="2009" t="s">
        <v>2155</v>
      </c>
      <c r="B111" s="2030" t="s">
        <v>2154</v>
      </c>
      <c r="C111" s="1963" t="s">
        <v>2153</v>
      </c>
      <c r="D111" s="1994"/>
      <c r="E111" s="1994"/>
      <c r="F111" s="1961">
        <v>132392</v>
      </c>
      <c r="G111" s="1994"/>
      <c r="H111" s="1994"/>
      <c r="I111" s="1961">
        <v>0</v>
      </c>
      <c r="J111" s="1994"/>
      <c r="K111" s="1994">
        <v>0</v>
      </c>
      <c r="L111" s="2017">
        <f>H111+F111+K111</f>
        <v>132392</v>
      </c>
      <c r="M111" s="1981"/>
    </row>
    <row r="112" spans="1:13">
      <c r="C112" s="1963" t="s">
        <v>2152</v>
      </c>
      <c r="D112" s="1994"/>
      <c r="E112" s="2029">
        <v>114615.59</v>
      </c>
      <c r="F112" s="1961">
        <v>29293</v>
      </c>
      <c r="G112" s="1994"/>
      <c r="H112" s="2029">
        <v>114616</v>
      </c>
      <c r="I112" s="1961">
        <f>540+15750+79+2594+205+4141+247+5183+554</f>
        <v>29293</v>
      </c>
      <c r="J112" s="1994"/>
      <c r="K112" s="1994">
        <v>0</v>
      </c>
      <c r="L112" s="2017">
        <f>H112+F112+K112</f>
        <v>143909</v>
      </c>
      <c r="M112" s="1981"/>
    </row>
    <row r="113" spans="1:13">
      <c r="C113" s="1963" t="s">
        <v>2151</v>
      </c>
      <c r="D113" s="1994"/>
      <c r="E113" s="2029">
        <v>37684.9</v>
      </c>
      <c r="F113" s="2028"/>
      <c r="G113" s="1994"/>
      <c r="H113" s="2029">
        <v>37685</v>
      </c>
      <c r="I113" s="2028"/>
      <c r="J113" s="1994"/>
      <c r="K113" s="1994">
        <v>0</v>
      </c>
      <c r="L113" s="2017">
        <f>H113+F113+K113</f>
        <v>37685</v>
      </c>
      <c r="M113" s="1981"/>
    </row>
    <row r="114" spans="1:13" ht="15.75">
      <c r="A114" s="2027"/>
      <c r="B114" s="2027"/>
      <c r="C114" s="1987"/>
      <c r="D114" s="2015"/>
      <c r="E114" s="2026"/>
      <c r="F114" s="2026"/>
      <c r="G114" s="2004"/>
      <c r="H114" s="2026"/>
      <c r="I114" s="2026"/>
      <c r="J114" s="2026"/>
      <c r="K114" s="1986"/>
      <c r="L114" s="2014"/>
      <c r="M114" s="1985"/>
    </row>
    <row r="115" spans="1:13">
      <c r="A115" s="1997"/>
      <c r="B115" s="2025"/>
      <c r="C115" s="1983"/>
      <c r="D115" s="1982"/>
      <c r="E115" s="1966"/>
      <c r="F115" s="1966"/>
      <c r="G115" s="1966"/>
      <c r="H115" s="1982"/>
      <c r="I115" s="1966"/>
      <c r="J115" s="1966"/>
      <c r="K115" s="1982"/>
      <c r="L115" s="1982"/>
      <c r="M115" s="1981"/>
    </row>
    <row r="116" spans="1:13">
      <c r="A116" s="2024" t="s">
        <v>2150</v>
      </c>
      <c r="B116" s="2020"/>
      <c r="C116" s="2020"/>
      <c r="D116" s="1982"/>
      <c r="E116" s="1982">
        <f>SUM(E112:E114)</f>
        <v>152300.49</v>
      </c>
      <c r="F116" s="1982">
        <f>SUM(F111:F114)</f>
        <v>161685</v>
      </c>
      <c r="G116" s="1982"/>
      <c r="H116" s="1982">
        <f>SUM(H112:H114)</f>
        <v>152301</v>
      </c>
      <c r="I116" s="1982">
        <f>SUM(I111:I114)</f>
        <v>29293</v>
      </c>
      <c r="J116" s="1982"/>
      <c r="K116" s="1982">
        <f>SUM(K112:K114)</f>
        <v>0</v>
      </c>
      <c r="L116" s="1982">
        <f>SUM(L112:L114)</f>
        <v>181594</v>
      </c>
      <c r="M116" s="1990"/>
    </row>
    <row r="117" spans="1:13">
      <c r="A117" s="2002"/>
      <c r="B117" s="2001"/>
      <c r="C117" s="2000"/>
      <c r="D117" s="1999"/>
      <c r="E117" s="1999"/>
      <c r="F117" s="1999"/>
      <c r="G117" s="1999"/>
      <c r="H117" s="1999"/>
      <c r="I117" s="1999"/>
      <c r="J117" s="1999"/>
      <c r="K117" s="1999"/>
      <c r="L117" s="1999"/>
      <c r="M117" s="1999"/>
    </row>
    <row r="118" spans="1:13">
      <c r="A118" s="2586" t="s">
        <v>2149</v>
      </c>
      <c r="B118" s="2586"/>
      <c r="C118" s="2586"/>
      <c r="D118" s="2586"/>
      <c r="E118" s="2586"/>
      <c r="F118" s="2586"/>
      <c r="G118" s="2586"/>
      <c r="H118" s="2586"/>
      <c r="I118" s="2586"/>
      <c r="J118" s="2586"/>
      <c r="K118" s="2586"/>
      <c r="L118" s="2586"/>
      <c r="M118" s="2586"/>
    </row>
    <row r="119" spans="1:13">
      <c r="A119" s="2016"/>
      <c r="B119" s="1988"/>
      <c r="C119" s="1987"/>
      <c r="D119" s="1986"/>
      <c r="E119" s="1986"/>
      <c r="F119" s="1986"/>
      <c r="G119" s="1986"/>
      <c r="H119" s="1986"/>
      <c r="I119" s="1986"/>
      <c r="J119" s="1986"/>
      <c r="K119" s="1986"/>
      <c r="L119" s="1986"/>
      <c r="M119" s="1986"/>
    </row>
    <row r="120" spans="1:13">
      <c r="A120" s="1998" t="s">
        <v>2148</v>
      </c>
      <c r="B120" s="1973"/>
      <c r="C120" s="1973" t="s">
        <v>2147</v>
      </c>
      <c r="D120" s="2023"/>
      <c r="E120" s="2584" t="s">
        <v>2146</v>
      </c>
      <c r="F120" s="2585"/>
      <c r="G120" s="2022"/>
      <c r="H120" s="2584" t="s">
        <v>2145</v>
      </c>
      <c r="I120" s="2585"/>
      <c r="J120" s="1988"/>
      <c r="K120" s="2016"/>
      <c r="L120" s="2016"/>
      <c r="M120" s="2016"/>
    </row>
    <row r="121" spans="1:13">
      <c r="A121" s="1998" t="s">
        <v>2144</v>
      </c>
      <c r="B121" s="1973" t="s">
        <v>1325</v>
      </c>
      <c r="C121" s="1973" t="s">
        <v>2143</v>
      </c>
      <c r="D121" s="2013"/>
      <c r="E121" s="2007" t="s">
        <v>2142</v>
      </c>
      <c r="F121" s="2007" t="s">
        <v>2141</v>
      </c>
      <c r="G121" s="2007"/>
      <c r="H121" s="2021">
        <v>42552</v>
      </c>
      <c r="I121" s="2021">
        <v>42917</v>
      </c>
      <c r="J121" s="2007"/>
      <c r="K121" s="1973" t="s">
        <v>1322</v>
      </c>
      <c r="L121" s="1973" t="s">
        <v>2140</v>
      </c>
      <c r="M121" s="1965"/>
    </row>
    <row r="122" spans="1:13">
      <c r="A122" s="1998" t="s">
        <v>2139</v>
      </c>
      <c r="B122" s="1973" t="s">
        <v>2138</v>
      </c>
      <c r="C122" s="1973" t="s">
        <v>2138</v>
      </c>
      <c r="D122" s="2007"/>
      <c r="E122" s="2021">
        <v>42916</v>
      </c>
      <c r="F122" s="2021">
        <v>43281</v>
      </c>
      <c r="G122" s="2007"/>
      <c r="H122" s="2007" t="s">
        <v>2137</v>
      </c>
      <c r="I122" s="2007" t="s">
        <v>2136</v>
      </c>
      <c r="J122" s="2007"/>
      <c r="K122" s="1973" t="s">
        <v>2135</v>
      </c>
      <c r="L122" s="1973" t="s">
        <v>1318</v>
      </c>
      <c r="M122" s="1973" t="s">
        <v>30</v>
      </c>
    </row>
    <row r="123" spans="1:13">
      <c r="A123" s="2002"/>
      <c r="B123" s="2001" t="s">
        <v>1316</v>
      </c>
      <c r="C123" s="2001" t="s">
        <v>1315</v>
      </c>
      <c r="D123" s="2001"/>
      <c r="E123" s="2001" t="s">
        <v>1313</v>
      </c>
      <c r="F123" s="2001" t="s">
        <v>1313</v>
      </c>
      <c r="G123" s="2001"/>
      <c r="H123" s="2001" t="s">
        <v>1312</v>
      </c>
      <c r="I123" s="2001" t="s">
        <v>1311</v>
      </c>
      <c r="J123" s="2001"/>
      <c r="K123" s="2001" t="s">
        <v>1310</v>
      </c>
      <c r="L123" s="2001" t="s">
        <v>1309</v>
      </c>
      <c r="M123" s="2001" t="s">
        <v>1308</v>
      </c>
    </row>
    <row r="124" spans="1:13">
      <c r="A124" s="1991"/>
      <c r="B124" s="1984"/>
      <c r="C124" s="1983"/>
      <c r="D124" s="1982"/>
      <c r="E124" s="1982"/>
      <c r="F124" s="1982"/>
      <c r="G124" s="1982"/>
      <c r="H124" s="1982"/>
      <c r="I124" s="1982"/>
      <c r="J124" s="1982"/>
      <c r="K124" s="1982"/>
      <c r="L124" s="1982"/>
      <c r="M124" s="1982"/>
    </row>
    <row r="125" spans="1:13">
      <c r="A125" s="1963" t="s">
        <v>2134</v>
      </c>
      <c r="B125" s="1984">
        <v>10.555</v>
      </c>
      <c r="C125" s="1983" t="s">
        <v>2133</v>
      </c>
      <c r="D125" s="1982"/>
      <c r="E125" s="1982"/>
      <c r="F125" s="1961">
        <v>0</v>
      </c>
      <c r="G125" s="1982"/>
      <c r="H125" s="1982"/>
      <c r="I125" s="1961">
        <v>0</v>
      </c>
      <c r="J125" s="1982"/>
      <c r="K125" s="1982">
        <v>0</v>
      </c>
      <c r="L125" s="2017">
        <f>H125+F125+K125</f>
        <v>0</v>
      </c>
      <c r="M125" s="1990"/>
    </row>
    <row r="126" spans="1:13">
      <c r="C126" s="1983" t="s">
        <v>2132</v>
      </c>
      <c r="D126" s="1982"/>
      <c r="E126" s="1982">
        <v>0</v>
      </c>
      <c r="F126" s="1961">
        <v>0</v>
      </c>
      <c r="G126" s="1982"/>
      <c r="H126" s="1982">
        <v>0</v>
      </c>
      <c r="I126" s="1961">
        <v>0</v>
      </c>
      <c r="J126" s="1982"/>
      <c r="K126" s="1982">
        <v>0</v>
      </c>
      <c r="L126" s="2017">
        <f>H126+F126+K126</f>
        <v>0</v>
      </c>
      <c r="M126" s="1990"/>
    </row>
    <row r="127" spans="1:13">
      <c r="C127" s="1983" t="s">
        <v>2131</v>
      </c>
      <c r="D127" s="1982"/>
      <c r="E127" s="1982">
        <v>0</v>
      </c>
      <c r="F127" s="1982"/>
      <c r="G127" s="1982"/>
      <c r="H127" s="1982">
        <v>0</v>
      </c>
      <c r="I127" s="1982"/>
      <c r="J127" s="1982"/>
      <c r="K127" s="1982">
        <v>0</v>
      </c>
      <c r="L127" s="2017">
        <f>H127+F127+K127</f>
        <v>0</v>
      </c>
      <c r="M127" s="1990"/>
    </row>
    <row r="128" spans="1:13">
      <c r="A128" s="1963"/>
      <c r="B128" s="1984"/>
      <c r="C128" s="1983"/>
      <c r="D128" s="1982"/>
      <c r="E128" s="1982"/>
      <c r="F128" s="1982"/>
      <c r="G128" s="1982"/>
      <c r="H128" s="1982"/>
      <c r="I128" s="1982"/>
      <c r="J128" s="1982"/>
      <c r="K128" s="1982"/>
      <c r="L128" s="1982"/>
      <c r="M128" s="1981"/>
    </row>
    <row r="129" spans="1:15">
      <c r="A129" s="1980" t="s">
        <v>2130</v>
      </c>
      <c r="B129" s="1984"/>
      <c r="C129" s="1983"/>
      <c r="D129" s="1982"/>
      <c r="E129" s="1982">
        <f>SUM(E108,E116,E127)</f>
        <v>1548392.79</v>
      </c>
      <c r="F129" s="1982">
        <f>SUM(F108,F116,F127)</f>
        <v>1522852</v>
      </c>
      <c r="G129" s="1982"/>
      <c r="H129" s="1982">
        <f>SUM(H108,H116,H127)</f>
        <v>1547241.78</v>
      </c>
      <c r="I129" s="1982">
        <f>SUM(I108,I116,I127)</f>
        <v>1390460</v>
      </c>
      <c r="J129" s="1982"/>
      <c r="K129" s="1982">
        <f>SUM(K108,K116,K127)</f>
        <v>0</v>
      </c>
      <c r="L129" s="1982">
        <f>SUM(L108,L116,L127)</f>
        <v>2937701.7799999993</v>
      </c>
      <c r="M129" s="1982"/>
    </row>
    <row r="130" spans="1:15">
      <c r="A130" s="1963"/>
      <c r="B130" s="2020"/>
      <c r="C130" s="2020"/>
      <c r="D130" s="1982"/>
      <c r="E130" s="1982"/>
      <c r="F130" s="1982"/>
      <c r="G130" s="1982"/>
      <c r="H130" s="1982"/>
      <c r="I130" s="1982"/>
      <c r="J130" s="1982"/>
      <c r="K130" s="1982"/>
      <c r="L130" s="1982"/>
      <c r="M130" s="1982"/>
    </row>
    <row r="131" spans="1:15" s="1958" customFormat="1">
      <c r="A131" s="1998" t="s">
        <v>2129</v>
      </c>
      <c r="B131" s="1973"/>
      <c r="C131" s="1996"/>
      <c r="D131" s="1994"/>
      <c r="E131" s="1994"/>
      <c r="F131" s="1994"/>
      <c r="G131" s="1994"/>
      <c r="H131" s="1994"/>
      <c r="I131" s="1994"/>
      <c r="J131" s="1994"/>
      <c r="K131" s="1994"/>
      <c r="L131" s="1994"/>
      <c r="M131" s="1994"/>
    </row>
    <row r="132" spans="1:15" s="1958" customFormat="1" ht="15.75">
      <c r="A132" s="2009" t="s">
        <v>2128</v>
      </c>
      <c r="B132" s="2013">
        <v>10.555</v>
      </c>
      <c r="C132" s="1984" t="s">
        <v>2111</v>
      </c>
      <c r="D132" s="2019"/>
      <c r="E132" s="1994">
        <v>77065.47</v>
      </c>
      <c r="F132" s="1961">
        <v>74685</v>
      </c>
      <c r="G132" s="2018"/>
      <c r="H132" s="1994">
        <v>77065.47</v>
      </c>
      <c r="I132" s="1961">
        <v>74685</v>
      </c>
      <c r="J132" s="1994"/>
      <c r="K132" s="1994">
        <v>0</v>
      </c>
      <c r="L132" s="2017">
        <f>H132+I132+K132</f>
        <v>151750.47</v>
      </c>
      <c r="M132" s="1990"/>
    </row>
    <row r="133" spans="1:15" s="1958" customFormat="1" ht="15.75">
      <c r="A133" s="2016"/>
      <c r="B133" s="2005"/>
      <c r="C133" s="1988"/>
      <c r="D133" s="2015"/>
      <c r="E133" s="1986"/>
      <c r="F133" s="1986"/>
      <c r="G133" s="2015"/>
      <c r="H133" s="1986"/>
      <c r="I133" s="1986"/>
      <c r="J133" s="1986"/>
      <c r="K133" s="1986"/>
      <c r="L133" s="2014"/>
      <c r="M133" s="1985"/>
    </row>
    <row r="134" spans="1:15" s="1958" customFormat="1">
      <c r="A134" s="1991"/>
      <c r="B134" s="2013"/>
      <c r="C134" s="1984"/>
      <c r="D134" s="1982"/>
      <c r="E134" s="1982"/>
      <c r="F134" s="1982"/>
      <c r="G134" s="1982"/>
      <c r="H134" s="1982"/>
      <c r="I134" s="1982"/>
      <c r="J134" s="1982"/>
      <c r="K134" s="1982"/>
      <c r="L134" s="1982"/>
      <c r="M134" s="1981"/>
    </row>
    <row r="135" spans="1:15" s="1958" customFormat="1">
      <c r="A135" s="1980" t="s">
        <v>2127</v>
      </c>
      <c r="B135" s="1973"/>
      <c r="C135" s="1996"/>
      <c r="D135" s="1982"/>
      <c r="E135" s="1982">
        <f>SUM(E132:E133)</f>
        <v>77065.47</v>
      </c>
      <c r="F135" s="1982">
        <f>SUM(F132:F133)</f>
        <v>74685</v>
      </c>
      <c r="G135" s="1982"/>
      <c r="H135" s="1982">
        <f>SUM(H132:H133)</f>
        <v>77065.47</v>
      </c>
      <c r="I135" s="1982">
        <f>SUM(I132:I133)</f>
        <v>74685</v>
      </c>
      <c r="J135" s="1982">
        <f>SUM(J132:J133)</f>
        <v>0</v>
      </c>
      <c r="K135" s="1982">
        <f>SUM(K132:K133)</f>
        <v>0</v>
      </c>
      <c r="L135" s="1982">
        <f>SUM(L132:L133)</f>
        <v>151750.47</v>
      </c>
      <c r="M135" s="1990"/>
    </row>
    <row r="136" spans="1:15" s="1958" customFormat="1">
      <c r="A136" s="2002"/>
      <c r="B136" s="2001"/>
      <c r="C136" s="2000"/>
      <c r="D136" s="1999"/>
      <c r="E136" s="1999"/>
      <c r="F136" s="1999"/>
      <c r="G136" s="1999"/>
      <c r="H136" s="1999"/>
      <c r="I136" s="1999"/>
      <c r="J136" s="1999"/>
      <c r="K136" s="1999"/>
      <c r="L136" s="1999"/>
      <c r="M136" s="1999"/>
    </row>
    <row r="137" spans="1:15">
      <c r="A137" s="1965" t="s">
        <v>2126</v>
      </c>
      <c r="B137" s="1973"/>
      <c r="C137" s="1996"/>
      <c r="D137" s="1994"/>
      <c r="E137" s="1994"/>
      <c r="F137" s="1994"/>
      <c r="G137" s="1994"/>
      <c r="H137" s="1994"/>
      <c r="I137" s="1994"/>
      <c r="J137" s="1994"/>
      <c r="K137" s="1994"/>
      <c r="L137" s="1994"/>
      <c r="M137" s="1994"/>
    </row>
    <row r="138" spans="1:15">
      <c r="A138" s="2010" t="s">
        <v>2125</v>
      </c>
      <c r="B138" s="1973"/>
      <c r="C138" s="1996"/>
      <c r="D138" s="1994"/>
      <c r="E138" s="1994"/>
      <c r="F138" s="1994"/>
      <c r="G138" s="1994"/>
      <c r="H138" s="1994"/>
      <c r="I138" s="1994"/>
      <c r="J138" s="1994"/>
      <c r="K138" s="1994"/>
      <c r="L138" s="1994"/>
      <c r="M138" s="1994"/>
    </row>
    <row r="139" spans="1:15">
      <c r="A139" s="2008" t="s">
        <v>1104</v>
      </c>
      <c r="B139" s="2007" t="s">
        <v>2106</v>
      </c>
      <c r="C139" s="1996" t="s">
        <v>2123</v>
      </c>
      <c r="D139" s="1994"/>
      <c r="E139" s="1994"/>
      <c r="F139" s="1961">
        <v>2105367</v>
      </c>
      <c r="G139" s="1994"/>
      <c r="H139" s="1994"/>
      <c r="I139" s="1961">
        <v>2105367</v>
      </c>
      <c r="J139" s="1994"/>
      <c r="K139" s="1994">
        <v>95023</v>
      </c>
      <c r="L139" s="2011">
        <f>H139+I139+K139</f>
        <v>2200390</v>
      </c>
      <c r="M139" s="1990">
        <v>2953749</v>
      </c>
    </row>
    <row r="140" spans="1:15">
      <c r="C140" s="1996" t="s">
        <v>2122</v>
      </c>
      <c r="D140" s="1994"/>
      <c r="E140" s="1994">
        <v>2726352</v>
      </c>
      <c r="F140" s="1961">
        <v>448842</v>
      </c>
      <c r="G140" s="1994"/>
      <c r="H140" s="1994">
        <f>2189672+542003</f>
        <v>2731675</v>
      </c>
      <c r="I140" s="1961">
        <v>448379</v>
      </c>
      <c r="J140" s="1994"/>
      <c r="K140" s="1994"/>
      <c r="L140" s="2011">
        <f>H140+I140+K140</f>
        <v>3180054</v>
      </c>
      <c r="M140" s="1990"/>
      <c r="O140" s="2012"/>
    </row>
    <row r="141" spans="1:15">
      <c r="C141" s="1996" t="s">
        <v>2121</v>
      </c>
      <c r="D141" s="1994"/>
      <c r="E141" s="1994">
        <v>463</v>
      </c>
      <c r="F141" s="1994"/>
      <c r="G141" s="1994"/>
      <c r="H141" s="1994">
        <v>463</v>
      </c>
      <c r="I141" s="1994"/>
      <c r="J141" s="1994"/>
      <c r="K141" s="1994">
        <v>0</v>
      </c>
      <c r="L141" s="2011">
        <f>H141+I141+K141</f>
        <v>463</v>
      </c>
      <c r="M141" s="1990"/>
    </row>
    <row r="142" spans="1:15" ht="15.75">
      <c r="A142" s="2008"/>
      <c r="B142" s="2007"/>
      <c r="C142" s="1996"/>
      <c r="D142" s="2003"/>
      <c r="E142" s="1982"/>
      <c r="F142" s="1982"/>
      <c r="G142" s="2003"/>
      <c r="H142" s="1982"/>
      <c r="I142" s="1982"/>
      <c r="J142" s="1982"/>
      <c r="K142" s="1982"/>
      <c r="L142" s="1982"/>
      <c r="M142" s="1990"/>
    </row>
    <row r="143" spans="1:15">
      <c r="A143" s="2010"/>
      <c r="B143" s="1984"/>
      <c r="C143" s="1983"/>
      <c r="D143" s="1982"/>
      <c r="E143" s="1982"/>
      <c r="F143" s="1982"/>
      <c r="G143" s="1982"/>
      <c r="H143" s="1982"/>
      <c r="I143" s="1982"/>
      <c r="J143" s="1982"/>
      <c r="K143" s="1982"/>
      <c r="L143" s="1982"/>
      <c r="M143" s="1982"/>
    </row>
    <row r="144" spans="1:15">
      <c r="A144" s="2009" t="s">
        <v>2124</v>
      </c>
      <c r="B144" s="1973"/>
      <c r="C144" s="1996"/>
      <c r="D144" s="1994"/>
      <c r="E144" s="1994"/>
      <c r="F144" s="1994"/>
      <c r="G144" s="1994"/>
      <c r="H144" s="1994"/>
      <c r="I144" s="1994"/>
      <c r="J144" s="1994"/>
      <c r="K144" s="1994"/>
      <c r="L144" s="1994"/>
      <c r="M144" s="1994"/>
    </row>
    <row r="145" spans="1:13">
      <c r="A145" s="2008" t="s">
        <v>1104</v>
      </c>
      <c r="B145" s="2007" t="s">
        <v>2106</v>
      </c>
      <c r="C145" s="1996" t="s">
        <v>2123</v>
      </c>
      <c r="D145" s="1994"/>
      <c r="E145" s="1994"/>
      <c r="F145" s="1961">
        <v>0</v>
      </c>
      <c r="G145" s="1994"/>
      <c r="H145" s="1994"/>
      <c r="I145" s="1961">
        <v>0</v>
      </c>
      <c r="J145" s="1994"/>
      <c r="K145" s="1994">
        <v>0</v>
      </c>
      <c r="L145" s="1982">
        <f>H145+I145+K145</f>
        <v>0</v>
      </c>
      <c r="M145" s="1990"/>
    </row>
    <row r="146" spans="1:13">
      <c r="C146" s="1996" t="s">
        <v>2122</v>
      </c>
      <c r="D146" s="1994"/>
      <c r="E146" s="1994"/>
      <c r="F146" s="1961">
        <v>0</v>
      </c>
      <c r="G146" s="1994"/>
      <c r="H146" s="1994">
        <v>0</v>
      </c>
      <c r="I146" s="1961">
        <v>0</v>
      </c>
      <c r="J146" s="1994"/>
      <c r="K146" s="1994">
        <v>0</v>
      </c>
      <c r="L146" s="1982">
        <f>H146+I146+K146</f>
        <v>0</v>
      </c>
      <c r="M146" s="1990"/>
    </row>
    <row r="147" spans="1:13">
      <c r="C147" s="1996" t="s">
        <v>2121</v>
      </c>
      <c r="D147" s="1994"/>
      <c r="E147" s="1994"/>
      <c r="F147" s="1994"/>
      <c r="G147" s="1994"/>
      <c r="H147" s="1994">
        <v>0</v>
      </c>
      <c r="I147" s="1994"/>
      <c r="J147" s="1994"/>
      <c r="K147" s="1994">
        <v>0</v>
      </c>
      <c r="L147" s="1982">
        <f>H147+I147+K147</f>
        <v>0</v>
      </c>
      <c r="M147" s="1990"/>
    </row>
    <row r="148" spans="1:13" ht="15.75">
      <c r="A148" s="2006"/>
      <c r="B148" s="2005"/>
      <c r="C148" s="1987"/>
      <c r="D148" s="1992"/>
      <c r="E148" s="1986"/>
      <c r="F148" s="1986"/>
      <c r="G148" s="2004"/>
      <c r="H148" s="1986"/>
      <c r="I148" s="1986"/>
      <c r="J148" s="1986"/>
      <c r="K148" s="1986"/>
      <c r="L148" s="1986"/>
      <c r="M148" s="1985"/>
    </row>
    <row r="149" spans="1:13">
      <c r="A149" s="1998"/>
      <c r="B149" s="1973"/>
      <c r="C149" s="1996"/>
      <c r="D149" s="1994"/>
      <c r="E149" s="1994"/>
      <c r="F149" s="1994"/>
      <c r="G149" s="1994"/>
      <c r="H149" s="1994"/>
      <c r="I149" s="1994"/>
      <c r="J149" s="1994"/>
      <c r="K149" s="1994"/>
      <c r="L149" s="1994"/>
      <c r="M149" s="1994"/>
    </row>
    <row r="150" spans="1:13" ht="15.75">
      <c r="A150" s="1980" t="s">
        <v>2120</v>
      </c>
      <c r="B150" s="1973"/>
      <c r="C150" s="1996"/>
      <c r="D150" s="1994"/>
      <c r="E150" s="1994">
        <f>SUM(E140:E149)</f>
        <v>2726815</v>
      </c>
      <c r="F150" s="1994">
        <f>SUM(F139:F149)</f>
        <v>2554209</v>
      </c>
      <c r="G150" s="2003"/>
      <c r="H150" s="1994">
        <f>SUM(H140:H149)</f>
        <v>2732138</v>
      </c>
      <c r="I150" s="1994">
        <f>SUM(I139:I149)</f>
        <v>2553746</v>
      </c>
      <c r="J150" s="1994"/>
      <c r="K150" s="1994">
        <f>SUM(K139:K149)</f>
        <v>95023</v>
      </c>
      <c r="L150" s="1994">
        <f>SUM(L140:L149)</f>
        <v>3180517</v>
      </c>
      <c r="M150" s="1990"/>
    </row>
    <row r="151" spans="1:13">
      <c r="A151" s="2002"/>
      <c r="B151" s="2001"/>
      <c r="C151" s="2000"/>
      <c r="D151" s="1999"/>
      <c r="E151" s="1999"/>
      <c r="F151" s="1999"/>
      <c r="G151" s="1999"/>
      <c r="H151" s="1999"/>
      <c r="I151" s="1999"/>
      <c r="J151" s="1999"/>
      <c r="K151" s="1999"/>
      <c r="L151" s="1999"/>
      <c r="M151" s="1999"/>
    </row>
    <row r="152" spans="1:13">
      <c r="A152" s="1998"/>
      <c r="B152" s="1973"/>
      <c r="C152" s="1996"/>
      <c r="D152" s="1994"/>
      <c r="E152" s="1994"/>
      <c r="F152" s="1994"/>
      <c r="G152" s="1994"/>
      <c r="H152" s="1994"/>
      <c r="I152" s="1994"/>
      <c r="J152" s="1994"/>
      <c r="K152" s="1994"/>
      <c r="L152" s="1994"/>
      <c r="M152" s="1994"/>
    </row>
    <row r="153" spans="1:13">
      <c r="A153" s="1998" t="s">
        <v>2119</v>
      </c>
      <c r="B153" s="1973"/>
      <c r="C153" s="1996"/>
      <c r="D153" s="1994"/>
      <c r="E153" s="1994"/>
      <c r="F153" s="1994"/>
      <c r="G153" s="1994"/>
      <c r="H153" s="1994"/>
      <c r="I153" s="1994"/>
      <c r="J153" s="1994"/>
      <c r="K153" s="1994"/>
      <c r="L153" s="1994"/>
      <c r="M153" s="1994"/>
    </row>
    <row r="154" spans="1:13">
      <c r="A154" s="1997" t="s">
        <v>2118</v>
      </c>
      <c r="B154" s="1984" t="s">
        <v>2117</v>
      </c>
      <c r="C154" s="1996" t="s">
        <v>2116</v>
      </c>
      <c r="D154" s="1994"/>
      <c r="E154" s="1994"/>
      <c r="F154" s="1961">
        <v>311270</v>
      </c>
      <c r="G154" s="1994"/>
      <c r="H154" s="1994"/>
      <c r="I154" s="1961">
        <v>311270</v>
      </c>
      <c r="J154" s="1994"/>
      <c r="K154" s="1994">
        <v>0</v>
      </c>
      <c r="L154" s="1982">
        <f>H154+I152+K154</f>
        <v>0</v>
      </c>
      <c r="M154" s="1990"/>
    </row>
    <row r="155" spans="1:13">
      <c r="A155" s="1997"/>
      <c r="B155" s="1984"/>
      <c r="C155" s="1996" t="s">
        <v>2115</v>
      </c>
      <c r="D155" s="1994"/>
      <c r="E155" s="1994">
        <v>348260</v>
      </c>
      <c r="F155" s="1961">
        <v>0</v>
      </c>
      <c r="G155" s="1994"/>
      <c r="H155" s="1994">
        <v>348260</v>
      </c>
      <c r="I155" s="1961">
        <v>0</v>
      </c>
      <c r="J155" s="1994"/>
      <c r="K155" s="1994">
        <v>0</v>
      </c>
      <c r="L155" s="1982">
        <f>H155+I153+K155</f>
        <v>348260</v>
      </c>
      <c r="M155" s="1990"/>
    </row>
    <row r="156" spans="1:13">
      <c r="C156" s="1996" t="s">
        <v>2114</v>
      </c>
      <c r="D156" s="1994"/>
      <c r="E156" s="1994"/>
      <c r="F156" s="1994"/>
      <c r="G156" s="1994"/>
      <c r="H156" s="1995">
        <v>0</v>
      </c>
      <c r="I156" s="1995"/>
      <c r="J156" s="1994"/>
      <c r="K156" s="1994">
        <v>0</v>
      </c>
      <c r="L156" s="1982">
        <f>H156+I155+K156</f>
        <v>0</v>
      </c>
      <c r="M156" s="1990"/>
    </row>
    <row r="157" spans="1:13" ht="15.75">
      <c r="A157" s="1993"/>
      <c r="B157" s="1988"/>
      <c r="C157" s="1987"/>
      <c r="D157" s="1992"/>
      <c r="E157" s="1986"/>
      <c r="F157" s="1986"/>
      <c r="G157" s="1992"/>
      <c r="H157" s="1986"/>
      <c r="I157" s="1986"/>
      <c r="J157" s="1986"/>
      <c r="K157" s="1986"/>
      <c r="L157" s="1986"/>
      <c r="M157" s="1985"/>
    </row>
    <row r="158" spans="1:13">
      <c r="A158" s="1991"/>
      <c r="B158" s="1984"/>
      <c r="C158" s="1983"/>
      <c r="D158" s="1982"/>
      <c r="E158" s="1982"/>
      <c r="F158" s="1982"/>
      <c r="G158" s="1982"/>
      <c r="H158" s="1982"/>
      <c r="I158" s="1982"/>
      <c r="J158" s="1982"/>
      <c r="K158" s="1982"/>
      <c r="L158" s="1982"/>
      <c r="M158" s="1981"/>
    </row>
    <row r="159" spans="1:13">
      <c r="A159" s="1980" t="s">
        <v>2113</v>
      </c>
      <c r="B159" s="1984"/>
      <c r="C159" s="1983"/>
      <c r="D159" s="1982"/>
      <c r="E159" s="1982">
        <f>SUM(E155:E157,E150)</f>
        <v>3075075</v>
      </c>
      <c r="F159" s="1982">
        <f>SUM(F154:F157,F150)</f>
        <v>2865479</v>
      </c>
      <c r="G159" s="1982"/>
      <c r="H159" s="1982">
        <f>SUM(H155:H157,H150)</f>
        <v>3080398</v>
      </c>
      <c r="I159" s="1982">
        <f>SUM(I154:I157,I150)</f>
        <v>2865016</v>
      </c>
      <c r="J159" s="1982"/>
      <c r="K159" s="1982">
        <f>SUM(K154:K157,K150)</f>
        <v>95023</v>
      </c>
      <c r="L159" s="1982">
        <f>SUM(L154:L157,L150)</f>
        <v>3528777</v>
      </c>
      <c r="M159" s="1990"/>
    </row>
    <row r="160" spans="1:13">
      <c r="A160" s="1989"/>
      <c r="B160" s="1988"/>
      <c r="C160" s="1987"/>
      <c r="D160" s="1986"/>
      <c r="E160" s="1986"/>
      <c r="F160" s="1986"/>
      <c r="G160" s="1986"/>
      <c r="H160" s="1986"/>
      <c r="I160" s="1986"/>
      <c r="J160" s="1986"/>
      <c r="K160" s="1986"/>
      <c r="L160" s="1986"/>
      <c r="M160" s="1985"/>
    </row>
    <row r="161" spans="1:13">
      <c r="A161" s="1963"/>
      <c r="B161" s="1984"/>
      <c r="C161" s="1983"/>
      <c r="D161" s="1982"/>
      <c r="E161" s="1982"/>
      <c r="F161" s="1982"/>
      <c r="G161" s="1982"/>
      <c r="H161" s="1982"/>
      <c r="I161" s="1982"/>
      <c r="J161" s="1982"/>
      <c r="K161" s="1982"/>
      <c r="L161" s="1982"/>
      <c r="M161" s="1981"/>
    </row>
    <row r="162" spans="1:13">
      <c r="E162" s="1958"/>
      <c r="G162" s="1958"/>
      <c r="H162" s="1958"/>
      <c r="J162" s="1958"/>
      <c r="K162" s="1958"/>
      <c r="L162" s="1958"/>
    </row>
    <row r="163" spans="1:13">
      <c r="A163" s="1963"/>
      <c r="B163" s="1984"/>
      <c r="C163" s="1983"/>
      <c r="D163" s="1982"/>
      <c r="E163" s="1982"/>
      <c r="F163" s="1982"/>
      <c r="G163" s="1982"/>
      <c r="H163" s="1982"/>
      <c r="I163" s="1982"/>
      <c r="J163" s="1982"/>
      <c r="K163" s="1982"/>
      <c r="L163" s="1982"/>
      <c r="M163" s="1981"/>
    </row>
    <row r="164" spans="1:13" ht="15.75" thickBot="1">
      <c r="A164" s="1980" t="s">
        <v>2112</v>
      </c>
      <c r="B164" s="1973"/>
      <c r="C164" s="1972"/>
      <c r="D164" s="1979"/>
      <c r="E164" s="1979">
        <f>E159+E135+E88+E129</f>
        <v>8752159.2600000016</v>
      </c>
      <c r="F164" s="1979">
        <f>F159+F135+F88+F129+F127</f>
        <v>7713831</v>
      </c>
      <c r="G164" s="1979"/>
      <c r="H164" s="1979">
        <f>H159+H135+H88+H129</f>
        <v>8353030.2500000009</v>
      </c>
      <c r="I164" s="1979">
        <f>I159+I135+I88+I129</f>
        <v>7877317</v>
      </c>
      <c r="J164" s="1979"/>
      <c r="K164" s="1979">
        <f>K159+K135+K88+K129</f>
        <v>95023</v>
      </c>
      <c r="L164" s="1979">
        <f>L159+L135+L88+L129</f>
        <v>13685984.25</v>
      </c>
      <c r="M164" s="1978" t="s">
        <v>2111</v>
      </c>
    </row>
    <row r="165" spans="1:13" ht="16.5" thickTop="1">
      <c r="A165" s="1965"/>
      <c r="B165" s="1973"/>
      <c r="C165" s="1972"/>
      <c r="D165" s="1976"/>
      <c r="E165" s="1976"/>
      <c r="F165" s="1976"/>
      <c r="G165" s="1976"/>
      <c r="H165" s="1958"/>
      <c r="I165" s="1977"/>
      <c r="J165" s="1977"/>
      <c r="K165" s="1976"/>
      <c r="L165" s="1976"/>
      <c r="M165" s="1976"/>
    </row>
    <row r="166" spans="1:13">
      <c r="A166" s="1965"/>
      <c r="B166" s="1973"/>
      <c r="C166" s="1972"/>
      <c r="D166" s="1976"/>
      <c r="E166" s="1976"/>
      <c r="F166" s="1976"/>
      <c r="G166" s="1976"/>
      <c r="H166" s="1976"/>
      <c r="I166" s="1976"/>
      <c r="J166" s="1976"/>
      <c r="K166" s="1976"/>
      <c r="M166" s="1976"/>
    </row>
    <row r="167" spans="1:13">
      <c r="A167" s="1965"/>
      <c r="B167" s="1973"/>
      <c r="C167" s="1972"/>
      <c r="D167" s="1976"/>
      <c r="E167" s="1976"/>
      <c r="F167" s="1976"/>
      <c r="G167" s="1976"/>
      <c r="H167" s="1976"/>
      <c r="I167" s="1976"/>
      <c r="J167" s="1976"/>
      <c r="K167" s="1976"/>
      <c r="M167" s="1976"/>
    </row>
    <row r="168" spans="1:13" ht="15.75">
      <c r="A168" s="1965" t="s">
        <v>2110</v>
      </c>
      <c r="B168" s="1973"/>
      <c r="C168" s="1972"/>
      <c r="D168" s="1971"/>
      <c r="E168" s="1970"/>
      <c r="F168" s="1970"/>
      <c r="G168" s="1970"/>
      <c r="H168" s="1968"/>
      <c r="I168" s="1968"/>
      <c r="J168" s="1968"/>
      <c r="K168" s="1968"/>
      <c r="L168" s="1975"/>
      <c r="M168" s="1974"/>
    </row>
    <row r="169" spans="1:13" ht="15.75">
      <c r="A169" s="1965" t="s">
        <v>2109</v>
      </c>
      <c r="B169" s="1973"/>
      <c r="C169" s="1972"/>
      <c r="D169" s="1967"/>
      <c r="E169" s="1971"/>
      <c r="F169" s="1971"/>
      <c r="G169" s="1971"/>
      <c r="H169" s="1970"/>
      <c r="I169" s="1969"/>
      <c r="J169" s="1969"/>
      <c r="K169" s="1968"/>
      <c r="L169" s="1968"/>
      <c r="M169" s="1968"/>
    </row>
    <row r="170" spans="1:13">
      <c r="A170" s="1965" t="s">
        <v>2108</v>
      </c>
      <c r="D170" s="1961"/>
      <c r="E170" s="1967"/>
      <c r="F170" s="1967"/>
      <c r="G170" s="1967"/>
      <c r="H170" s="1963"/>
      <c r="I170" s="1962"/>
      <c r="J170" s="1962"/>
      <c r="K170" s="1966"/>
      <c r="L170" s="1966"/>
      <c r="M170" s="1966"/>
    </row>
    <row r="171" spans="1:13">
      <c r="A171" s="1965" t="s">
        <v>2107</v>
      </c>
      <c r="C171" s="1964"/>
      <c r="D171" s="1961"/>
      <c r="E171" s="1961"/>
      <c r="F171" s="1961"/>
      <c r="G171" s="1961"/>
      <c r="H171" s="1963"/>
      <c r="I171" s="1962"/>
      <c r="J171" s="1962"/>
      <c r="K171" s="1961"/>
      <c r="L171" s="1961"/>
      <c r="M171" s="1961"/>
    </row>
    <row r="172" spans="1:13">
      <c r="A172" s="1965"/>
      <c r="C172" s="1964"/>
      <c r="D172" s="1961"/>
      <c r="E172" s="1961"/>
      <c r="F172" s="1961"/>
      <c r="G172" s="1961"/>
      <c r="H172" s="1963"/>
      <c r="I172" s="1962"/>
      <c r="J172" s="1962"/>
      <c r="K172" s="1961"/>
      <c r="L172" s="1961"/>
      <c r="M172" s="1961"/>
    </row>
    <row r="173" spans="1:13">
      <c r="E173" s="1961"/>
      <c r="F173" s="1961"/>
      <c r="G173" s="1961"/>
      <c r="H173" s="1961"/>
      <c r="I173" s="1961"/>
      <c r="J173" s="1961"/>
      <c r="K173" s="1961"/>
      <c r="L173" s="1961"/>
      <c r="M173" s="1961"/>
    </row>
    <row r="174" spans="1:13">
      <c r="E174" s="1958"/>
      <c r="G174" s="1958"/>
      <c r="H174" s="1958"/>
      <c r="I174" s="1960"/>
      <c r="J174" s="1960"/>
      <c r="K174" s="1960"/>
      <c r="L174" s="1960"/>
      <c r="M174" s="1960"/>
    </row>
    <row r="175" spans="1:13">
      <c r="E175" s="1958"/>
      <c r="G175" s="1958"/>
      <c r="H175" s="1958"/>
      <c r="I175" s="1960"/>
      <c r="J175" s="1960"/>
      <c r="K175" s="1960"/>
      <c r="L175" s="1960"/>
      <c r="M175" s="1960"/>
    </row>
    <row r="176" spans="1:13">
      <c r="E176" s="1958"/>
      <c r="G176" s="1958"/>
      <c r="H176" s="1958"/>
    </row>
    <row r="177" spans="5:8">
      <c r="E177" s="1958"/>
      <c r="G177" s="1958"/>
      <c r="H177" s="1958"/>
    </row>
    <row r="178" spans="5:8">
      <c r="E178" s="1958"/>
      <c r="G178" s="1958"/>
      <c r="H178" s="1958"/>
    </row>
    <row r="179" spans="5:8">
      <c r="E179" s="1958"/>
      <c r="G179" s="1958"/>
      <c r="H179" s="1958"/>
    </row>
    <row r="180" spans="5:8">
      <c r="E180" s="1958"/>
      <c r="G180" s="1958"/>
      <c r="H180" s="1958"/>
    </row>
    <row r="181" spans="5:8">
      <c r="E181" s="1958"/>
      <c r="G181" s="1958"/>
      <c r="H181" s="1958"/>
    </row>
    <row r="182" spans="5:8">
      <c r="E182" s="1958"/>
      <c r="G182" s="1958"/>
      <c r="H182" s="1958"/>
    </row>
    <row r="183" spans="5:8">
      <c r="E183" s="1958"/>
      <c r="G183" s="1958"/>
      <c r="H183" s="1958"/>
    </row>
    <row r="184" spans="5:8">
      <c r="E184" s="1958"/>
      <c r="G184" s="1958"/>
      <c r="H184" s="1958"/>
    </row>
    <row r="185" spans="5:8">
      <c r="E185" s="1958"/>
      <c r="G185" s="1958"/>
      <c r="H185" s="1958"/>
    </row>
    <row r="186" spans="5:8">
      <c r="E186" s="1958"/>
      <c r="G186" s="1958"/>
      <c r="H186" s="1958"/>
    </row>
    <row r="187" spans="5:8">
      <c r="E187" s="1958"/>
      <c r="G187" s="1958"/>
      <c r="H187" s="1958"/>
    </row>
    <row r="188" spans="5:8">
      <c r="E188" s="1958"/>
      <c r="G188" s="1958"/>
      <c r="H188" s="1958"/>
    </row>
    <row r="189" spans="5:8">
      <c r="E189" s="1958"/>
      <c r="G189" s="1958"/>
      <c r="H189" s="1958"/>
    </row>
    <row r="190" spans="5:8">
      <c r="E190" s="1958"/>
      <c r="G190" s="1958"/>
      <c r="H190" s="1958"/>
    </row>
    <row r="191" spans="5:8">
      <c r="E191" s="1958"/>
      <c r="G191" s="1958"/>
      <c r="H191" s="1958"/>
    </row>
    <row r="192" spans="5:8">
      <c r="E192" s="1958"/>
      <c r="G192" s="1958"/>
      <c r="H192" s="1958"/>
    </row>
    <row r="193" spans="5:8">
      <c r="E193" s="1958"/>
      <c r="G193" s="1958"/>
      <c r="H193" s="1958"/>
    </row>
    <row r="194" spans="5:8">
      <c r="E194" s="1958"/>
      <c r="G194" s="1958"/>
      <c r="H194" s="1958"/>
    </row>
    <row r="195" spans="5:8">
      <c r="E195" s="1958"/>
      <c r="G195" s="1958"/>
      <c r="H195" s="1958"/>
    </row>
    <row r="196" spans="5:8">
      <c r="E196" s="1958"/>
      <c r="G196" s="1958"/>
      <c r="H196" s="1958"/>
    </row>
    <row r="197" spans="5:8">
      <c r="E197" s="1958"/>
      <c r="G197" s="1958"/>
      <c r="H197" s="1958"/>
    </row>
    <row r="198" spans="5:8">
      <c r="E198" s="1958"/>
      <c r="G198" s="1958"/>
      <c r="H198" s="1958"/>
    </row>
    <row r="199" spans="5:8">
      <c r="E199" s="1958"/>
      <c r="G199" s="1958"/>
      <c r="H199" s="1958"/>
    </row>
    <row r="200" spans="5:8">
      <c r="E200" s="1958"/>
      <c r="G200" s="1958"/>
      <c r="H200" s="1958"/>
    </row>
    <row r="201" spans="5:8">
      <c r="E201" s="1958"/>
      <c r="G201" s="1958"/>
      <c r="H201" s="1958"/>
    </row>
    <row r="202" spans="5:8">
      <c r="E202" s="1958"/>
      <c r="G202" s="1958"/>
      <c r="H202" s="1958"/>
    </row>
    <row r="203" spans="5:8">
      <c r="E203" s="1958"/>
      <c r="G203" s="1958"/>
      <c r="H203" s="1958"/>
    </row>
    <row r="204" spans="5:8">
      <c r="E204" s="1958"/>
      <c r="G204" s="1958"/>
      <c r="H204" s="1958"/>
    </row>
    <row r="205" spans="5:8">
      <c r="E205" s="1958"/>
      <c r="G205" s="1958"/>
      <c r="H205" s="1958"/>
    </row>
    <row r="206" spans="5:8">
      <c r="E206" s="1958"/>
      <c r="G206" s="1958"/>
      <c r="H206" s="1958"/>
    </row>
    <row r="207" spans="5:8">
      <c r="E207" s="1958"/>
      <c r="G207" s="1958"/>
      <c r="H207" s="1958"/>
    </row>
    <row r="208" spans="5:8">
      <c r="E208" s="1958"/>
      <c r="G208" s="1958"/>
      <c r="H208" s="1958"/>
    </row>
    <row r="209" spans="5:8">
      <c r="E209" s="1958"/>
      <c r="G209" s="1958"/>
      <c r="H209" s="1958"/>
    </row>
    <row r="210" spans="5:8">
      <c r="E210" s="1958"/>
      <c r="G210" s="1958"/>
      <c r="H210" s="1958"/>
    </row>
    <row r="211" spans="5:8">
      <c r="E211" s="1958"/>
      <c r="G211" s="1958"/>
      <c r="H211" s="1958"/>
    </row>
    <row r="212" spans="5:8">
      <c r="E212" s="1958"/>
      <c r="G212" s="1958"/>
      <c r="H212" s="1958"/>
    </row>
    <row r="213" spans="5:8">
      <c r="E213" s="1958"/>
      <c r="G213" s="1958"/>
      <c r="H213" s="1958"/>
    </row>
    <row r="214" spans="5:8">
      <c r="E214" s="1958"/>
      <c r="G214" s="1958"/>
      <c r="H214" s="1958"/>
    </row>
    <row r="215" spans="5:8">
      <c r="E215" s="1958"/>
      <c r="G215" s="1958"/>
      <c r="H215" s="1958"/>
    </row>
    <row r="216" spans="5:8">
      <c r="E216" s="1958"/>
      <c r="G216" s="1958"/>
      <c r="H216" s="1958"/>
    </row>
    <row r="217" spans="5:8">
      <c r="E217" s="1958"/>
      <c r="G217" s="1958"/>
      <c r="H217" s="1958"/>
    </row>
    <row r="218" spans="5:8">
      <c r="E218" s="1958"/>
      <c r="G218" s="1958"/>
      <c r="H218" s="1958"/>
    </row>
    <row r="219" spans="5:8">
      <c r="E219" s="1958"/>
      <c r="G219" s="1958"/>
      <c r="H219" s="1958"/>
    </row>
    <row r="220" spans="5:8">
      <c r="E220" s="1958"/>
      <c r="G220" s="1958"/>
      <c r="H220" s="1958"/>
    </row>
    <row r="221" spans="5:8">
      <c r="E221" s="1958"/>
      <c r="G221" s="1958"/>
      <c r="H221" s="1958"/>
    </row>
    <row r="222" spans="5:8">
      <c r="E222" s="1958"/>
      <c r="G222" s="1958"/>
      <c r="H222" s="1958"/>
    </row>
    <row r="223" spans="5:8">
      <c r="E223" s="1958"/>
      <c r="G223" s="1958"/>
      <c r="H223" s="1958"/>
    </row>
    <row r="224" spans="5:8">
      <c r="E224" s="1958"/>
      <c r="G224" s="1958"/>
      <c r="H224" s="1958"/>
    </row>
    <row r="225" spans="5:8">
      <c r="E225" s="1958"/>
      <c r="G225" s="1958"/>
      <c r="H225" s="1958"/>
    </row>
    <row r="226" spans="5:8">
      <c r="E226" s="1958"/>
      <c r="G226" s="1958"/>
      <c r="H226" s="1958"/>
    </row>
    <row r="227" spans="5:8">
      <c r="E227" s="1958"/>
      <c r="G227" s="1958"/>
      <c r="H227" s="1958"/>
    </row>
    <row r="228" spans="5:8">
      <c r="E228" s="1958"/>
      <c r="G228" s="1958"/>
      <c r="H228" s="1958"/>
    </row>
    <row r="229" spans="5:8">
      <c r="E229" s="1958"/>
      <c r="G229" s="1958"/>
      <c r="H229" s="1958"/>
    </row>
    <row r="230" spans="5:8">
      <c r="E230" s="1958"/>
      <c r="G230" s="1958"/>
      <c r="H230" s="1958"/>
    </row>
    <row r="231" spans="5:8">
      <c r="E231" s="1958"/>
      <c r="G231" s="1958"/>
      <c r="H231" s="1958"/>
    </row>
    <row r="232" spans="5:8">
      <c r="E232" s="1958"/>
      <c r="G232" s="1958"/>
      <c r="H232" s="1958"/>
    </row>
    <row r="233" spans="5:8">
      <c r="E233" s="1958"/>
      <c r="G233" s="1958"/>
      <c r="H233" s="1958"/>
    </row>
    <row r="234" spans="5:8">
      <c r="E234" s="1958"/>
      <c r="G234" s="1958"/>
      <c r="H234" s="1958"/>
    </row>
    <row r="235" spans="5:8">
      <c r="E235" s="1958"/>
      <c r="G235" s="1958"/>
      <c r="H235" s="1958"/>
    </row>
    <row r="236" spans="5:8">
      <c r="E236" s="1958"/>
      <c r="G236" s="1958"/>
      <c r="H236" s="1958"/>
    </row>
    <row r="237" spans="5:8">
      <c r="E237" s="1958"/>
      <c r="G237" s="1958"/>
      <c r="H237" s="1958"/>
    </row>
    <row r="238" spans="5:8">
      <c r="E238" s="1958"/>
      <c r="G238" s="1958"/>
      <c r="H238" s="1958"/>
    </row>
    <row r="239" spans="5:8">
      <c r="E239" s="1958"/>
      <c r="G239" s="1958"/>
      <c r="H239" s="1958"/>
    </row>
    <row r="240" spans="5:8">
      <c r="E240" s="1958"/>
      <c r="G240" s="1958"/>
      <c r="H240" s="1958"/>
    </row>
    <row r="241" spans="5:8">
      <c r="E241" s="1958"/>
      <c r="G241" s="1958"/>
      <c r="H241" s="1958"/>
    </row>
    <row r="242" spans="5:8">
      <c r="E242" s="1958"/>
      <c r="G242" s="1958"/>
      <c r="H242" s="1958"/>
    </row>
    <row r="243" spans="5:8">
      <c r="E243" s="1958"/>
      <c r="G243" s="1958"/>
      <c r="H243" s="1958"/>
    </row>
    <row r="244" spans="5:8">
      <c r="E244" s="1958"/>
      <c r="G244" s="1958"/>
      <c r="H244" s="1958"/>
    </row>
    <row r="245" spans="5:8">
      <c r="E245" s="1958"/>
      <c r="G245" s="1958"/>
      <c r="H245" s="1958"/>
    </row>
    <row r="246" spans="5:8">
      <c r="E246" s="1958"/>
      <c r="G246" s="1958"/>
      <c r="H246" s="1958"/>
    </row>
    <row r="247" spans="5:8">
      <c r="E247" s="1958"/>
      <c r="G247" s="1958"/>
      <c r="H247" s="1958"/>
    </row>
    <row r="248" spans="5:8">
      <c r="E248" s="1958"/>
      <c r="G248" s="1958"/>
      <c r="H248" s="1958"/>
    </row>
    <row r="249" spans="5:8">
      <c r="E249" s="1958"/>
      <c r="G249" s="1958"/>
      <c r="H249" s="1958"/>
    </row>
    <row r="250" spans="5:8">
      <c r="E250" s="1958"/>
      <c r="G250" s="1958"/>
      <c r="H250" s="1958"/>
    </row>
    <row r="251" spans="5:8">
      <c r="E251" s="1958"/>
      <c r="G251" s="1958"/>
      <c r="H251" s="1958"/>
    </row>
    <row r="252" spans="5:8">
      <c r="E252" s="1958"/>
      <c r="G252" s="1958"/>
      <c r="H252" s="1958"/>
    </row>
    <row r="253" spans="5:8">
      <c r="E253" s="1958"/>
      <c r="G253" s="1958"/>
      <c r="H253" s="1958"/>
    </row>
    <row r="254" spans="5:8">
      <c r="E254" s="1958"/>
      <c r="G254" s="1958"/>
      <c r="H254" s="1958"/>
    </row>
    <row r="255" spans="5:8">
      <c r="E255" s="1958"/>
      <c r="G255" s="1958"/>
      <c r="H255" s="1958"/>
    </row>
    <row r="256" spans="5:8">
      <c r="E256" s="1958"/>
      <c r="G256" s="1958"/>
      <c r="H256" s="1958"/>
    </row>
    <row r="257" spans="5:8">
      <c r="E257" s="1958"/>
      <c r="G257" s="1958"/>
      <c r="H257" s="1958"/>
    </row>
    <row r="258" spans="5:8">
      <c r="E258" s="1958"/>
      <c r="G258" s="1958"/>
      <c r="H258" s="1958"/>
    </row>
    <row r="259" spans="5:8">
      <c r="E259" s="1958"/>
      <c r="G259" s="1958"/>
      <c r="H259" s="1958"/>
    </row>
    <row r="260" spans="5:8">
      <c r="E260" s="1958"/>
      <c r="G260" s="1958"/>
      <c r="H260" s="1958"/>
    </row>
    <row r="261" spans="5:8">
      <c r="E261" s="1958"/>
      <c r="G261" s="1958"/>
      <c r="H261" s="1958"/>
    </row>
    <row r="262" spans="5:8">
      <c r="E262" s="1958"/>
      <c r="G262" s="1958"/>
      <c r="H262" s="1958"/>
    </row>
    <row r="263" spans="5:8">
      <c r="E263" s="1958"/>
      <c r="G263" s="1958"/>
      <c r="H263" s="1958"/>
    </row>
    <row r="264" spans="5:8">
      <c r="E264" s="1958"/>
      <c r="G264" s="1958"/>
      <c r="H264" s="1958"/>
    </row>
    <row r="265" spans="5:8">
      <c r="E265" s="1958"/>
      <c r="G265" s="1958"/>
      <c r="H265" s="1958"/>
    </row>
    <row r="266" spans="5:8">
      <c r="E266" s="1958"/>
      <c r="G266" s="1958"/>
      <c r="H266" s="1958"/>
    </row>
    <row r="267" spans="5:8">
      <c r="E267" s="1958"/>
      <c r="G267" s="1958"/>
      <c r="H267" s="1958"/>
    </row>
    <row r="268" spans="5:8">
      <c r="E268" s="1958"/>
      <c r="G268" s="1958"/>
      <c r="H268" s="1958"/>
    </row>
    <row r="269" spans="5:8">
      <c r="E269" s="1958"/>
      <c r="G269" s="1958"/>
      <c r="H269" s="1958"/>
    </row>
    <row r="270" spans="5:8">
      <c r="E270" s="1958"/>
      <c r="G270" s="1958"/>
      <c r="H270" s="1958"/>
    </row>
    <row r="271" spans="5:8">
      <c r="E271" s="1958"/>
      <c r="G271" s="1958"/>
      <c r="H271" s="1958"/>
    </row>
    <row r="272" spans="5:8">
      <c r="E272" s="1958"/>
      <c r="G272" s="1958"/>
      <c r="H272" s="1958"/>
    </row>
    <row r="273" spans="5:8">
      <c r="E273" s="1958"/>
      <c r="G273" s="1958"/>
      <c r="H273" s="1958"/>
    </row>
    <row r="274" spans="5:8">
      <c r="E274" s="1958"/>
      <c r="G274" s="1958"/>
      <c r="H274" s="1958"/>
    </row>
    <row r="275" spans="5:8">
      <c r="E275" s="1958"/>
      <c r="G275" s="1958"/>
      <c r="H275" s="1958"/>
    </row>
    <row r="276" spans="5:8">
      <c r="E276" s="1958"/>
      <c r="G276" s="1958"/>
      <c r="H276" s="1958"/>
    </row>
    <row r="277" spans="5:8">
      <c r="E277" s="1958"/>
      <c r="G277" s="1958"/>
      <c r="H277" s="1958"/>
    </row>
    <row r="278" spans="5:8">
      <c r="E278" s="1958"/>
      <c r="G278" s="1958"/>
      <c r="H278" s="1958"/>
    </row>
    <row r="279" spans="5:8">
      <c r="E279" s="1958"/>
      <c r="G279" s="1958"/>
      <c r="H279" s="1958"/>
    </row>
    <row r="280" spans="5:8">
      <c r="E280" s="1958"/>
      <c r="G280" s="1958"/>
      <c r="H280" s="1958"/>
    </row>
    <row r="281" spans="5:8">
      <c r="E281" s="1958"/>
      <c r="G281" s="1958"/>
      <c r="H281" s="1958"/>
    </row>
    <row r="282" spans="5:8">
      <c r="E282" s="1958"/>
      <c r="G282" s="1958"/>
      <c r="H282" s="1958"/>
    </row>
    <row r="283" spans="5:8">
      <c r="E283" s="1958"/>
      <c r="G283" s="1958"/>
      <c r="H283" s="1958"/>
    </row>
    <row r="284" spans="5:8">
      <c r="E284" s="1958"/>
      <c r="G284" s="1958"/>
      <c r="H284" s="1958"/>
    </row>
    <row r="285" spans="5:8">
      <c r="E285" s="1958"/>
      <c r="G285" s="1958"/>
      <c r="H285" s="1958"/>
    </row>
    <row r="286" spans="5:8">
      <c r="E286" s="1958"/>
      <c r="G286" s="1958"/>
      <c r="H286" s="1958"/>
    </row>
    <row r="287" spans="5:8">
      <c r="E287" s="1958"/>
      <c r="G287" s="1958"/>
      <c r="H287" s="1958"/>
    </row>
    <row r="288" spans="5:8">
      <c r="E288" s="1958"/>
      <c r="G288" s="1958"/>
      <c r="H288" s="1958"/>
    </row>
    <row r="289" spans="5:8">
      <c r="E289" s="1958"/>
      <c r="G289" s="1958"/>
      <c r="H289" s="1958"/>
    </row>
    <row r="290" spans="5:8">
      <c r="E290" s="1958"/>
      <c r="G290" s="1958"/>
      <c r="H290" s="1958"/>
    </row>
    <row r="291" spans="5:8">
      <c r="E291" s="1958"/>
      <c r="G291" s="1958"/>
      <c r="H291" s="1958"/>
    </row>
    <row r="292" spans="5:8">
      <c r="E292" s="1958"/>
      <c r="G292" s="1958"/>
      <c r="H292" s="1958"/>
    </row>
    <row r="293" spans="5:8">
      <c r="E293" s="1958"/>
      <c r="G293" s="1958"/>
      <c r="H293" s="1958"/>
    </row>
    <row r="294" spans="5:8">
      <c r="E294" s="1958"/>
      <c r="G294" s="1958"/>
      <c r="H294" s="1958"/>
    </row>
    <row r="295" spans="5:8">
      <c r="E295" s="1958"/>
      <c r="G295" s="1958"/>
      <c r="H295" s="1958"/>
    </row>
    <row r="296" spans="5:8">
      <c r="E296" s="1958"/>
      <c r="G296" s="1958"/>
      <c r="H296" s="1958"/>
    </row>
    <row r="297" spans="5:8">
      <c r="E297" s="1958"/>
      <c r="G297" s="1958"/>
      <c r="H297" s="1958"/>
    </row>
    <row r="298" spans="5:8">
      <c r="E298" s="1958"/>
      <c r="G298" s="1958"/>
      <c r="H298" s="1958"/>
    </row>
    <row r="299" spans="5:8">
      <c r="E299" s="1958"/>
      <c r="G299" s="1958"/>
      <c r="H299" s="1958"/>
    </row>
    <row r="300" spans="5:8">
      <c r="E300" s="1958"/>
      <c r="G300" s="1958"/>
      <c r="H300" s="1958"/>
    </row>
    <row r="301" spans="5:8">
      <c r="E301" s="1958"/>
      <c r="G301" s="1958"/>
      <c r="H301" s="1958"/>
    </row>
    <row r="302" spans="5:8">
      <c r="E302" s="1958"/>
      <c r="G302" s="1958"/>
      <c r="H302" s="1958"/>
    </row>
    <row r="303" spans="5:8">
      <c r="E303" s="1958"/>
      <c r="G303" s="1958"/>
      <c r="H303" s="1958"/>
    </row>
    <row r="304" spans="5:8">
      <c r="E304" s="1958"/>
      <c r="G304" s="1958"/>
      <c r="H304" s="1958"/>
    </row>
    <row r="305" spans="5:8">
      <c r="E305" s="1958"/>
      <c r="G305" s="1958"/>
      <c r="H305" s="1958"/>
    </row>
    <row r="306" spans="5:8">
      <c r="E306" s="1958"/>
      <c r="G306" s="1958"/>
      <c r="H306" s="1958"/>
    </row>
    <row r="307" spans="5:8">
      <c r="E307" s="1958"/>
      <c r="G307" s="1958"/>
      <c r="H307" s="1958"/>
    </row>
    <row r="308" spans="5:8">
      <c r="E308" s="1958"/>
      <c r="G308" s="1958"/>
      <c r="H308" s="1958"/>
    </row>
    <row r="309" spans="5:8">
      <c r="E309" s="1958"/>
      <c r="G309" s="1958"/>
      <c r="H309" s="1958"/>
    </row>
    <row r="310" spans="5:8">
      <c r="E310" s="1958"/>
      <c r="G310" s="1958"/>
      <c r="H310" s="1958"/>
    </row>
    <row r="311" spans="5:8">
      <c r="E311" s="1958"/>
      <c r="G311" s="1958"/>
      <c r="H311" s="1958"/>
    </row>
    <row r="312" spans="5:8">
      <c r="E312" s="1958"/>
      <c r="G312" s="1958"/>
      <c r="H312" s="1958"/>
    </row>
    <row r="313" spans="5:8">
      <c r="E313" s="1958"/>
      <c r="G313" s="1958"/>
      <c r="H313" s="1958"/>
    </row>
    <row r="314" spans="5:8">
      <c r="E314" s="1958"/>
      <c r="G314" s="1958"/>
      <c r="H314" s="1958"/>
    </row>
    <row r="315" spans="5:8">
      <c r="E315" s="1958"/>
      <c r="G315" s="1958"/>
      <c r="H315" s="1958"/>
    </row>
    <row r="316" spans="5:8">
      <c r="E316" s="1958"/>
      <c r="G316" s="1958"/>
      <c r="H316" s="1958"/>
    </row>
    <row r="317" spans="5:8">
      <c r="E317" s="1958"/>
      <c r="G317" s="1958"/>
      <c r="H317" s="1958"/>
    </row>
    <row r="318" spans="5:8">
      <c r="E318" s="1958"/>
      <c r="G318" s="1958"/>
      <c r="H318" s="1958"/>
    </row>
    <row r="319" spans="5:8">
      <c r="E319" s="1958"/>
      <c r="G319" s="1958"/>
      <c r="H319" s="1958"/>
    </row>
    <row r="320" spans="5:8">
      <c r="E320" s="1958"/>
      <c r="G320" s="1958"/>
      <c r="H320" s="1958"/>
    </row>
    <row r="321" spans="5:8">
      <c r="E321" s="1958"/>
      <c r="G321" s="1958"/>
      <c r="H321" s="1958"/>
    </row>
    <row r="322" spans="5:8">
      <c r="E322" s="1958"/>
      <c r="G322" s="1958"/>
      <c r="H322" s="1958"/>
    </row>
    <row r="323" spans="5:8">
      <c r="E323" s="1958"/>
      <c r="G323" s="1958"/>
      <c r="H323" s="1958"/>
    </row>
    <row r="324" spans="5:8">
      <c r="E324" s="1958"/>
      <c r="G324" s="1958"/>
      <c r="H324" s="1958"/>
    </row>
    <row r="325" spans="5:8">
      <c r="E325" s="1958"/>
      <c r="G325" s="1958"/>
      <c r="H325" s="1958"/>
    </row>
    <row r="326" spans="5:8">
      <c r="E326" s="1958"/>
      <c r="G326" s="1958"/>
      <c r="H326" s="1958"/>
    </row>
    <row r="327" spans="5:8">
      <c r="E327" s="1958"/>
      <c r="G327" s="1958"/>
      <c r="H327" s="1958"/>
    </row>
    <row r="328" spans="5:8">
      <c r="E328" s="1958"/>
      <c r="G328" s="1958"/>
      <c r="H328" s="1958"/>
    </row>
    <row r="329" spans="5:8">
      <c r="E329" s="1958"/>
      <c r="G329" s="1958"/>
      <c r="H329" s="1958"/>
    </row>
    <row r="330" spans="5:8">
      <c r="E330" s="1958"/>
      <c r="G330" s="1958"/>
      <c r="H330" s="1958"/>
    </row>
    <row r="331" spans="5:8">
      <c r="E331" s="1958"/>
      <c r="G331" s="1958"/>
      <c r="H331" s="1958"/>
    </row>
    <row r="332" spans="5:8">
      <c r="E332" s="1958"/>
      <c r="G332" s="1958"/>
      <c r="H332" s="1958"/>
    </row>
    <row r="333" spans="5:8">
      <c r="E333" s="1958"/>
      <c r="G333" s="1958"/>
      <c r="H333" s="1958"/>
    </row>
    <row r="334" spans="5:8">
      <c r="E334" s="1958"/>
      <c r="G334" s="1958"/>
      <c r="H334" s="1958"/>
    </row>
    <row r="335" spans="5:8">
      <c r="E335" s="1958"/>
      <c r="G335" s="1958"/>
      <c r="H335" s="1958"/>
    </row>
    <row r="336" spans="5:8">
      <c r="E336" s="1958"/>
      <c r="G336" s="1958"/>
      <c r="H336" s="1958"/>
    </row>
    <row r="337" spans="5:8">
      <c r="E337" s="1958"/>
      <c r="G337" s="1958"/>
      <c r="H337" s="1958"/>
    </row>
    <row r="338" spans="5:8">
      <c r="E338" s="1958"/>
      <c r="G338" s="1958"/>
      <c r="H338" s="1958"/>
    </row>
    <row r="339" spans="5:8">
      <c r="E339" s="1958"/>
      <c r="G339" s="1958"/>
      <c r="H339" s="1958"/>
    </row>
    <row r="340" spans="5:8">
      <c r="E340" s="1958"/>
      <c r="G340" s="1958"/>
      <c r="H340" s="1958"/>
    </row>
    <row r="341" spans="5:8">
      <c r="E341" s="1958"/>
      <c r="G341" s="1958"/>
      <c r="H341" s="1958"/>
    </row>
    <row r="342" spans="5:8">
      <c r="E342" s="1958"/>
      <c r="G342" s="1958"/>
      <c r="H342" s="1958"/>
    </row>
    <row r="343" spans="5:8">
      <c r="E343" s="1958"/>
      <c r="G343" s="1958"/>
      <c r="H343" s="1958"/>
    </row>
    <row r="344" spans="5:8">
      <c r="E344" s="1958"/>
      <c r="G344" s="1958"/>
      <c r="H344" s="1958"/>
    </row>
    <row r="345" spans="5:8">
      <c r="E345" s="1958"/>
      <c r="G345" s="1958"/>
      <c r="H345" s="1958"/>
    </row>
    <row r="346" spans="5:8">
      <c r="E346" s="1958"/>
      <c r="G346" s="1958"/>
      <c r="H346" s="1958"/>
    </row>
    <row r="347" spans="5:8">
      <c r="E347" s="1958"/>
      <c r="G347" s="1958"/>
      <c r="H347" s="1958"/>
    </row>
    <row r="348" spans="5:8">
      <c r="E348" s="1958"/>
      <c r="G348" s="1958"/>
      <c r="H348" s="1958"/>
    </row>
    <row r="349" spans="5:8">
      <c r="E349" s="1958"/>
      <c r="G349" s="1958"/>
      <c r="H349" s="1958"/>
    </row>
    <row r="350" spans="5:8">
      <c r="E350" s="1958"/>
      <c r="G350" s="1958"/>
      <c r="H350" s="1958"/>
    </row>
    <row r="351" spans="5:8">
      <c r="E351" s="1958"/>
      <c r="G351" s="1958"/>
      <c r="H351" s="1958"/>
    </row>
    <row r="352" spans="5:8">
      <c r="E352" s="1958"/>
      <c r="G352" s="1958"/>
      <c r="H352" s="1958"/>
    </row>
    <row r="353" spans="5:8">
      <c r="E353" s="1958"/>
      <c r="G353" s="1958"/>
      <c r="H353" s="1958"/>
    </row>
    <row r="354" spans="5:8">
      <c r="E354" s="1958"/>
      <c r="G354" s="1958"/>
      <c r="H354" s="1958"/>
    </row>
    <row r="355" spans="5:8">
      <c r="E355" s="1958"/>
      <c r="G355" s="1958"/>
      <c r="H355" s="1958"/>
    </row>
    <row r="356" spans="5:8">
      <c r="E356" s="1958"/>
      <c r="G356" s="1958"/>
      <c r="H356" s="1958"/>
    </row>
    <row r="357" spans="5:8">
      <c r="E357" s="1958"/>
      <c r="G357" s="1958"/>
      <c r="H357" s="1958"/>
    </row>
    <row r="358" spans="5:8">
      <c r="E358" s="1958"/>
      <c r="G358" s="1958"/>
      <c r="H358" s="1958"/>
    </row>
    <row r="359" spans="5:8">
      <c r="E359" s="1958"/>
      <c r="G359" s="1958"/>
      <c r="H359" s="1958"/>
    </row>
    <row r="360" spans="5:8">
      <c r="E360" s="1958"/>
      <c r="G360" s="1958"/>
      <c r="H360" s="1958"/>
    </row>
    <row r="361" spans="5:8">
      <c r="E361" s="1958"/>
      <c r="G361" s="1958"/>
      <c r="H361" s="1958"/>
    </row>
    <row r="362" spans="5:8">
      <c r="E362" s="1958"/>
      <c r="G362" s="1958"/>
      <c r="H362" s="1958"/>
    </row>
    <row r="363" spans="5:8">
      <c r="E363" s="1958"/>
      <c r="G363" s="1958"/>
      <c r="H363" s="1958"/>
    </row>
    <row r="364" spans="5:8">
      <c r="E364" s="1958"/>
      <c r="G364" s="1958"/>
      <c r="H364" s="1958"/>
    </row>
    <row r="365" spans="5:8">
      <c r="E365" s="1958"/>
      <c r="G365" s="1958"/>
      <c r="H365" s="1958"/>
    </row>
    <row r="366" spans="5:8">
      <c r="E366" s="1958"/>
      <c r="G366" s="1958"/>
      <c r="H366" s="1958"/>
    </row>
    <row r="367" spans="5:8">
      <c r="E367" s="1958"/>
      <c r="G367" s="1958"/>
      <c r="H367" s="1958"/>
    </row>
    <row r="368" spans="5:8">
      <c r="E368" s="1958"/>
      <c r="G368" s="1958"/>
      <c r="H368" s="1958"/>
    </row>
    <row r="369" spans="5:8">
      <c r="E369" s="1958"/>
      <c r="G369" s="1958"/>
      <c r="H369" s="1958"/>
    </row>
    <row r="370" spans="5:8">
      <c r="E370" s="1958"/>
      <c r="G370" s="1958"/>
      <c r="H370" s="1958"/>
    </row>
    <row r="371" spans="5:8">
      <c r="E371" s="1958"/>
      <c r="G371" s="1958"/>
      <c r="H371" s="1958"/>
    </row>
    <row r="372" spans="5:8">
      <c r="E372" s="1958"/>
      <c r="G372" s="1958"/>
      <c r="H372" s="1958"/>
    </row>
    <row r="373" spans="5:8">
      <c r="E373" s="1958"/>
      <c r="G373" s="1958"/>
      <c r="H373" s="1958"/>
    </row>
    <row r="374" spans="5:8">
      <c r="E374" s="1958"/>
      <c r="G374" s="1958"/>
      <c r="H374" s="1958"/>
    </row>
    <row r="375" spans="5:8">
      <c r="E375" s="1958"/>
      <c r="G375" s="1958"/>
      <c r="H375" s="1958"/>
    </row>
    <row r="376" spans="5:8">
      <c r="E376" s="1958"/>
      <c r="G376" s="1958"/>
      <c r="H376" s="1958"/>
    </row>
    <row r="377" spans="5:8">
      <c r="E377" s="1958"/>
      <c r="G377" s="1958"/>
      <c r="H377" s="1958"/>
    </row>
    <row r="378" spans="5:8">
      <c r="E378" s="1958"/>
      <c r="G378" s="1958"/>
      <c r="H378" s="1958"/>
    </row>
    <row r="379" spans="5:8">
      <c r="E379" s="1958"/>
      <c r="G379" s="1958"/>
      <c r="H379" s="1958"/>
    </row>
    <row r="380" spans="5:8">
      <c r="E380" s="1958"/>
      <c r="G380" s="1958"/>
      <c r="H380" s="1958"/>
    </row>
    <row r="381" spans="5:8">
      <c r="E381" s="1958"/>
      <c r="G381" s="1958"/>
      <c r="H381" s="1958"/>
    </row>
    <row r="382" spans="5:8">
      <c r="E382" s="1958"/>
      <c r="G382" s="1958"/>
      <c r="H382" s="1958"/>
    </row>
    <row r="383" spans="5:8">
      <c r="E383" s="1958"/>
      <c r="G383" s="1958"/>
      <c r="H383" s="1958"/>
    </row>
    <row r="384" spans="5:8">
      <c r="E384" s="1958"/>
      <c r="G384" s="1958"/>
      <c r="H384" s="1958"/>
    </row>
    <row r="385" spans="5:8">
      <c r="E385" s="1958"/>
      <c r="G385" s="1958"/>
      <c r="H385" s="1958"/>
    </row>
    <row r="386" spans="5:8">
      <c r="E386" s="1958"/>
      <c r="G386" s="1958"/>
      <c r="H386" s="1958"/>
    </row>
    <row r="387" spans="5:8">
      <c r="E387" s="1958"/>
      <c r="G387" s="1958"/>
      <c r="H387" s="1958"/>
    </row>
    <row r="388" spans="5:8">
      <c r="E388" s="1958"/>
      <c r="G388" s="1958"/>
      <c r="H388" s="1958"/>
    </row>
    <row r="389" spans="5:8">
      <c r="E389" s="1958"/>
      <c r="G389" s="1958"/>
      <c r="H389" s="1958"/>
    </row>
    <row r="390" spans="5:8">
      <c r="E390" s="1958"/>
      <c r="G390" s="1958"/>
      <c r="H390" s="1958"/>
    </row>
    <row r="391" spans="5:8">
      <c r="E391" s="1958"/>
      <c r="G391" s="1958"/>
      <c r="H391" s="1958"/>
    </row>
    <row r="392" spans="5:8">
      <c r="E392" s="1958"/>
      <c r="G392" s="1958"/>
      <c r="H392" s="1958"/>
    </row>
    <row r="393" spans="5:8">
      <c r="E393" s="1958"/>
      <c r="G393" s="1958"/>
      <c r="H393" s="1958"/>
    </row>
    <row r="394" spans="5:8">
      <c r="E394" s="1958"/>
      <c r="G394" s="1958"/>
      <c r="H394" s="1958"/>
    </row>
    <row r="395" spans="5:8">
      <c r="E395" s="1958"/>
      <c r="G395" s="1958"/>
      <c r="H395" s="1958"/>
    </row>
    <row r="396" spans="5:8">
      <c r="E396" s="1958"/>
      <c r="G396" s="1958"/>
      <c r="H396" s="1958"/>
    </row>
    <row r="397" spans="5:8">
      <c r="E397" s="1958"/>
      <c r="G397" s="1958"/>
      <c r="H397" s="1958"/>
    </row>
    <row r="398" spans="5:8">
      <c r="E398" s="1958"/>
      <c r="G398" s="1958"/>
      <c r="H398" s="1958"/>
    </row>
    <row r="399" spans="5:8">
      <c r="E399" s="1958"/>
      <c r="G399" s="1958"/>
      <c r="H399" s="1958"/>
    </row>
    <row r="400" spans="5:8">
      <c r="E400" s="1958"/>
      <c r="G400" s="1958"/>
      <c r="H400" s="1958"/>
    </row>
    <row r="401" spans="5:8">
      <c r="E401" s="1958"/>
      <c r="G401" s="1958"/>
      <c r="H401" s="1958"/>
    </row>
    <row r="402" spans="5:8">
      <c r="E402" s="1958"/>
      <c r="G402" s="1958"/>
      <c r="H402" s="1958"/>
    </row>
    <row r="403" spans="5:8">
      <c r="E403" s="1958"/>
      <c r="G403" s="1958"/>
      <c r="H403" s="1958"/>
    </row>
    <row r="404" spans="5:8">
      <c r="E404" s="1958"/>
      <c r="G404" s="1958"/>
      <c r="H404" s="1958"/>
    </row>
    <row r="405" spans="5:8">
      <c r="E405" s="1958"/>
      <c r="G405" s="1958"/>
      <c r="H405" s="1958"/>
    </row>
    <row r="406" spans="5:8">
      <c r="E406" s="1958"/>
      <c r="G406" s="1958"/>
      <c r="H406" s="1958"/>
    </row>
    <row r="407" spans="5:8">
      <c r="E407" s="1958"/>
      <c r="G407" s="1958"/>
      <c r="H407" s="1958"/>
    </row>
    <row r="408" spans="5:8">
      <c r="E408" s="1958"/>
      <c r="G408" s="1958"/>
      <c r="H408" s="1958"/>
    </row>
    <row r="409" spans="5:8">
      <c r="E409" s="1958"/>
      <c r="G409" s="1958"/>
      <c r="H409" s="1958"/>
    </row>
    <row r="410" spans="5:8">
      <c r="E410" s="1958"/>
      <c r="G410" s="1958"/>
      <c r="H410" s="1958"/>
    </row>
    <row r="411" spans="5:8">
      <c r="E411" s="1958"/>
      <c r="G411" s="1958"/>
      <c r="H411" s="1958"/>
    </row>
    <row r="412" spans="5:8">
      <c r="E412" s="1958"/>
      <c r="G412" s="1958"/>
      <c r="H412" s="1958"/>
    </row>
    <row r="413" spans="5:8">
      <c r="E413" s="1958"/>
      <c r="G413" s="1958"/>
      <c r="H413" s="1958"/>
    </row>
    <row r="414" spans="5:8">
      <c r="E414" s="1958"/>
      <c r="G414" s="1958"/>
      <c r="H414" s="1958"/>
    </row>
    <row r="415" spans="5:8">
      <c r="E415" s="1958"/>
      <c r="G415" s="1958"/>
      <c r="H415" s="1958"/>
    </row>
    <row r="416" spans="5:8">
      <c r="E416" s="1958"/>
      <c r="G416" s="1958"/>
      <c r="H416" s="1958"/>
    </row>
    <row r="417" spans="5:8">
      <c r="E417" s="1958"/>
      <c r="G417" s="1958"/>
      <c r="H417" s="1958"/>
    </row>
    <row r="418" spans="5:8">
      <c r="E418" s="1958"/>
      <c r="G418" s="1958"/>
      <c r="H418" s="1958"/>
    </row>
    <row r="419" spans="5:8">
      <c r="E419" s="1958"/>
      <c r="G419" s="1958"/>
      <c r="H419" s="1958"/>
    </row>
    <row r="420" spans="5:8">
      <c r="E420" s="1958"/>
      <c r="G420" s="1958"/>
      <c r="H420" s="1958"/>
    </row>
    <row r="421" spans="5:8">
      <c r="E421" s="1958"/>
      <c r="G421" s="1958"/>
      <c r="H421" s="1958"/>
    </row>
    <row r="422" spans="5:8">
      <c r="E422" s="1958"/>
      <c r="G422" s="1958"/>
      <c r="H422" s="1958"/>
    </row>
    <row r="423" spans="5:8">
      <c r="E423" s="1958"/>
      <c r="G423" s="1958"/>
      <c r="H423" s="1958"/>
    </row>
    <row r="424" spans="5:8">
      <c r="E424" s="1958"/>
      <c r="G424" s="1958"/>
      <c r="H424" s="1958"/>
    </row>
    <row r="425" spans="5:8">
      <c r="E425" s="1958"/>
      <c r="G425" s="1958"/>
      <c r="H425" s="1958"/>
    </row>
    <row r="426" spans="5:8">
      <c r="E426" s="1958"/>
      <c r="G426" s="1958"/>
      <c r="H426" s="1958"/>
    </row>
    <row r="427" spans="5:8">
      <c r="E427" s="1958"/>
      <c r="G427" s="1958"/>
      <c r="H427" s="1958"/>
    </row>
    <row r="428" spans="5:8">
      <c r="E428" s="1958"/>
      <c r="G428" s="1958"/>
      <c r="H428" s="1958"/>
    </row>
    <row r="429" spans="5:8">
      <c r="E429" s="1958"/>
      <c r="G429" s="1958"/>
      <c r="H429" s="1958"/>
    </row>
    <row r="430" spans="5:8">
      <c r="E430" s="1958"/>
      <c r="G430" s="1958"/>
      <c r="H430" s="1958"/>
    </row>
    <row r="431" spans="5:8">
      <c r="E431" s="1958"/>
      <c r="G431" s="1958"/>
      <c r="H431" s="1958"/>
    </row>
    <row r="432" spans="5:8">
      <c r="E432" s="1958"/>
      <c r="G432" s="1958"/>
      <c r="H432" s="1958"/>
    </row>
    <row r="433" spans="5:8">
      <c r="E433" s="1958"/>
      <c r="G433" s="1958"/>
      <c r="H433" s="1958"/>
    </row>
    <row r="434" spans="5:8">
      <c r="E434" s="1958"/>
      <c r="G434" s="1958"/>
      <c r="H434" s="1958"/>
    </row>
    <row r="435" spans="5:8">
      <c r="E435" s="1958"/>
      <c r="G435" s="1958"/>
      <c r="H435" s="1958"/>
    </row>
    <row r="436" spans="5:8">
      <c r="E436" s="1958"/>
      <c r="G436" s="1958"/>
      <c r="H436" s="1958"/>
    </row>
    <row r="437" spans="5:8">
      <c r="E437" s="1958"/>
      <c r="G437" s="1958"/>
      <c r="H437" s="1958"/>
    </row>
    <row r="438" spans="5:8">
      <c r="E438" s="1958"/>
      <c r="G438" s="1958"/>
      <c r="H438" s="1958"/>
    </row>
    <row r="439" spans="5:8">
      <c r="E439" s="1958"/>
      <c r="G439" s="1958"/>
      <c r="H439" s="1958"/>
    </row>
    <row r="440" spans="5:8">
      <c r="E440" s="1958"/>
      <c r="G440" s="1958"/>
      <c r="H440" s="1958"/>
    </row>
    <row r="441" spans="5:8">
      <c r="E441" s="1958"/>
      <c r="G441" s="1958"/>
      <c r="H441" s="1958"/>
    </row>
    <row r="442" spans="5:8">
      <c r="E442" s="1958"/>
      <c r="G442" s="1958"/>
      <c r="H442" s="1958"/>
    </row>
    <row r="443" spans="5:8">
      <c r="E443" s="1958"/>
      <c r="G443" s="1958"/>
      <c r="H443" s="1958"/>
    </row>
    <row r="444" spans="5:8">
      <c r="E444" s="1958"/>
      <c r="G444" s="1958"/>
      <c r="H444" s="1958"/>
    </row>
    <row r="445" spans="5:8">
      <c r="E445" s="1958"/>
      <c r="G445" s="1958"/>
      <c r="H445" s="1958"/>
    </row>
    <row r="446" spans="5:8">
      <c r="E446" s="1958"/>
      <c r="G446" s="1958"/>
      <c r="H446" s="1958"/>
    </row>
    <row r="447" spans="5:8">
      <c r="E447" s="1958"/>
      <c r="G447" s="1958"/>
      <c r="H447" s="1958"/>
    </row>
    <row r="448" spans="5:8">
      <c r="E448" s="1958"/>
      <c r="G448" s="1958"/>
      <c r="H448" s="1958"/>
    </row>
    <row r="449" spans="5:8">
      <c r="E449" s="1958"/>
      <c r="G449" s="1958"/>
      <c r="H449" s="1958"/>
    </row>
    <row r="450" spans="5:8">
      <c r="E450" s="1958"/>
      <c r="G450" s="1958"/>
      <c r="H450" s="1958"/>
    </row>
    <row r="451" spans="5:8">
      <c r="E451" s="1958"/>
      <c r="G451" s="1958"/>
      <c r="H451" s="1958"/>
    </row>
    <row r="452" spans="5:8">
      <c r="E452" s="1958"/>
      <c r="G452" s="1958"/>
      <c r="H452" s="1958"/>
    </row>
    <row r="453" spans="5:8">
      <c r="E453" s="1958"/>
      <c r="G453" s="1958"/>
      <c r="H453" s="1958"/>
    </row>
    <row r="454" spans="5:8">
      <c r="E454" s="1958"/>
      <c r="G454" s="1958"/>
      <c r="H454" s="1958"/>
    </row>
    <row r="455" spans="5:8">
      <c r="E455" s="1958"/>
      <c r="G455" s="1958"/>
      <c r="H455" s="1958"/>
    </row>
    <row r="456" spans="5:8">
      <c r="E456" s="1958"/>
      <c r="G456" s="1958"/>
      <c r="H456" s="1958"/>
    </row>
    <row r="457" spans="5:8">
      <c r="E457" s="1958"/>
      <c r="G457" s="1958"/>
      <c r="H457" s="1958"/>
    </row>
    <row r="458" spans="5:8">
      <c r="E458" s="1958"/>
      <c r="G458" s="1958"/>
      <c r="H458" s="1958"/>
    </row>
    <row r="459" spans="5:8">
      <c r="E459" s="1958"/>
      <c r="G459" s="1958"/>
      <c r="H459" s="1958"/>
    </row>
    <row r="460" spans="5:8">
      <c r="E460" s="1958"/>
      <c r="G460" s="1958"/>
      <c r="H460" s="1958"/>
    </row>
    <row r="461" spans="5:8">
      <c r="E461" s="1958"/>
      <c r="G461" s="1958"/>
      <c r="H461" s="1958"/>
    </row>
    <row r="462" spans="5:8">
      <c r="E462" s="1958"/>
      <c r="G462" s="1958"/>
      <c r="H462" s="1958"/>
    </row>
    <row r="463" spans="5:8">
      <c r="E463" s="1958"/>
      <c r="G463" s="1958"/>
      <c r="H463" s="1958"/>
    </row>
    <row r="464" spans="5:8">
      <c r="E464" s="1958"/>
      <c r="G464" s="1958"/>
      <c r="H464" s="1958"/>
    </row>
    <row r="465" spans="5:8">
      <c r="E465" s="1958"/>
      <c r="G465" s="1958"/>
      <c r="H465" s="1958"/>
    </row>
    <row r="466" spans="5:8">
      <c r="E466" s="1958"/>
      <c r="G466" s="1958"/>
      <c r="H466" s="1958"/>
    </row>
    <row r="467" spans="5:8">
      <c r="E467" s="1958"/>
      <c r="G467" s="1958"/>
      <c r="H467" s="1958"/>
    </row>
    <row r="468" spans="5:8">
      <c r="E468" s="1958"/>
      <c r="G468" s="1958"/>
      <c r="H468" s="1958"/>
    </row>
    <row r="469" spans="5:8">
      <c r="E469" s="1958"/>
      <c r="G469" s="1958"/>
      <c r="H469" s="1958"/>
    </row>
    <row r="470" spans="5:8">
      <c r="E470" s="1958"/>
      <c r="G470" s="1958"/>
      <c r="H470" s="1958"/>
    </row>
    <row r="471" spans="5:8">
      <c r="E471" s="1958"/>
      <c r="G471" s="1958"/>
      <c r="H471" s="1958"/>
    </row>
    <row r="472" spans="5:8">
      <c r="E472" s="1958"/>
      <c r="G472" s="1958"/>
      <c r="H472" s="1958"/>
    </row>
    <row r="473" spans="5:8">
      <c r="E473" s="1958"/>
      <c r="G473" s="1958"/>
      <c r="H473" s="1958"/>
    </row>
    <row r="474" spans="5:8">
      <c r="E474" s="1958"/>
      <c r="G474" s="1958"/>
      <c r="H474" s="1958"/>
    </row>
    <row r="475" spans="5:8">
      <c r="E475" s="1958"/>
      <c r="G475" s="1958"/>
      <c r="H475" s="1958"/>
    </row>
    <row r="476" spans="5:8">
      <c r="E476" s="1958"/>
      <c r="G476" s="1958"/>
      <c r="H476" s="1958"/>
    </row>
    <row r="477" spans="5:8">
      <c r="E477" s="1958"/>
      <c r="G477" s="1958"/>
      <c r="H477" s="1958"/>
    </row>
    <row r="478" spans="5:8">
      <c r="E478" s="1958"/>
      <c r="G478" s="1958"/>
      <c r="H478" s="1958"/>
    </row>
    <row r="479" spans="5:8">
      <c r="E479" s="1958"/>
      <c r="G479" s="1958"/>
      <c r="H479" s="1958"/>
    </row>
    <row r="480" spans="5:8">
      <c r="E480" s="1958"/>
      <c r="G480" s="1958"/>
      <c r="H480" s="1958"/>
    </row>
    <row r="481" spans="5:8">
      <c r="E481" s="1958"/>
      <c r="G481" s="1958"/>
      <c r="H481" s="1958"/>
    </row>
    <row r="482" spans="5:8">
      <c r="E482" s="1958"/>
      <c r="G482" s="1958"/>
      <c r="H482" s="1958"/>
    </row>
    <row r="483" spans="5:8">
      <c r="E483" s="1958"/>
      <c r="G483" s="1958"/>
      <c r="H483" s="1958"/>
    </row>
    <row r="484" spans="5:8">
      <c r="E484" s="1958"/>
      <c r="G484" s="1958"/>
      <c r="H484" s="1958"/>
    </row>
    <row r="485" spans="5:8">
      <c r="E485" s="1958"/>
      <c r="G485" s="1958"/>
      <c r="H485" s="1958"/>
    </row>
    <row r="486" spans="5:8">
      <c r="E486" s="1958"/>
      <c r="G486" s="1958"/>
      <c r="H486" s="1958"/>
    </row>
    <row r="487" spans="5:8">
      <c r="E487" s="1958"/>
      <c r="G487" s="1958"/>
      <c r="H487" s="1958"/>
    </row>
    <row r="488" spans="5:8">
      <c r="E488" s="1958"/>
      <c r="G488" s="1958"/>
      <c r="H488" s="1958"/>
    </row>
    <row r="489" spans="5:8">
      <c r="E489" s="1958"/>
      <c r="G489" s="1958"/>
      <c r="H489" s="1958"/>
    </row>
    <row r="490" spans="5:8">
      <c r="E490" s="1958"/>
      <c r="G490" s="1958"/>
      <c r="H490" s="1958"/>
    </row>
    <row r="491" spans="5:8">
      <c r="E491" s="1958"/>
      <c r="G491" s="1958"/>
      <c r="H491" s="1958"/>
    </row>
    <row r="492" spans="5:8">
      <c r="E492" s="1958"/>
      <c r="G492" s="1958"/>
      <c r="H492" s="1958"/>
    </row>
    <row r="493" spans="5:8">
      <c r="E493" s="1958"/>
      <c r="G493" s="1958"/>
      <c r="H493" s="1958"/>
    </row>
    <row r="494" spans="5:8">
      <c r="E494" s="1958"/>
      <c r="G494" s="1958"/>
      <c r="H494" s="1958"/>
    </row>
    <row r="495" spans="5:8">
      <c r="E495" s="1958"/>
      <c r="G495" s="1958"/>
      <c r="H495" s="1958"/>
    </row>
    <row r="496" spans="5:8">
      <c r="E496" s="1958"/>
      <c r="G496" s="1958"/>
      <c r="H496" s="1958"/>
    </row>
    <row r="497" spans="5:8">
      <c r="E497" s="1958"/>
      <c r="G497" s="1958"/>
      <c r="H497" s="1958"/>
    </row>
    <row r="498" spans="5:8">
      <c r="E498" s="1958"/>
      <c r="G498" s="1958"/>
      <c r="H498" s="1958"/>
    </row>
    <row r="499" spans="5:8">
      <c r="E499" s="1958"/>
      <c r="G499" s="1958"/>
      <c r="H499" s="1958"/>
    </row>
    <row r="500" spans="5:8">
      <c r="E500" s="1958"/>
      <c r="G500" s="1958"/>
      <c r="H500" s="1958"/>
    </row>
    <row r="501" spans="5:8">
      <c r="E501" s="1958"/>
      <c r="G501" s="1958"/>
      <c r="H501" s="1958"/>
    </row>
    <row r="502" spans="5:8">
      <c r="E502" s="1958"/>
      <c r="G502" s="1958"/>
      <c r="H502" s="1958"/>
    </row>
    <row r="503" spans="5:8">
      <c r="E503" s="1958"/>
      <c r="G503" s="1958"/>
      <c r="H503" s="1958"/>
    </row>
    <row r="504" spans="5:8">
      <c r="E504" s="1958"/>
      <c r="G504" s="1958"/>
      <c r="H504" s="1958"/>
    </row>
    <row r="505" spans="5:8">
      <c r="E505" s="1958"/>
      <c r="G505" s="1958"/>
      <c r="H505" s="1958"/>
    </row>
    <row r="506" spans="5:8">
      <c r="E506" s="1958"/>
      <c r="G506" s="1958"/>
      <c r="H506" s="1958"/>
    </row>
    <row r="507" spans="5:8">
      <c r="E507" s="1958"/>
      <c r="G507" s="1958"/>
      <c r="H507" s="1958"/>
    </row>
    <row r="508" spans="5:8">
      <c r="E508" s="1958"/>
      <c r="G508" s="1958"/>
      <c r="H508" s="1958"/>
    </row>
    <row r="509" spans="5:8">
      <c r="E509" s="1958"/>
      <c r="G509" s="1958"/>
      <c r="H509" s="1958"/>
    </row>
    <row r="510" spans="5:8">
      <c r="E510" s="1958"/>
      <c r="G510" s="1958"/>
      <c r="H510" s="1958"/>
    </row>
    <row r="511" spans="5:8">
      <c r="E511" s="1958"/>
      <c r="G511" s="1958"/>
      <c r="H511" s="1958"/>
    </row>
    <row r="512" spans="5:8">
      <c r="E512" s="1958"/>
      <c r="G512" s="1958"/>
      <c r="H512" s="1958"/>
    </row>
    <row r="513" spans="5:8">
      <c r="E513" s="1958"/>
      <c r="G513" s="1958"/>
      <c r="H513" s="1958"/>
    </row>
    <row r="514" spans="5:8">
      <c r="E514" s="1958"/>
      <c r="G514" s="1958"/>
      <c r="H514" s="1958"/>
    </row>
    <row r="515" spans="5:8">
      <c r="E515" s="1958"/>
      <c r="G515" s="1958"/>
      <c r="H515" s="1958"/>
    </row>
    <row r="516" spans="5:8">
      <c r="E516" s="1958"/>
      <c r="G516" s="1958"/>
      <c r="H516" s="1958"/>
    </row>
    <row r="517" spans="5:8">
      <c r="E517" s="1958"/>
      <c r="G517" s="1958"/>
      <c r="H517" s="1958"/>
    </row>
    <row r="518" spans="5:8">
      <c r="E518" s="1958"/>
      <c r="G518" s="1958"/>
      <c r="H518" s="1958"/>
    </row>
    <row r="519" spans="5:8">
      <c r="E519" s="1958"/>
      <c r="G519" s="1958"/>
      <c r="H519" s="1958"/>
    </row>
    <row r="520" spans="5:8">
      <c r="E520" s="1958"/>
      <c r="G520" s="1958"/>
      <c r="H520" s="1958"/>
    </row>
    <row r="521" spans="5:8">
      <c r="E521" s="1958"/>
      <c r="G521" s="1958"/>
      <c r="H521" s="1958"/>
    </row>
    <row r="522" spans="5:8">
      <c r="E522" s="1958"/>
      <c r="G522" s="1958"/>
      <c r="H522" s="1958"/>
    </row>
    <row r="523" spans="5:8">
      <c r="E523" s="1958"/>
      <c r="G523" s="1958"/>
      <c r="H523" s="1958"/>
    </row>
    <row r="524" spans="5:8">
      <c r="E524" s="1958"/>
      <c r="G524" s="1958"/>
      <c r="H524" s="1958"/>
    </row>
    <row r="525" spans="5:8">
      <c r="E525" s="1958"/>
      <c r="G525" s="1958"/>
      <c r="H525" s="1958"/>
    </row>
    <row r="526" spans="5:8">
      <c r="E526" s="1958"/>
      <c r="G526" s="1958"/>
      <c r="H526" s="1958"/>
    </row>
    <row r="527" spans="5:8">
      <c r="E527" s="1958"/>
      <c r="G527" s="1958"/>
      <c r="H527" s="1958"/>
    </row>
    <row r="528" spans="5:8">
      <c r="E528" s="1958"/>
      <c r="G528" s="1958"/>
      <c r="H528" s="1958"/>
    </row>
    <row r="529" spans="5:8">
      <c r="E529" s="1958"/>
      <c r="G529" s="1958"/>
      <c r="H529" s="1958"/>
    </row>
    <row r="530" spans="5:8">
      <c r="E530" s="1958"/>
      <c r="G530" s="1958"/>
      <c r="H530" s="1958"/>
    </row>
    <row r="531" spans="5:8">
      <c r="E531" s="1958"/>
      <c r="G531" s="1958"/>
      <c r="H531" s="1958"/>
    </row>
    <row r="532" spans="5:8">
      <c r="E532" s="1958"/>
      <c r="G532" s="1958"/>
      <c r="H532" s="1958"/>
    </row>
    <row r="533" spans="5:8">
      <c r="E533" s="1958"/>
      <c r="G533" s="1958"/>
      <c r="H533" s="1958"/>
    </row>
    <row r="534" spans="5:8">
      <c r="E534" s="1958"/>
      <c r="G534" s="1958"/>
      <c r="H534" s="1958"/>
    </row>
    <row r="535" spans="5:8">
      <c r="E535" s="1958"/>
      <c r="G535" s="1958"/>
      <c r="H535" s="1958"/>
    </row>
    <row r="536" spans="5:8">
      <c r="E536" s="1958"/>
      <c r="G536" s="1958"/>
      <c r="H536" s="1958"/>
    </row>
    <row r="537" spans="5:8">
      <c r="E537" s="1958"/>
      <c r="G537" s="1958"/>
      <c r="H537" s="1958"/>
    </row>
    <row r="538" spans="5:8">
      <c r="E538" s="1958"/>
      <c r="G538" s="1958"/>
      <c r="H538" s="1958"/>
    </row>
    <row r="539" spans="5:8">
      <c r="E539" s="1958"/>
      <c r="G539" s="1958"/>
      <c r="H539" s="1958"/>
    </row>
    <row r="540" spans="5:8">
      <c r="E540" s="1958"/>
      <c r="G540" s="1958"/>
      <c r="H540" s="1958"/>
    </row>
    <row r="541" spans="5:8">
      <c r="E541" s="1958"/>
      <c r="G541" s="1958"/>
      <c r="H541" s="1958"/>
    </row>
    <row r="542" spans="5:8">
      <c r="E542" s="1958"/>
      <c r="G542" s="1958"/>
      <c r="H542" s="1958"/>
    </row>
    <row r="543" spans="5:8">
      <c r="E543" s="1958"/>
      <c r="G543" s="1958"/>
      <c r="H543" s="1958"/>
    </row>
    <row r="544" spans="5:8">
      <c r="E544" s="1958"/>
      <c r="G544" s="1958"/>
      <c r="H544" s="1958"/>
    </row>
    <row r="545" spans="5:8">
      <c r="E545" s="1958"/>
      <c r="G545" s="1958"/>
      <c r="H545" s="1958"/>
    </row>
    <row r="546" spans="5:8">
      <c r="E546" s="1958"/>
      <c r="G546" s="1958"/>
      <c r="H546" s="1958"/>
    </row>
    <row r="547" spans="5:8">
      <c r="E547" s="1958"/>
      <c r="G547" s="1958"/>
      <c r="H547" s="1958"/>
    </row>
    <row r="548" spans="5:8">
      <c r="E548" s="1958"/>
      <c r="G548" s="1958"/>
      <c r="H548" s="1958"/>
    </row>
    <row r="549" spans="5:8">
      <c r="E549" s="1958"/>
      <c r="G549" s="1958"/>
      <c r="H549" s="1958"/>
    </row>
    <row r="550" spans="5:8">
      <c r="E550" s="1958"/>
      <c r="G550" s="1958"/>
      <c r="H550" s="1958"/>
    </row>
    <row r="551" spans="5:8">
      <c r="E551" s="1958"/>
      <c r="G551" s="1958"/>
      <c r="H551" s="1958"/>
    </row>
    <row r="552" spans="5:8">
      <c r="E552" s="1958"/>
      <c r="G552" s="1958"/>
      <c r="H552" s="1958"/>
    </row>
    <row r="553" spans="5:8">
      <c r="E553" s="1958"/>
      <c r="G553" s="1958"/>
      <c r="H553" s="1958"/>
    </row>
    <row r="554" spans="5:8">
      <c r="E554" s="1958"/>
      <c r="G554" s="1958"/>
      <c r="H554" s="1958"/>
    </row>
    <row r="555" spans="5:8">
      <c r="E555" s="1958"/>
      <c r="G555" s="1958"/>
      <c r="H555" s="1958"/>
    </row>
    <row r="556" spans="5:8">
      <c r="E556" s="1958"/>
      <c r="G556" s="1958"/>
      <c r="H556" s="1958"/>
    </row>
    <row r="557" spans="5:8">
      <c r="E557" s="1958"/>
      <c r="G557" s="1958"/>
      <c r="H557" s="1958"/>
    </row>
    <row r="558" spans="5:8">
      <c r="E558" s="1958"/>
      <c r="G558" s="1958"/>
      <c r="H558" s="1958"/>
    </row>
    <row r="559" spans="5:8">
      <c r="E559" s="1958"/>
      <c r="G559" s="1958"/>
      <c r="H559" s="1958"/>
    </row>
    <row r="560" spans="5:8">
      <c r="E560" s="1958"/>
      <c r="G560" s="1958"/>
      <c r="H560" s="1958"/>
    </row>
    <row r="561" spans="5:8">
      <c r="E561" s="1958"/>
      <c r="G561" s="1958"/>
      <c r="H561" s="1958"/>
    </row>
    <row r="562" spans="5:8">
      <c r="E562" s="1958"/>
      <c r="G562" s="1958"/>
      <c r="H562" s="1958"/>
    </row>
    <row r="563" spans="5:8">
      <c r="E563" s="1958"/>
      <c r="G563" s="1958"/>
      <c r="H563" s="1958"/>
    </row>
    <row r="564" spans="5:8">
      <c r="E564" s="1958"/>
      <c r="G564" s="1958"/>
      <c r="H564" s="1958"/>
    </row>
    <row r="565" spans="5:8">
      <c r="E565" s="1958"/>
      <c r="G565" s="1958"/>
      <c r="H565" s="1958"/>
    </row>
    <row r="566" spans="5:8">
      <c r="E566" s="1958"/>
      <c r="G566" s="1958"/>
      <c r="H566" s="1958"/>
    </row>
    <row r="567" spans="5:8">
      <c r="E567" s="1958"/>
      <c r="G567" s="1958"/>
      <c r="H567" s="1958"/>
    </row>
    <row r="568" spans="5:8">
      <c r="E568" s="1958"/>
      <c r="G568" s="1958"/>
      <c r="H568" s="1958"/>
    </row>
    <row r="569" spans="5:8">
      <c r="E569" s="1958"/>
      <c r="G569" s="1958"/>
      <c r="H569" s="1958"/>
    </row>
    <row r="570" spans="5:8">
      <c r="E570" s="1958"/>
      <c r="G570" s="1958"/>
      <c r="H570" s="1958"/>
    </row>
    <row r="571" spans="5:8">
      <c r="E571" s="1958"/>
      <c r="G571" s="1958"/>
      <c r="H571" s="1958"/>
    </row>
    <row r="572" spans="5:8">
      <c r="E572" s="1958"/>
      <c r="G572" s="1958"/>
      <c r="H572" s="1958"/>
    </row>
    <row r="573" spans="5:8">
      <c r="E573" s="1958"/>
      <c r="G573" s="1958"/>
      <c r="H573" s="1958"/>
    </row>
    <row r="574" spans="5:8">
      <c r="E574" s="1958"/>
      <c r="G574" s="1958"/>
      <c r="H574" s="1958"/>
    </row>
    <row r="575" spans="5:8">
      <c r="E575" s="1958"/>
      <c r="G575" s="1958"/>
      <c r="H575" s="1958"/>
    </row>
    <row r="576" spans="5:8">
      <c r="E576" s="1958"/>
      <c r="G576" s="1958"/>
      <c r="H576" s="1958"/>
    </row>
    <row r="577" spans="5:8">
      <c r="E577" s="1958"/>
      <c r="G577" s="1958"/>
      <c r="H577" s="1958"/>
    </row>
    <row r="578" spans="5:8">
      <c r="E578" s="1958"/>
      <c r="G578" s="1958"/>
      <c r="H578" s="1958"/>
    </row>
    <row r="579" spans="5:8">
      <c r="E579" s="1958"/>
      <c r="G579" s="1958"/>
      <c r="H579" s="1958"/>
    </row>
    <row r="580" spans="5:8">
      <c r="E580" s="1958"/>
      <c r="G580" s="1958"/>
      <c r="H580" s="1958"/>
    </row>
    <row r="581" spans="5:8">
      <c r="E581" s="1958"/>
      <c r="G581" s="1958"/>
      <c r="H581" s="1958"/>
    </row>
    <row r="582" spans="5:8">
      <c r="E582" s="1958"/>
      <c r="G582" s="1958"/>
      <c r="H582" s="1958"/>
    </row>
    <row r="583" spans="5:8">
      <c r="E583" s="1958"/>
      <c r="G583" s="1958"/>
      <c r="H583" s="1958"/>
    </row>
    <row r="584" spans="5:8">
      <c r="E584" s="1958"/>
      <c r="G584" s="1958"/>
      <c r="H584" s="1958"/>
    </row>
    <row r="585" spans="5:8">
      <c r="E585" s="1958"/>
      <c r="G585" s="1958"/>
      <c r="H585" s="1958"/>
    </row>
    <row r="586" spans="5:8">
      <c r="E586" s="1958"/>
      <c r="G586" s="1958"/>
      <c r="H586" s="1958"/>
    </row>
    <row r="587" spans="5:8">
      <c r="E587" s="1958"/>
      <c r="G587" s="1958"/>
      <c r="H587" s="1958"/>
    </row>
    <row r="588" spans="5:8">
      <c r="E588" s="1958"/>
      <c r="G588" s="1958"/>
      <c r="H588" s="1958"/>
    </row>
    <row r="589" spans="5:8">
      <c r="E589" s="1958"/>
      <c r="G589" s="1958"/>
      <c r="H589" s="1958"/>
    </row>
    <row r="590" spans="5:8">
      <c r="E590" s="1958"/>
      <c r="G590" s="1958"/>
      <c r="H590" s="1958"/>
    </row>
    <row r="591" spans="5:8">
      <c r="E591" s="1958"/>
      <c r="G591" s="1958"/>
      <c r="H591" s="1958"/>
    </row>
    <row r="592" spans="5:8">
      <c r="E592" s="1958"/>
      <c r="G592" s="1958"/>
      <c r="H592" s="1958"/>
    </row>
    <row r="593" spans="5:8">
      <c r="E593" s="1958"/>
      <c r="G593" s="1958"/>
      <c r="H593" s="1958"/>
    </row>
    <row r="594" spans="5:8">
      <c r="E594" s="1958"/>
      <c r="G594" s="1958"/>
      <c r="H594" s="1958"/>
    </row>
    <row r="595" spans="5:8">
      <c r="E595" s="1958"/>
      <c r="G595" s="1958"/>
      <c r="H595" s="1958"/>
    </row>
    <row r="596" spans="5:8">
      <c r="E596" s="1958"/>
      <c r="G596" s="1958"/>
      <c r="H596" s="1958"/>
    </row>
    <row r="597" spans="5:8">
      <c r="E597" s="1958"/>
      <c r="G597" s="1958"/>
      <c r="H597" s="1958"/>
    </row>
    <row r="598" spans="5:8">
      <c r="E598" s="1958"/>
      <c r="G598" s="1958"/>
      <c r="H598" s="1958"/>
    </row>
    <row r="599" spans="5:8">
      <c r="E599" s="1958"/>
      <c r="G599" s="1958"/>
      <c r="H599" s="1958"/>
    </row>
    <row r="600" spans="5:8">
      <c r="E600" s="1958"/>
      <c r="G600" s="1958"/>
      <c r="H600" s="1958"/>
    </row>
    <row r="601" spans="5:8">
      <c r="E601" s="1958"/>
      <c r="G601" s="1958"/>
      <c r="H601" s="1958"/>
    </row>
    <row r="602" spans="5:8">
      <c r="E602" s="1958"/>
      <c r="G602" s="1958"/>
      <c r="H602" s="1958"/>
    </row>
    <row r="603" spans="5:8">
      <c r="E603" s="1958"/>
      <c r="G603" s="1958"/>
      <c r="H603" s="1958"/>
    </row>
    <row r="604" spans="5:8">
      <c r="E604" s="1958"/>
      <c r="G604" s="1958"/>
      <c r="H604" s="1958"/>
    </row>
    <row r="605" spans="5:8">
      <c r="E605" s="1958"/>
      <c r="G605" s="1958"/>
      <c r="H605" s="1958"/>
    </row>
    <row r="606" spans="5:8">
      <c r="E606" s="1958"/>
      <c r="G606" s="1958"/>
      <c r="H606" s="1958"/>
    </row>
    <row r="607" spans="5:8">
      <c r="E607" s="1958"/>
      <c r="G607" s="1958"/>
      <c r="H607" s="1958"/>
    </row>
    <row r="608" spans="5:8">
      <c r="E608" s="1958"/>
      <c r="G608" s="1958"/>
      <c r="H608" s="1958"/>
    </row>
    <row r="609" spans="5:8">
      <c r="E609" s="1958"/>
      <c r="G609" s="1958"/>
      <c r="H609" s="1958"/>
    </row>
    <row r="610" spans="5:8">
      <c r="E610" s="1958"/>
      <c r="G610" s="1958"/>
      <c r="H610" s="1958"/>
    </row>
    <row r="611" spans="5:8">
      <c r="E611" s="1958"/>
      <c r="G611" s="1958"/>
      <c r="H611" s="1958"/>
    </row>
    <row r="612" spans="5:8">
      <c r="E612" s="1958"/>
      <c r="G612" s="1958"/>
      <c r="H612" s="1958"/>
    </row>
    <row r="613" spans="5:8">
      <c r="E613" s="1958"/>
      <c r="G613" s="1958"/>
      <c r="H613" s="1958"/>
    </row>
    <row r="614" spans="5:8">
      <c r="E614" s="1958"/>
      <c r="G614" s="1958"/>
      <c r="H614" s="1958"/>
    </row>
    <row r="615" spans="5:8">
      <c r="E615" s="1958"/>
      <c r="G615" s="1958"/>
      <c r="H615" s="1958"/>
    </row>
    <row r="616" spans="5:8">
      <c r="E616" s="1958"/>
      <c r="G616" s="1958"/>
      <c r="H616" s="1958"/>
    </row>
    <row r="617" spans="5:8">
      <c r="E617" s="1958"/>
      <c r="G617" s="1958"/>
      <c r="H617" s="1958"/>
    </row>
    <row r="618" spans="5:8">
      <c r="E618" s="1958"/>
      <c r="G618" s="1958"/>
      <c r="H618" s="1958"/>
    </row>
    <row r="619" spans="5:8">
      <c r="E619" s="1958"/>
      <c r="G619" s="1958"/>
      <c r="H619" s="1958"/>
    </row>
    <row r="620" spans="5:8">
      <c r="E620" s="1958"/>
      <c r="G620" s="1958"/>
      <c r="H620" s="1958"/>
    </row>
    <row r="621" spans="5:8">
      <c r="E621" s="1958"/>
      <c r="G621" s="1958"/>
      <c r="H621" s="1958"/>
    </row>
    <row r="622" spans="5:8">
      <c r="E622" s="1958"/>
      <c r="G622" s="1958"/>
      <c r="H622" s="1958"/>
    </row>
    <row r="623" spans="5:8">
      <c r="E623" s="1958"/>
      <c r="G623" s="1958"/>
      <c r="H623" s="1958"/>
    </row>
    <row r="624" spans="5:8">
      <c r="E624" s="1958"/>
      <c r="G624" s="1958"/>
      <c r="H624" s="1958"/>
    </row>
    <row r="625" spans="5:8">
      <c r="E625" s="1958"/>
      <c r="G625" s="1958"/>
      <c r="H625" s="1958"/>
    </row>
    <row r="626" spans="5:8">
      <c r="E626" s="1958"/>
      <c r="G626" s="1958"/>
      <c r="H626" s="1958"/>
    </row>
    <row r="627" spans="5:8">
      <c r="E627" s="1958"/>
      <c r="G627" s="1958"/>
      <c r="H627" s="1958"/>
    </row>
    <row r="628" spans="5:8">
      <c r="E628" s="1958"/>
      <c r="G628" s="1958"/>
      <c r="H628" s="1958"/>
    </row>
    <row r="629" spans="5:8">
      <c r="E629" s="1958"/>
      <c r="G629" s="1958"/>
      <c r="H629" s="1958"/>
    </row>
    <row r="630" spans="5:8">
      <c r="E630" s="1958"/>
      <c r="G630" s="1958"/>
      <c r="H630" s="1958"/>
    </row>
    <row r="631" spans="5:8">
      <c r="E631" s="1958"/>
      <c r="G631" s="1958"/>
      <c r="H631" s="1958"/>
    </row>
    <row r="632" spans="5:8">
      <c r="E632" s="1958"/>
      <c r="G632" s="1958"/>
      <c r="H632" s="1958"/>
    </row>
    <row r="633" spans="5:8">
      <c r="E633" s="1958"/>
      <c r="G633" s="1958"/>
      <c r="H633" s="1958"/>
    </row>
    <row r="634" spans="5:8">
      <c r="E634" s="1958"/>
      <c r="G634" s="1958"/>
      <c r="H634" s="1958"/>
    </row>
    <row r="635" spans="5:8">
      <c r="E635" s="1958"/>
      <c r="G635" s="1958"/>
      <c r="H635" s="1958"/>
    </row>
    <row r="636" spans="5:8">
      <c r="E636" s="1958"/>
      <c r="G636" s="1958"/>
      <c r="H636" s="1958"/>
    </row>
    <row r="637" spans="5:8">
      <c r="E637" s="1958"/>
      <c r="G637" s="1958"/>
      <c r="H637" s="1958"/>
    </row>
    <row r="638" spans="5:8">
      <c r="E638" s="1958"/>
      <c r="G638" s="1958"/>
      <c r="H638" s="1958"/>
    </row>
    <row r="639" spans="5:8">
      <c r="E639" s="1958"/>
      <c r="G639" s="1958"/>
      <c r="H639" s="1958"/>
    </row>
    <row r="640" spans="5:8">
      <c r="E640" s="1958"/>
      <c r="G640" s="1958"/>
      <c r="H640" s="1958"/>
    </row>
    <row r="641" spans="5:8">
      <c r="E641" s="1958"/>
      <c r="G641" s="1958"/>
      <c r="H641" s="1958"/>
    </row>
    <row r="642" spans="5:8">
      <c r="E642" s="1958"/>
      <c r="G642" s="1958"/>
      <c r="H642" s="1958"/>
    </row>
    <row r="643" spans="5:8">
      <c r="E643" s="1958"/>
      <c r="G643" s="1958"/>
      <c r="H643" s="1958"/>
    </row>
    <row r="644" spans="5:8">
      <c r="E644" s="1958"/>
      <c r="G644" s="1958"/>
      <c r="H644" s="1958"/>
    </row>
    <row r="645" spans="5:8">
      <c r="E645" s="1958"/>
      <c r="G645" s="1958"/>
      <c r="H645" s="1958"/>
    </row>
    <row r="646" spans="5:8">
      <c r="E646" s="1958"/>
      <c r="G646" s="1958"/>
      <c r="H646" s="1958"/>
    </row>
    <row r="647" spans="5:8">
      <c r="E647" s="1958"/>
      <c r="G647" s="1958"/>
      <c r="H647" s="1958"/>
    </row>
    <row r="648" spans="5:8">
      <c r="E648" s="1958"/>
      <c r="G648" s="1958"/>
      <c r="H648" s="1958"/>
    </row>
    <row r="649" spans="5:8">
      <c r="E649" s="1958"/>
      <c r="G649" s="1958"/>
      <c r="H649" s="1958"/>
    </row>
    <row r="650" spans="5:8">
      <c r="E650" s="1958"/>
      <c r="G650" s="1958"/>
      <c r="H650" s="1958"/>
    </row>
    <row r="651" spans="5:8">
      <c r="E651" s="1958"/>
      <c r="G651" s="1958"/>
      <c r="H651" s="1958"/>
    </row>
    <row r="652" spans="5:8">
      <c r="E652" s="1958"/>
      <c r="G652" s="1958"/>
      <c r="H652" s="1958"/>
    </row>
    <row r="653" spans="5:8">
      <c r="E653" s="1958"/>
      <c r="G653" s="1958"/>
      <c r="H653" s="1958"/>
    </row>
    <row r="654" spans="5:8">
      <c r="E654" s="1958"/>
      <c r="G654" s="1958"/>
      <c r="H654" s="1958"/>
    </row>
    <row r="655" spans="5:8">
      <c r="E655" s="1958"/>
      <c r="G655" s="1958"/>
      <c r="H655" s="1958"/>
    </row>
    <row r="656" spans="5:8">
      <c r="E656" s="1958"/>
      <c r="G656" s="1958"/>
      <c r="H656" s="1958"/>
    </row>
    <row r="657" spans="5:8">
      <c r="E657" s="1958"/>
      <c r="G657" s="1958"/>
      <c r="H657" s="1958"/>
    </row>
    <row r="658" spans="5:8">
      <c r="E658" s="1958"/>
      <c r="G658" s="1958"/>
      <c r="H658" s="1958"/>
    </row>
    <row r="659" spans="5:8">
      <c r="E659" s="1958"/>
      <c r="G659" s="1958"/>
      <c r="H659" s="1958"/>
    </row>
    <row r="660" spans="5:8">
      <c r="E660" s="1958"/>
      <c r="G660" s="1958"/>
      <c r="H660" s="1958"/>
    </row>
    <row r="661" spans="5:8">
      <c r="E661" s="1958"/>
      <c r="G661" s="1958"/>
      <c r="H661" s="1958"/>
    </row>
    <row r="662" spans="5:8">
      <c r="E662" s="1958"/>
      <c r="G662" s="1958"/>
      <c r="H662" s="1958"/>
    </row>
    <row r="663" spans="5:8">
      <c r="E663" s="1958"/>
      <c r="G663" s="1958"/>
      <c r="H663" s="1958"/>
    </row>
    <row r="664" spans="5:8">
      <c r="E664" s="1958"/>
      <c r="G664" s="1958"/>
      <c r="H664" s="1958"/>
    </row>
    <row r="665" spans="5:8">
      <c r="E665" s="1958"/>
      <c r="G665" s="1958"/>
      <c r="H665" s="1958"/>
    </row>
    <row r="666" spans="5:8">
      <c r="E666" s="1958"/>
      <c r="G666" s="1958"/>
      <c r="H666" s="1958"/>
    </row>
    <row r="667" spans="5:8">
      <c r="E667" s="1958"/>
      <c r="G667" s="1958"/>
      <c r="H667" s="1958"/>
    </row>
    <row r="668" spans="5:8">
      <c r="E668" s="1958"/>
      <c r="G668" s="1958"/>
      <c r="H668" s="1958"/>
    </row>
    <row r="669" spans="5:8">
      <c r="E669" s="1958"/>
      <c r="G669" s="1958"/>
      <c r="H669" s="1958"/>
    </row>
    <row r="670" spans="5:8">
      <c r="E670" s="1958"/>
      <c r="G670" s="1958"/>
      <c r="H670" s="1958"/>
    </row>
    <row r="671" spans="5:8">
      <c r="E671" s="1958"/>
      <c r="G671" s="1958"/>
      <c r="H671" s="1958"/>
    </row>
    <row r="672" spans="5:8">
      <c r="E672" s="1958"/>
      <c r="G672" s="1958"/>
      <c r="H672" s="1958"/>
    </row>
    <row r="673" spans="5:8">
      <c r="E673" s="1958"/>
      <c r="G673" s="1958"/>
      <c r="H673" s="1958"/>
    </row>
    <row r="674" spans="5:8">
      <c r="E674" s="1958"/>
      <c r="G674" s="1958"/>
      <c r="H674" s="1958"/>
    </row>
    <row r="675" spans="5:8">
      <c r="E675" s="1958"/>
      <c r="G675" s="1958"/>
      <c r="H675" s="1958"/>
    </row>
    <row r="676" spans="5:8">
      <c r="E676" s="1958"/>
      <c r="G676" s="1958"/>
      <c r="H676" s="1958"/>
    </row>
    <row r="677" spans="5:8">
      <c r="E677" s="1958"/>
      <c r="G677" s="1958"/>
      <c r="H677" s="1958"/>
    </row>
    <row r="678" spans="5:8">
      <c r="E678" s="1958"/>
      <c r="G678" s="1958"/>
      <c r="H678" s="1958"/>
    </row>
    <row r="679" spans="5:8">
      <c r="E679" s="1958"/>
      <c r="G679" s="1958"/>
      <c r="H679" s="1958"/>
    </row>
    <row r="680" spans="5:8">
      <c r="E680" s="1958"/>
      <c r="G680" s="1958"/>
      <c r="H680" s="1958"/>
    </row>
    <row r="681" spans="5:8">
      <c r="E681" s="1958"/>
      <c r="G681" s="1958"/>
      <c r="H681" s="1958"/>
    </row>
    <row r="682" spans="5:8">
      <c r="E682" s="1958"/>
      <c r="G682" s="1958"/>
      <c r="H682" s="1958"/>
    </row>
    <row r="683" spans="5:8">
      <c r="E683" s="1958"/>
      <c r="G683" s="1958"/>
      <c r="H683" s="1958"/>
    </row>
    <row r="684" spans="5:8">
      <c r="E684" s="1958"/>
      <c r="G684" s="1958"/>
      <c r="H684" s="1958"/>
    </row>
    <row r="685" spans="5:8">
      <c r="E685" s="1958"/>
      <c r="G685" s="1958"/>
      <c r="H685" s="1958"/>
    </row>
    <row r="686" spans="5:8">
      <c r="E686" s="1958"/>
      <c r="G686" s="1958"/>
      <c r="H686" s="1958"/>
    </row>
    <row r="687" spans="5:8">
      <c r="E687" s="1958"/>
      <c r="G687" s="1958"/>
      <c r="H687" s="1958"/>
    </row>
    <row r="688" spans="5:8">
      <c r="E688" s="1958"/>
      <c r="G688" s="1958"/>
      <c r="H688" s="1958"/>
    </row>
    <row r="689" spans="5:8">
      <c r="E689" s="1958"/>
      <c r="G689" s="1958"/>
      <c r="H689" s="1958"/>
    </row>
    <row r="690" spans="5:8">
      <c r="E690" s="1958"/>
      <c r="G690" s="1958"/>
      <c r="H690" s="1958"/>
    </row>
    <row r="691" spans="5:8">
      <c r="E691" s="1958"/>
      <c r="G691" s="1958"/>
      <c r="H691" s="1958"/>
    </row>
    <row r="692" spans="5:8">
      <c r="E692" s="1958"/>
      <c r="G692" s="1958"/>
      <c r="H692" s="1958"/>
    </row>
    <row r="693" spans="5:8">
      <c r="E693" s="1958"/>
      <c r="G693" s="1958"/>
      <c r="H693" s="1958"/>
    </row>
    <row r="694" spans="5:8">
      <c r="E694" s="1958"/>
      <c r="G694" s="1958"/>
      <c r="H694" s="1958"/>
    </row>
    <row r="695" spans="5:8">
      <c r="E695" s="1958"/>
      <c r="G695" s="1958"/>
      <c r="H695" s="1958"/>
    </row>
    <row r="696" spans="5:8">
      <c r="E696" s="1958"/>
      <c r="G696" s="1958"/>
      <c r="H696" s="1958"/>
    </row>
    <row r="697" spans="5:8">
      <c r="E697" s="1958"/>
      <c r="G697" s="1958"/>
      <c r="H697" s="1958"/>
    </row>
    <row r="698" spans="5:8">
      <c r="E698" s="1958"/>
      <c r="G698" s="1958"/>
      <c r="H698" s="1958"/>
    </row>
    <row r="699" spans="5:8">
      <c r="E699" s="1958"/>
      <c r="G699" s="1958"/>
      <c r="H699" s="1958"/>
    </row>
    <row r="700" spans="5:8">
      <c r="E700" s="1958"/>
      <c r="G700" s="1958"/>
      <c r="H700" s="1958"/>
    </row>
    <row r="701" spans="5:8">
      <c r="E701" s="1958"/>
      <c r="G701" s="1958"/>
      <c r="H701" s="1958"/>
    </row>
    <row r="702" spans="5:8">
      <c r="E702" s="1958"/>
      <c r="G702" s="1958"/>
      <c r="H702" s="1958"/>
    </row>
    <row r="703" spans="5:8">
      <c r="E703" s="1958"/>
      <c r="G703" s="1958"/>
      <c r="H703" s="1958"/>
    </row>
    <row r="704" spans="5:8">
      <c r="E704" s="1958"/>
      <c r="G704" s="1958"/>
      <c r="H704" s="1958"/>
    </row>
    <row r="705" spans="5:8">
      <c r="E705" s="1958"/>
      <c r="G705" s="1958"/>
      <c r="H705" s="1958"/>
    </row>
    <row r="706" spans="5:8">
      <c r="E706" s="1958"/>
      <c r="G706" s="1958"/>
      <c r="H706" s="1958"/>
    </row>
    <row r="707" spans="5:8">
      <c r="E707" s="1958"/>
      <c r="G707" s="1958"/>
      <c r="H707" s="1958"/>
    </row>
    <row r="708" spans="5:8">
      <c r="E708" s="1958"/>
      <c r="G708" s="1958"/>
      <c r="H708" s="1958"/>
    </row>
    <row r="709" spans="5:8">
      <c r="E709" s="1958"/>
      <c r="G709" s="1958"/>
      <c r="H709" s="1958"/>
    </row>
    <row r="710" spans="5:8">
      <c r="E710" s="1958"/>
      <c r="G710" s="1958"/>
      <c r="H710" s="1958"/>
    </row>
    <row r="711" spans="5:8">
      <c r="E711" s="1958"/>
      <c r="G711" s="1958"/>
      <c r="H711" s="1958"/>
    </row>
    <row r="712" spans="5:8">
      <c r="E712" s="1958"/>
      <c r="G712" s="1958"/>
      <c r="H712" s="1958"/>
    </row>
    <row r="713" spans="5:8">
      <c r="E713" s="1958"/>
      <c r="G713" s="1958"/>
      <c r="H713" s="1958"/>
    </row>
    <row r="714" spans="5:8">
      <c r="E714" s="1958"/>
      <c r="G714" s="1958"/>
      <c r="H714" s="1958"/>
    </row>
    <row r="715" spans="5:8">
      <c r="E715" s="1958"/>
      <c r="G715" s="1958"/>
      <c r="H715" s="1958"/>
    </row>
    <row r="716" spans="5:8">
      <c r="E716" s="1958"/>
      <c r="G716" s="1958"/>
      <c r="H716" s="1958"/>
    </row>
    <row r="717" spans="5:8">
      <c r="E717" s="1958"/>
      <c r="G717" s="1958"/>
      <c r="H717" s="1958"/>
    </row>
    <row r="718" spans="5:8">
      <c r="E718" s="1958"/>
      <c r="G718" s="1958"/>
      <c r="H718" s="1958"/>
    </row>
    <row r="719" spans="5:8">
      <c r="E719" s="1958"/>
      <c r="G719" s="1958"/>
      <c r="H719" s="1958"/>
    </row>
    <row r="720" spans="5:8">
      <c r="E720" s="1958"/>
      <c r="G720" s="1958"/>
      <c r="H720" s="1958"/>
    </row>
    <row r="721" spans="5:8">
      <c r="E721" s="1958"/>
      <c r="G721" s="1958"/>
      <c r="H721" s="1958"/>
    </row>
    <row r="722" spans="5:8">
      <c r="E722" s="1958"/>
      <c r="G722" s="1958"/>
      <c r="H722" s="1958"/>
    </row>
    <row r="723" spans="5:8">
      <c r="E723" s="1958"/>
      <c r="G723" s="1958"/>
      <c r="H723" s="1958"/>
    </row>
    <row r="724" spans="5:8">
      <c r="E724" s="1958"/>
      <c r="G724" s="1958"/>
      <c r="H724" s="1958"/>
    </row>
    <row r="725" spans="5:8">
      <c r="E725" s="1958"/>
      <c r="G725" s="1958"/>
      <c r="H725" s="1958"/>
    </row>
    <row r="726" spans="5:8">
      <c r="E726" s="1958"/>
      <c r="G726" s="1958"/>
      <c r="H726" s="1958"/>
    </row>
    <row r="727" spans="5:8">
      <c r="E727" s="1958"/>
      <c r="G727" s="1958"/>
      <c r="H727" s="1958"/>
    </row>
    <row r="728" spans="5:8">
      <c r="E728" s="1958"/>
      <c r="G728" s="1958"/>
      <c r="H728" s="1958"/>
    </row>
    <row r="729" spans="5:8">
      <c r="E729" s="1958"/>
      <c r="G729" s="1958"/>
      <c r="H729" s="1958"/>
    </row>
    <row r="730" spans="5:8">
      <c r="E730" s="1958"/>
      <c r="G730" s="1958"/>
      <c r="H730" s="1958"/>
    </row>
    <row r="731" spans="5:8">
      <c r="E731" s="1958"/>
      <c r="G731" s="1958"/>
      <c r="H731" s="1958"/>
    </row>
    <row r="732" spans="5:8">
      <c r="E732" s="1958"/>
      <c r="G732" s="1958"/>
      <c r="H732" s="1958"/>
    </row>
    <row r="733" spans="5:8">
      <c r="E733" s="1958"/>
      <c r="G733" s="1958"/>
      <c r="H733" s="1958"/>
    </row>
    <row r="734" spans="5:8">
      <c r="E734" s="1958"/>
      <c r="G734" s="1958"/>
      <c r="H734" s="1958"/>
    </row>
    <row r="735" spans="5:8">
      <c r="E735" s="1958"/>
      <c r="G735" s="1958"/>
      <c r="H735" s="1958"/>
    </row>
    <row r="736" spans="5:8">
      <c r="E736" s="1958"/>
      <c r="G736" s="1958"/>
      <c r="H736" s="1958"/>
    </row>
    <row r="737" spans="5:8">
      <c r="E737" s="1958"/>
      <c r="G737" s="1958"/>
      <c r="H737" s="1958"/>
    </row>
    <row r="738" spans="5:8">
      <c r="E738" s="1958"/>
      <c r="G738" s="1958"/>
      <c r="H738" s="1958"/>
    </row>
    <row r="739" spans="5:8">
      <c r="E739" s="1958"/>
      <c r="G739" s="1958"/>
      <c r="H739" s="1958"/>
    </row>
    <row r="740" spans="5:8">
      <c r="E740" s="1958"/>
      <c r="G740" s="1958"/>
      <c r="H740" s="1958"/>
    </row>
    <row r="741" spans="5:8">
      <c r="E741" s="1958"/>
      <c r="G741" s="1958"/>
      <c r="H741" s="1958"/>
    </row>
    <row r="742" spans="5:8">
      <c r="E742" s="1958"/>
      <c r="G742" s="1958"/>
      <c r="H742" s="1958"/>
    </row>
    <row r="743" spans="5:8">
      <c r="E743" s="1958"/>
      <c r="G743" s="1958"/>
      <c r="H743" s="1958"/>
    </row>
    <row r="744" spans="5:8">
      <c r="E744" s="1958"/>
      <c r="G744" s="1958"/>
      <c r="H744" s="1958"/>
    </row>
    <row r="745" spans="5:8">
      <c r="E745" s="1958"/>
      <c r="G745" s="1958"/>
      <c r="H745" s="1958"/>
    </row>
    <row r="746" spans="5:8">
      <c r="E746" s="1958"/>
      <c r="G746" s="1958"/>
      <c r="H746" s="1958"/>
    </row>
    <row r="747" spans="5:8">
      <c r="E747" s="1958"/>
      <c r="G747" s="1958"/>
      <c r="H747" s="1958"/>
    </row>
    <row r="748" spans="5:8">
      <c r="E748" s="1958"/>
      <c r="G748" s="1958"/>
      <c r="H748" s="1958"/>
    </row>
    <row r="749" spans="5:8">
      <c r="E749" s="1958"/>
      <c r="G749" s="1958"/>
      <c r="H749" s="1958"/>
    </row>
    <row r="750" spans="5:8">
      <c r="E750" s="1958"/>
      <c r="G750" s="1958"/>
      <c r="H750" s="1958"/>
    </row>
    <row r="751" spans="5:8">
      <c r="E751" s="1958"/>
      <c r="G751" s="1958"/>
      <c r="H751" s="1958"/>
    </row>
    <row r="752" spans="5:8">
      <c r="E752" s="1958"/>
      <c r="G752" s="1958"/>
      <c r="H752" s="1958"/>
    </row>
    <row r="753" spans="5:8">
      <c r="E753" s="1958"/>
      <c r="G753" s="1958"/>
      <c r="H753" s="1958"/>
    </row>
    <row r="754" spans="5:8">
      <c r="E754" s="1958"/>
      <c r="G754" s="1958"/>
      <c r="H754" s="1958"/>
    </row>
    <row r="755" spans="5:8">
      <c r="E755" s="1958"/>
      <c r="G755" s="1958"/>
      <c r="H755" s="1958"/>
    </row>
    <row r="756" spans="5:8">
      <c r="E756" s="1958"/>
      <c r="G756" s="1958"/>
      <c r="H756" s="1958"/>
    </row>
    <row r="757" spans="5:8">
      <c r="E757" s="1958"/>
      <c r="G757" s="1958"/>
      <c r="H757" s="1958"/>
    </row>
    <row r="758" spans="5:8">
      <c r="E758" s="1958"/>
      <c r="G758" s="1958"/>
      <c r="H758" s="1958"/>
    </row>
    <row r="759" spans="5:8">
      <c r="E759" s="1958"/>
      <c r="G759" s="1958"/>
      <c r="H759" s="1958"/>
    </row>
    <row r="760" spans="5:8">
      <c r="E760" s="1958"/>
      <c r="G760" s="1958"/>
      <c r="H760" s="1958"/>
    </row>
    <row r="761" spans="5:8">
      <c r="E761" s="1958"/>
      <c r="G761" s="1958"/>
      <c r="H761" s="1958"/>
    </row>
    <row r="762" spans="5:8">
      <c r="E762" s="1958"/>
      <c r="G762" s="1958"/>
      <c r="H762" s="1958"/>
    </row>
    <row r="763" spans="5:8">
      <c r="E763" s="1958"/>
      <c r="G763" s="1958"/>
      <c r="H763" s="1958"/>
    </row>
    <row r="764" spans="5:8">
      <c r="E764" s="1958"/>
      <c r="G764" s="1958"/>
      <c r="H764" s="1958"/>
    </row>
    <row r="765" spans="5:8">
      <c r="E765" s="1958"/>
      <c r="G765" s="1958"/>
      <c r="H765" s="1958"/>
    </row>
    <row r="766" spans="5:8">
      <c r="E766" s="1958"/>
      <c r="G766" s="1958"/>
      <c r="H766" s="1958"/>
    </row>
    <row r="767" spans="5:8">
      <c r="E767" s="1958"/>
      <c r="G767" s="1958"/>
      <c r="H767" s="1958"/>
    </row>
    <row r="768" spans="5:8">
      <c r="E768" s="1958"/>
      <c r="G768" s="1958"/>
      <c r="H768" s="1958"/>
    </row>
    <row r="769" spans="5:8">
      <c r="E769" s="1958"/>
      <c r="G769" s="1958"/>
      <c r="H769" s="1958"/>
    </row>
    <row r="770" spans="5:8">
      <c r="E770" s="1958"/>
      <c r="G770" s="1958"/>
      <c r="H770" s="1958"/>
    </row>
    <row r="771" spans="5:8">
      <c r="E771" s="1958"/>
      <c r="G771" s="1958"/>
      <c r="H771" s="1958"/>
    </row>
    <row r="772" spans="5:8">
      <c r="E772" s="1958"/>
      <c r="G772" s="1958"/>
      <c r="H772" s="1958"/>
    </row>
    <row r="773" spans="5:8">
      <c r="E773" s="1958"/>
      <c r="G773" s="1958"/>
      <c r="H773" s="1958"/>
    </row>
    <row r="774" spans="5:8">
      <c r="E774" s="1958"/>
      <c r="G774" s="1958"/>
      <c r="H774" s="1958"/>
    </row>
    <row r="775" spans="5:8">
      <c r="E775" s="1958"/>
      <c r="G775" s="1958"/>
      <c r="H775" s="1958"/>
    </row>
    <row r="776" spans="5:8">
      <c r="E776" s="1958"/>
      <c r="G776" s="1958"/>
      <c r="H776" s="1958"/>
    </row>
    <row r="777" spans="5:8">
      <c r="E777" s="1958"/>
      <c r="G777" s="1958"/>
      <c r="H777" s="1958"/>
    </row>
    <row r="778" spans="5:8">
      <c r="E778" s="1958"/>
      <c r="G778" s="1958"/>
      <c r="H778" s="1958"/>
    </row>
    <row r="779" spans="5:8">
      <c r="E779" s="1958"/>
      <c r="G779" s="1958"/>
      <c r="H779" s="1958"/>
    </row>
    <row r="780" spans="5:8">
      <c r="E780" s="1958"/>
      <c r="G780" s="1958"/>
      <c r="H780" s="1958"/>
    </row>
    <row r="781" spans="5:8">
      <c r="E781" s="1958"/>
      <c r="G781" s="1958"/>
      <c r="H781" s="1958"/>
    </row>
    <row r="782" spans="5:8">
      <c r="E782" s="1958"/>
      <c r="G782" s="1958"/>
      <c r="H782" s="1958"/>
    </row>
    <row r="783" spans="5:8">
      <c r="E783" s="1958"/>
      <c r="G783" s="1958"/>
      <c r="H783" s="1958"/>
    </row>
    <row r="784" spans="5:8">
      <c r="E784" s="1958"/>
      <c r="G784" s="1958"/>
      <c r="H784" s="1958"/>
    </row>
    <row r="785" spans="5:8">
      <c r="E785" s="1958"/>
      <c r="G785" s="1958"/>
      <c r="H785" s="1958"/>
    </row>
    <row r="786" spans="5:8">
      <c r="E786" s="1958"/>
      <c r="G786" s="1958"/>
      <c r="H786" s="1958"/>
    </row>
    <row r="787" spans="5:8">
      <c r="E787" s="1958"/>
      <c r="G787" s="1958"/>
      <c r="H787" s="1958"/>
    </row>
    <row r="788" spans="5:8">
      <c r="E788" s="1958"/>
      <c r="G788" s="1958"/>
      <c r="H788" s="1958"/>
    </row>
    <row r="789" spans="5:8">
      <c r="E789" s="1958"/>
      <c r="G789" s="1958"/>
      <c r="H789" s="1958"/>
    </row>
    <row r="790" spans="5:8">
      <c r="E790" s="1958"/>
      <c r="G790" s="1958"/>
      <c r="H790" s="1958"/>
    </row>
    <row r="791" spans="5:8">
      <c r="E791" s="1958"/>
      <c r="G791" s="1958"/>
      <c r="H791" s="1958"/>
    </row>
    <row r="792" spans="5:8">
      <c r="E792" s="1958"/>
      <c r="G792" s="1958"/>
      <c r="H792" s="1958"/>
    </row>
    <row r="793" spans="5:8">
      <c r="E793" s="1958"/>
      <c r="G793" s="1958"/>
      <c r="H793" s="1958"/>
    </row>
    <row r="794" spans="5:8">
      <c r="E794" s="1958"/>
      <c r="G794" s="1958"/>
      <c r="H794" s="1958"/>
    </row>
    <row r="795" spans="5:8">
      <c r="E795" s="1958"/>
      <c r="G795" s="1958"/>
      <c r="H795" s="1958"/>
    </row>
    <row r="796" spans="5:8">
      <c r="E796" s="1958"/>
      <c r="G796" s="1958"/>
      <c r="H796" s="1958"/>
    </row>
    <row r="797" spans="5:8">
      <c r="E797" s="1958"/>
      <c r="G797" s="1958"/>
      <c r="H797" s="1958"/>
    </row>
    <row r="798" spans="5:8">
      <c r="E798" s="1958"/>
      <c r="G798" s="1958"/>
      <c r="H798" s="1958"/>
    </row>
    <row r="799" spans="5:8">
      <c r="E799" s="1958"/>
      <c r="G799" s="1958"/>
      <c r="H799" s="1958"/>
    </row>
    <row r="800" spans="5:8">
      <c r="E800" s="1958"/>
      <c r="G800" s="1958"/>
      <c r="H800" s="1958"/>
    </row>
    <row r="801" spans="5:8">
      <c r="E801" s="1958"/>
      <c r="G801" s="1958"/>
      <c r="H801" s="1958"/>
    </row>
    <row r="802" spans="5:8">
      <c r="E802" s="1958"/>
      <c r="G802" s="1958"/>
      <c r="H802" s="1958"/>
    </row>
    <row r="803" spans="5:8">
      <c r="E803" s="1958"/>
      <c r="G803" s="1958"/>
      <c r="H803" s="1958"/>
    </row>
    <row r="804" spans="5:8">
      <c r="E804" s="1958"/>
      <c r="G804" s="1958"/>
      <c r="H804" s="1958"/>
    </row>
    <row r="805" spans="5:8">
      <c r="E805" s="1958"/>
      <c r="G805" s="1958"/>
      <c r="H805" s="1958"/>
    </row>
    <row r="806" spans="5:8">
      <c r="E806" s="1958"/>
      <c r="G806" s="1958"/>
      <c r="H806" s="1958"/>
    </row>
    <row r="807" spans="5:8">
      <c r="E807" s="1958"/>
      <c r="G807" s="1958"/>
      <c r="H807" s="1958"/>
    </row>
    <row r="808" spans="5:8">
      <c r="E808" s="1958"/>
      <c r="G808" s="1958"/>
      <c r="H808" s="1958"/>
    </row>
    <row r="809" spans="5:8">
      <c r="E809" s="1958"/>
      <c r="G809" s="1958"/>
      <c r="H809" s="1958"/>
    </row>
    <row r="810" spans="5:8">
      <c r="E810" s="1958"/>
      <c r="G810" s="1958"/>
      <c r="H810" s="1958"/>
    </row>
    <row r="811" spans="5:8">
      <c r="E811" s="1958"/>
      <c r="G811" s="1958"/>
      <c r="H811" s="1958"/>
    </row>
    <row r="812" spans="5:8">
      <c r="E812" s="1958"/>
      <c r="G812" s="1958"/>
      <c r="H812" s="1958"/>
    </row>
    <row r="813" spans="5:8">
      <c r="E813" s="1958"/>
      <c r="G813" s="1958"/>
      <c r="H813" s="1958"/>
    </row>
    <row r="814" spans="5:8">
      <c r="E814" s="1958"/>
      <c r="G814" s="1958"/>
      <c r="H814" s="1958"/>
    </row>
    <row r="815" spans="5:8">
      <c r="E815" s="1958"/>
      <c r="G815" s="1958"/>
      <c r="H815" s="1958"/>
    </row>
    <row r="816" spans="5:8">
      <c r="E816" s="1958"/>
      <c r="G816" s="1958"/>
      <c r="H816" s="1958"/>
    </row>
    <row r="817" spans="5:8">
      <c r="E817" s="1958"/>
      <c r="G817" s="1958"/>
      <c r="H817" s="1958"/>
    </row>
    <row r="818" spans="5:8">
      <c r="E818" s="1958"/>
      <c r="G818" s="1958"/>
      <c r="H818" s="1958"/>
    </row>
    <row r="819" spans="5:8">
      <c r="E819" s="1958"/>
      <c r="G819" s="1958"/>
      <c r="H819" s="1958"/>
    </row>
    <row r="820" spans="5:8">
      <c r="E820" s="1958"/>
      <c r="G820" s="1958"/>
      <c r="H820" s="1958"/>
    </row>
    <row r="821" spans="5:8">
      <c r="E821" s="1958"/>
      <c r="G821" s="1958"/>
      <c r="H821" s="1958"/>
    </row>
    <row r="822" spans="5:8">
      <c r="E822" s="1958"/>
      <c r="G822" s="1958"/>
      <c r="H822" s="1958"/>
    </row>
    <row r="823" spans="5:8">
      <c r="E823" s="1958"/>
      <c r="G823" s="1958"/>
      <c r="H823" s="1958"/>
    </row>
    <row r="824" spans="5:8">
      <c r="E824" s="1958"/>
      <c r="G824" s="1958"/>
      <c r="H824" s="1958"/>
    </row>
    <row r="825" spans="5:8">
      <c r="E825" s="1958"/>
      <c r="G825" s="1958"/>
      <c r="H825" s="1958"/>
    </row>
    <row r="826" spans="5:8">
      <c r="E826" s="1958"/>
      <c r="G826" s="1958"/>
      <c r="H826" s="1958"/>
    </row>
    <row r="827" spans="5:8">
      <c r="E827" s="1958"/>
      <c r="G827" s="1958"/>
      <c r="H827" s="1958"/>
    </row>
    <row r="828" spans="5:8">
      <c r="E828" s="1958"/>
      <c r="G828" s="1958"/>
      <c r="H828" s="1958"/>
    </row>
    <row r="829" spans="5:8">
      <c r="E829" s="1958"/>
      <c r="G829" s="1958"/>
      <c r="H829" s="1958"/>
    </row>
    <row r="830" spans="5:8">
      <c r="E830" s="1958"/>
      <c r="G830" s="1958"/>
      <c r="H830" s="1958"/>
    </row>
    <row r="831" spans="5:8">
      <c r="E831" s="1958"/>
      <c r="G831" s="1958"/>
      <c r="H831" s="1958"/>
    </row>
    <row r="832" spans="5:8">
      <c r="E832" s="1958"/>
      <c r="G832" s="1958"/>
      <c r="H832" s="1958"/>
    </row>
    <row r="833" spans="5:8">
      <c r="E833" s="1958"/>
      <c r="G833" s="1958"/>
      <c r="H833" s="1958"/>
    </row>
    <row r="834" spans="5:8">
      <c r="E834" s="1958"/>
      <c r="G834" s="1958"/>
      <c r="H834" s="1958"/>
    </row>
    <row r="835" spans="5:8">
      <c r="E835" s="1958"/>
      <c r="G835" s="1958"/>
      <c r="H835" s="1958"/>
    </row>
    <row r="836" spans="5:8">
      <c r="E836" s="1958"/>
      <c r="G836" s="1958"/>
      <c r="H836" s="1958"/>
    </row>
    <row r="837" spans="5:8">
      <c r="E837" s="1958"/>
      <c r="G837" s="1958"/>
      <c r="H837" s="1958"/>
    </row>
    <row r="838" spans="5:8">
      <c r="E838" s="1958"/>
      <c r="G838" s="1958"/>
      <c r="H838" s="1958"/>
    </row>
    <row r="839" spans="5:8">
      <c r="E839" s="1958"/>
      <c r="G839" s="1958"/>
      <c r="H839" s="1958"/>
    </row>
    <row r="840" spans="5:8">
      <c r="E840" s="1958"/>
      <c r="G840" s="1958"/>
      <c r="H840" s="1958"/>
    </row>
    <row r="841" spans="5:8">
      <c r="E841" s="1958"/>
      <c r="G841" s="1958"/>
      <c r="H841" s="1958"/>
    </row>
    <row r="842" spans="5:8">
      <c r="E842" s="1958"/>
      <c r="G842" s="1958"/>
      <c r="H842" s="1958"/>
    </row>
    <row r="843" spans="5:8">
      <c r="E843" s="1958"/>
      <c r="G843" s="1958"/>
      <c r="H843" s="1958"/>
    </row>
    <row r="844" spans="5:8">
      <c r="E844" s="1958"/>
      <c r="G844" s="1958"/>
      <c r="H844" s="1958"/>
    </row>
    <row r="845" spans="5:8">
      <c r="E845" s="1958"/>
      <c r="G845" s="1958"/>
      <c r="H845" s="1958"/>
    </row>
    <row r="846" spans="5:8">
      <c r="E846" s="1958"/>
      <c r="G846" s="1958"/>
      <c r="H846" s="1958"/>
    </row>
    <row r="847" spans="5:8">
      <c r="E847" s="1958"/>
      <c r="G847" s="1958"/>
      <c r="H847" s="1958"/>
    </row>
    <row r="848" spans="5:8">
      <c r="E848" s="1958"/>
      <c r="G848" s="1958"/>
      <c r="H848" s="1958"/>
    </row>
    <row r="849" spans="5:8">
      <c r="E849" s="1958"/>
      <c r="G849" s="1958"/>
      <c r="H849" s="1958"/>
    </row>
    <row r="850" spans="5:8">
      <c r="E850" s="1958"/>
      <c r="G850" s="1958"/>
      <c r="H850" s="1958"/>
    </row>
    <row r="851" spans="5:8">
      <c r="E851" s="1958"/>
      <c r="G851" s="1958"/>
      <c r="H851" s="1958"/>
    </row>
    <row r="852" spans="5:8">
      <c r="E852" s="1958"/>
      <c r="G852" s="1958"/>
      <c r="H852" s="1958"/>
    </row>
    <row r="853" spans="5:8">
      <c r="E853" s="1958"/>
      <c r="G853" s="1958"/>
      <c r="H853" s="1958"/>
    </row>
    <row r="854" spans="5:8">
      <c r="E854" s="1958"/>
      <c r="G854" s="1958"/>
      <c r="H854" s="1958"/>
    </row>
    <row r="855" spans="5:8">
      <c r="E855" s="1958"/>
      <c r="G855" s="1958"/>
      <c r="H855" s="1958"/>
    </row>
    <row r="856" spans="5:8">
      <c r="E856" s="1958"/>
      <c r="G856" s="1958"/>
      <c r="H856" s="1958"/>
    </row>
    <row r="857" spans="5:8">
      <c r="E857" s="1958"/>
      <c r="G857" s="1958"/>
      <c r="H857" s="1958"/>
    </row>
    <row r="858" spans="5:8">
      <c r="E858" s="1958"/>
      <c r="G858" s="1958"/>
      <c r="H858" s="1958"/>
    </row>
    <row r="859" spans="5:8">
      <c r="E859" s="1958"/>
      <c r="G859" s="1958"/>
      <c r="H859" s="1958"/>
    </row>
    <row r="860" spans="5:8">
      <c r="E860" s="1958"/>
      <c r="G860" s="1958"/>
      <c r="H860" s="1958"/>
    </row>
    <row r="861" spans="5:8">
      <c r="E861" s="1958"/>
      <c r="G861" s="1958"/>
      <c r="H861" s="1958"/>
    </row>
    <row r="862" spans="5:8">
      <c r="E862" s="1958"/>
      <c r="G862" s="1958"/>
      <c r="H862" s="1958"/>
    </row>
    <row r="863" spans="5:8">
      <c r="E863" s="1958"/>
      <c r="G863" s="1958"/>
      <c r="H863" s="1958"/>
    </row>
    <row r="864" spans="5:8">
      <c r="E864" s="1958"/>
      <c r="G864" s="1958"/>
      <c r="H864" s="1958"/>
    </row>
    <row r="865" spans="5:8">
      <c r="E865" s="1958"/>
      <c r="G865" s="1958"/>
      <c r="H865" s="1958"/>
    </row>
    <row r="866" spans="5:8">
      <c r="E866" s="1958"/>
      <c r="G866" s="1958"/>
      <c r="H866" s="1958"/>
    </row>
    <row r="867" spans="5:8">
      <c r="E867" s="1958"/>
      <c r="G867" s="1958"/>
      <c r="H867" s="1958"/>
    </row>
    <row r="868" spans="5:8">
      <c r="E868" s="1958"/>
      <c r="G868" s="1958"/>
      <c r="H868" s="1958"/>
    </row>
    <row r="869" spans="5:8">
      <c r="E869" s="1958"/>
      <c r="G869" s="1958"/>
      <c r="H869" s="1958"/>
    </row>
    <row r="870" spans="5:8">
      <c r="E870" s="1958"/>
      <c r="G870" s="1958"/>
      <c r="H870" s="1958"/>
    </row>
    <row r="871" spans="5:8">
      <c r="E871" s="1958"/>
      <c r="G871" s="1958"/>
      <c r="H871" s="1958"/>
    </row>
    <row r="872" spans="5:8">
      <c r="E872" s="1958"/>
      <c r="G872" s="1958"/>
      <c r="H872" s="1958"/>
    </row>
    <row r="873" spans="5:8">
      <c r="E873" s="1958"/>
      <c r="G873" s="1958"/>
      <c r="H873" s="1958"/>
    </row>
    <row r="874" spans="5:8">
      <c r="E874" s="1958"/>
      <c r="G874" s="1958"/>
      <c r="H874" s="1958"/>
    </row>
    <row r="875" spans="5:8">
      <c r="E875" s="1958"/>
      <c r="G875" s="1958"/>
      <c r="H875" s="1958"/>
    </row>
    <row r="876" spans="5:8">
      <c r="E876" s="1958"/>
      <c r="G876" s="1958"/>
      <c r="H876" s="1958"/>
    </row>
    <row r="877" spans="5:8">
      <c r="E877" s="1958"/>
      <c r="G877" s="1958"/>
      <c r="H877" s="1958"/>
    </row>
    <row r="878" spans="5:8">
      <c r="E878" s="1958"/>
      <c r="G878" s="1958"/>
      <c r="H878" s="1958"/>
    </row>
    <row r="879" spans="5:8">
      <c r="E879" s="1958"/>
      <c r="G879" s="1958"/>
      <c r="H879" s="1958"/>
    </row>
    <row r="880" spans="5:8">
      <c r="E880" s="1958"/>
      <c r="G880" s="1958"/>
      <c r="H880" s="1958"/>
    </row>
    <row r="881" spans="5:8">
      <c r="E881" s="1958"/>
      <c r="G881" s="1958"/>
      <c r="H881" s="1958"/>
    </row>
    <row r="882" spans="5:8">
      <c r="E882" s="1958"/>
      <c r="G882" s="1958"/>
      <c r="H882" s="1958"/>
    </row>
    <row r="883" spans="5:8">
      <c r="E883" s="1958"/>
      <c r="G883" s="1958"/>
      <c r="H883" s="1958"/>
    </row>
    <row r="884" spans="5:8">
      <c r="E884" s="1958"/>
      <c r="G884" s="1958"/>
      <c r="H884" s="1958"/>
    </row>
    <row r="885" spans="5:8">
      <c r="E885" s="1958"/>
      <c r="G885" s="1958"/>
      <c r="H885" s="1958"/>
    </row>
    <row r="886" spans="5:8">
      <c r="E886" s="1958"/>
      <c r="G886" s="1958"/>
      <c r="H886" s="1958"/>
    </row>
    <row r="887" spans="5:8">
      <c r="E887" s="1958"/>
      <c r="G887" s="1958"/>
      <c r="H887" s="1958"/>
    </row>
    <row r="888" spans="5:8">
      <c r="E888" s="1958"/>
      <c r="G888" s="1958"/>
      <c r="H888" s="1958"/>
    </row>
    <row r="889" spans="5:8">
      <c r="E889" s="1958"/>
      <c r="G889" s="1958"/>
      <c r="H889" s="1958"/>
    </row>
    <row r="890" spans="5:8">
      <c r="E890" s="1958"/>
      <c r="G890" s="1958"/>
      <c r="H890" s="1958"/>
    </row>
    <row r="891" spans="5:8">
      <c r="E891" s="1958"/>
      <c r="G891" s="1958"/>
      <c r="H891" s="1958"/>
    </row>
    <row r="892" spans="5:8">
      <c r="E892" s="1958"/>
      <c r="G892" s="1958"/>
      <c r="H892" s="1958"/>
    </row>
    <row r="893" spans="5:8">
      <c r="E893" s="1958"/>
      <c r="G893" s="1958"/>
      <c r="H893" s="1958"/>
    </row>
    <row r="894" spans="5:8">
      <c r="E894" s="1958"/>
      <c r="G894" s="1958"/>
      <c r="H894" s="1958"/>
    </row>
    <row r="895" spans="5:8">
      <c r="E895" s="1958"/>
      <c r="G895" s="1958"/>
      <c r="H895" s="1958"/>
    </row>
    <row r="896" spans="5:8">
      <c r="E896" s="1958"/>
      <c r="G896" s="1958"/>
      <c r="H896" s="1958"/>
    </row>
    <row r="897" spans="5:8">
      <c r="E897" s="1958"/>
      <c r="G897" s="1958"/>
      <c r="H897" s="1958"/>
    </row>
    <row r="898" spans="5:8">
      <c r="E898" s="1958"/>
      <c r="G898" s="1958"/>
      <c r="H898" s="1958"/>
    </row>
    <row r="899" spans="5:8">
      <c r="E899" s="1958"/>
      <c r="G899" s="1958"/>
      <c r="H899" s="1958"/>
    </row>
    <row r="900" spans="5:8">
      <c r="E900" s="1958"/>
      <c r="G900" s="1958"/>
      <c r="H900" s="1958"/>
    </row>
    <row r="901" spans="5:8">
      <c r="E901" s="1958"/>
      <c r="G901" s="1958"/>
      <c r="H901" s="1958"/>
    </row>
    <row r="902" spans="5:8">
      <c r="E902" s="1958"/>
      <c r="G902" s="1958"/>
      <c r="H902" s="1958"/>
    </row>
    <row r="903" spans="5:8">
      <c r="E903" s="1958"/>
      <c r="G903" s="1958"/>
      <c r="H903" s="1958"/>
    </row>
    <row r="904" spans="5:8">
      <c r="E904" s="1958"/>
      <c r="G904" s="1958"/>
      <c r="H904" s="1958"/>
    </row>
    <row r="905" spans="5:8">
      <c r="E905" s="1958"/>
      <c r="G905" s="1958"/>
      <c r="H905" s="1958"/>
    </row>
    <row r="906" spans="5:8">
      <c r="E906" s="1958"/>
      <c r="G906" s="1958"/>
      <c r="H906" s="1958"/>
    </row>
    <row r="907" spans="5:8">
      <c r="E907" s="1958"/>
      <c r="G907" s="1958"/>
      <c r="H907" s="1958"/>
    </row>
    <row r="908" spans="5:8">
      <c r="E908" s="1958"/>
      <c r="G908" s="1958"/>
      <c r="H908" s="1958"/>
    </row>
    <row r="909" spans="5:8">
      <c r="E909" s="1958"/>
      <c r="G909" s="1958"/>
      <c r="H909" s="1958"/>
    </row>
    <row r="910" spans="5:8">
      <c r="E910" s="1958"/>
      <c r="G910" s="1958"/>
      <c r="H910" s="1958"/>
    </row>
    <row r="911" spans="5:8">
      <c r="E911" s="1958"/>
      <c r="G911" s="1958"/>
      <c r="H911" s="1958"/>
    </row>
    <row r="912" spans="5:8">
      <c r="E912" s="1958"/>
      <c r="G912" s="1958"/>
      <c r="H912" s="1958"/>
    </row>
    <row r="913" spans="5:8">
      <c r="E913" s="1958"/>
      <c r="G913" s="1958"/>
      <c r="H913" s="1958"/>
    </row>
    <row r="914" spans="5:8">
      <c r="E914" s="1958"/>
      <c r="G914" s="1958"/>
      <c r="H914" s="1958"/>
    </row>
    <row r="915" spans="5:8">
      <c r="E915" s="1958"/>
      <c r="G915" s="1958"/>
      <c r="H915" s="1958"/>
    </row>
    <row r="916" spans="5:8">
      <c r="E916" s="1958"/>
      <c r="G916" s="1958"/>
      <c r="H916" s="1958"/>
    </row>
    <row r="917" spans="5:8">
      <c r="E917" s="1958"/>
      <c r="G917" s="1958"/>
      <c r="H917" s="1958"/>
    </row>
    <row r="918" spans="5:8">
      <c r="E918" s="1958"/>
      <c r="G918" s="1958"/>
      <c r="H918" s="1958"/>
    </row>
    <row r="919" spans="5:8">
      <c r="E919" s="1958"/>
      <c r="G919" s="1958"/>
      <c r="H919" s="1958"/>
    </row>
    <row r="920" spans="5:8">
      <c r="E920" s="1958"/>
      <c r="G920" s="1958"/>
      <c r="H920" s="1958"/>
    </row>
    <row r="921" spans="5:8">
      <c r="E921" s="1958"/>
      <c r="G921" s="1958"/>
      <c r="H921" s="1958"/>
    </row>
    <row r="922" spans="5:8">
      <c r="E922" s="1958"/>
      <c r="G922" s="1958"/>
      <c r="H922" s="1958"/>
    </row>
    <row r="923" spans="5:8">
      <c r="E923" s="1958"/>
      <c r="G923" s="1958"/>
      <c r="H923" s="1958"/>
    </row>
    <row r="924" spans="5:8">
      <c r="E924" s="1958"/>
      <c r="G924" s="1958"/>
      <c r="H924" s="1958"/>
    </row>
    <row r="925" spans="5:8">
      <c r="E925" s="1958"/>
      <c r="G925" s="1958"/>
      <c r="H925" s="1958"/>
    </row>
    <row r="926" spans="5:8">
      <c r="E926" s="1958"/>
      <c r="G926" s="1958"/>
      <c r="H926" s="1958"/>
    </row>
    <row r="927" spans="5:8">
      <c r="E927" s="1958"/>
      <c r="G927" s="1958"/>
      <c r="H927" s="1958"/>
    </row>
    <row r="928" spans="5:8">
      <c r="E928" s="1958"/>
      <c r="G928" s="1958"/>
      <c r="H928" s="1958"/>
    </row>
    <row r="929" spans="5:8">
      <c r="E929" s="1958"/>
      <c r="G929" s="1958"/>
      <c r="H929" s="1958"/>
    </row>
    <row r="930" spans="5:8">
      <c r="E930" s="1958"/>
      <c r="G930" s="1958"/>
      <c r="H930" s="1958"/>
    </row>
    <row r="931" spans="5:8">
      <c r="E931" s="1958"/>
      <c r="G931" s="1958"/>
      <c r="H931" s="1958"/>
    </row>
    <row r="932" spans="5:8">
      <c r="E932" s="1958"/>
      <c r="G932" s="1958"/>
      <c r="H932" s="1958"/>
    </row>
    <row r="933" spans="5:8">
      <c r="E933" s="1958"/>
      <c r="G933" s="1958"/>
      <c r="H933" s="1958"/>
    </row>
    <row r="934" spans="5:8">
      <c r="E934" s="1958"/>
      <c r="G934" s="1958"/>
      <c r="H934" s="1958"/>
    </row>
    <row r="935" spans="5:8">
      <c r="E935" s="1958"/>
      <c r="G935" s="1958"/>
      <c r="H935" s="1958"/>
    </row>
    <row r="936" spans="5:8">
      <c r="E936" s="1958"/>
      <c r="G936" s="1958"/>
      <c r="H936" s="1958"/>
    </row>
    <row r="937" spans="5:8">
      <c r="E937" s="1958"/>
      <c r="G937" s="1958"/>
      <c r="H937" s="1958"/>
    </row>
    <row r="938" spans="5:8">
      <c r="E938" s="1958"/>
      <c r="G938" s="1958"/>
      <c r="H938" s="1958"/>
    </row>
    <row r="939" spans="5:8">
      <c r="E939" s="1958"/>
      <c r="G939" s="1958"/>
      <c r="H939" s="1958"/>
    </row>
    <row r="940" spans="5:8">
      <c r="E940" s="1958"/>
      <c r="G940" s="1958"/>
      <c r="H940" s="1958"/>
    </row>
    <row r="941" spans="5:8">
      <c r="E941" s="1958"/>
      <c r="G941" s="1958"/>
      <c r="H941" s="1958"/>
    </row>
    <row r="942" spans="5:8">
      <c r="E942" s="1958"/>
      <c r="G942" s="1958"/>
      <c r="H942" s="1958"/>
    </row>
    <row r="943" spans="5:8">
      <c r="E943" s="1958"/>
      <c r="G943" s="1958"/>
      <c r="H943" s="1958"/>
    </row>
    <row r="944" spans="5:8">
      <c r="E944" s="1958"/>
      <c r="G944" s="1958"/>
      <c r="H944" s="1958"/>
    </row>
    <row r="945" spans="5:8">
      <c r="E945" s="1958"/>
      <c r="G945" s="1958"/>
      <c r="H945" s="1958"/>
    </row>
    <row r="946" spans="5:8">
      <c r="E946" s="1958"/>
      <c r="G946" s="1958"/>
      <c r="H946" s="1958"/>
    </row>
    <row r="947" spans="5:8">
      <c r="E947" s="1958"/>
      <c r="G947" s="1958"/>
      <c r="H947" s="1958"/>
    </row>
    <row r="948" spans="5:8">
      <c r="E948" s="1958"/>
      <c r="G948" s="1958"/>
      <c r="H948" s="1958"/>
    </row>
    <row r="949" spans="5:8">
      <c r="E949" s="1958"/>
      <c r="G949" s="1958"/>
      <c r="H949" s="1958"/>
    </row>
    <row r="950" spans="5:8">
      <c r="E950" s="1958"/>
      <c r="G950" s="1958"/>
      <c r="H950" s="1958"/>
    </row>
    <row r="951" spans="5:8">
      <c r="E951" s="1958"/>
      <c r="G951" s="1958"/>
      <c r="H951" s="1958"/>
    </row>
    <row r="952" spans="5:8">
      <c r="E952" s="1958"/>
      <c r="G952" s="1958"/>
      <c r="H952" s="1958"/>
    </row>
    <row r="953" spans="5:8">
      <c r="E953" s="1958"/>
      <c r="G953" s="1958"/>
      <c r="H953" s="1958"/>
    </row>
    <row r="954" spans="5:8">
      <c r="E954" s="1958"/>
      <c r="G954" s="1958"/>
      <c r="H954" s="1958"/>
    </row>
    <row r="955" spans="5:8">
      <c r="E955" s="1958"/>
      <c r="G955" s="1958"/>
      <c r="H955" s="1958"/>
    </row>
    <row r="956" spans="5:8">
      <c r="E956" s="1958"/>
      <c r="G956" s="1958"/>
      <c r="H956" s="1958"/>
    </row>
    <row r="957" spans="5:8">
      <c r="E957" s="1958"/>
      <c r="G957" s="1958"/>
      <c r="H957" s="1958"/>
    </row>
    <row r="958" spans="5:8">
      <c r="E958" s="1958"/>
      <c r="G958" s="1958"/>
      <c r="H958" s="1958"/>
    </row>
    <row r="959" spans="5:8">
      <c r="E959" s="1958"/>
      <c r="G959" s="1958"/>
      <c r="H959" s="1958"/>
    </row>
    <row r="960" spans="5:8">
      <c r="E960" s="1958"/>
      <c r="G960" s="1958"/>
      <c r="H960" s="1958"/>
    </row>
    <row r="961" spans="5:8">
      <c r="E961" s="1958"/>
      <c r="G961" s="1958"/>
      <c r="H961" s="1958"/>
    </row>
    <row r="962" spans="5:8">
      <c r="E962" s="1958"/>
      <c r="G962" s="1958"/>
      <c r="H962" s="1958"/>
    </row>
    <row r="963" spans="5:8">
      <c r="E963" s="1958"/>
      <c r="G963" s="1958"/>
      <c r="H963" s="1958"/>
    </row>
    <row r="964" spans="5:8">
      <c r="E964" s="1958"/>
      <c r="G964" s="1958"/>
      <c r="H964" s="1958"/>
    </row>
    <row r="965" spans="5:8">
      <c r="E965" s="1958"/>
      <c r="G965" s="1958"/>
      <c r="H965" s="1958"/>
    </row>
    <row r="966" spans="5:8">
      <c r="E966" s="1958"/>
      <c r="G966" s="1958"/>
      <c r="H966" s="1958"/>
    </row>
    <row r="967" spans="5:8">
      <c r="E967" s="1958"/>
      <c r="G967" s="1958"/>
      <c r="H967" s="1958"/>
    </row>
    <row r="968" spans="5:8">
      <c r="E968" s="1958"/>
      <c r="G968" s="1958"/>
      <c r="H968" s="1958"/>
    </row>
    <row r="969" spans="5:8">
      <c r="E969" s="1958"/>
      <c r="G969" s="1958"/>
      <c r="H969" s="1958"/>
    </row>
    <row r="970" spans="5:8">
      <c r="E970" s="1958"/>
      <c r="G970" s="1958"/>
      <c r="H970" s="1958"/>
    </row>
    <row r="971" spans="5:8">
      <c r="E971" s="1958"/>
      <c r="G971" s="1958"/>
      <c r="H971" s="1958"/>
    </row>
    <row r="972" spans="5:8">
      <c r="E972" s="1958"/>
      <c r="G972" s="1958"/>
      <c r="H972" s="1958"/>
    </row>
    <row r="973" spans="5:8">
      <c r="E973" s="1958"/>
      <c r="G973" s="1958"/>
      <c r="H973" s="1958"/>
    </row>
    <row r="974" spans="5:8">
      <c r="E974" s="1958"/>
      <c r="G974" s="1958"/>
      <c r="H974" s="1958"/>
    </row>
    <row r="975" spans="5:8">
      <c r="E975" s="1958"/>
      <c r="G975" s="1958"/>
      <c r="H975" s="1958"/>
    </row>
    <row r="976" spans="5:8">
      <c r="E976" s="1958"/>
      <c r="G976" s="1958"/>
      <c r="H976" s="1958"/>
    </row>
    <row r="977" spans="5:8">
      <c r="E977" s="1958"/>
      <c r="G977" s="1958"/>
      <c r="H977" s="1958"/>
    </row>
    <row r="978" spans="5:8">
      <c r="E978" s="1958"/>
      <c r="G978" s="1958"/>
      <c r="H978" s="1958"/>
    </row>
    <row r="979" spans="5:8">
      <c r="E979" s="1958"/>
      <c r="G979" s="1958"/>
      <c r="H979" s="1958"/>
    </row>
    <row r="980" spans="5:8">
      <c r="E980" s="1958"/>
      <c r="G980" s="1958"/>
      <c r="H980" s="1958"/>
    </row>
    <row r="981" spans="5:8">
      <c r="E981" s="1958"/>
      <c r="G981" s="1958"/>
      <c r="H981" s="1958"/>
    </row>
    <row r="982" spans="5:8">
      <c r="E982" s="1958"/>
      <c r="G982" s="1958"/>
      <c r="H982" s="1958"/>
    </row>
    <row r="983" spans="5:8">
      <c r="E983" s="1958"/>
      <c r="G983" s="1958"/>
      <c r="H983" s="1958"/>
    </row>
    <row r="984" spans="5:8">
      <c r="E984" s="1958"/>
      <c r="G984" s="1958"/>
      <c r="H984" s="1958"/>
    </row>
    <row r="985" spans="5:8">
      <c r="E985" s="1958"/>
      <c r="G985" s="1958"/>
      <c r="H985" s="1958"/>
    </row>
    <row r="986" spans="5:8">
      <c r="E986" s="1958"/>
      <c r="G986" s="1958"/>
      <c r="H986" s="1958"/>
    </row>
    <row r="987" spans="5:8">
      <c r="E987" s="1958"/>
      <c r="G987" s="1958"/>
      <c r="H987" s="1958"/>
    </row>
    <row r="988" spans="5:8">
      <c r="E988" s="1958"/>
      <c r="G988" s="1958"/>
      <c r="H988" s="1958"/>
    </row>
    <row r="989" spans="5:8">
      <c r="E989" s="1958"/>
      <c r="G989" s="1958"/>
      <c r="H989" s="1958"/>
    </row>
    <row r="990" spans="5:8">
      <c r="E990" s="1958"/>
      <c r="G990" s="1958"/>
      <c r="H990" s="1958"/>
    </row>
    <row r="991" spans="5:8">
      <c r="E991" s="1958"/>
      <c r="G991" s="1958"/>
      <c r="H991" s="1958"/>
    </row>
    <row r="992" spans="5:8">
      <c r="E992" s="1958"/>
      <c r="G992" s="1958"/>
      <c r="H992" s="1958"/>
    </row>
    <row r="993" spans="5:8">
      <c r="E993" s="1958"/>
      <c r="G993" s="1958"/>
      <c r="H993" s="1958"/>
    </row>
    <row r="994" spans="5:8">
      <c r="E994" s="1958"/>
      <c r="G994" s="1958"/>
      <c r="H994" s="1958"/>
    </row>
    <row r="995" spans="5:8">
      <c r="E995" s="1958"/>
      <c r="G995" s="1958"/>
      <c r="H995" s="1958"/>
    </row>
    <row r="996" spans="5:8">
      <c r="E996" s="1958"/>
      <c r="G996" s="1958"/>
      <c r="H996" s="1958"/>
    </row>
    <row r="997" spans="5:8">
      <c r="E997" s="1958"/>
      <c r="G997" s="1958"/>
      <c r="H997" s="1958"/>
    </row>
    <row r="998" spans="5:8">
      <c r="E998" s="1958"/>
      <c r="G998" s="1958"/>
      <c r="H998" s="1958"/>
    </row>
    <row r="999" spans="5:8">
      <c r="E999" s="1958"/>
      <c r="G999" s="1958"/>
      <c r="H999" s="1958"/>
    </row>
    <row r="1000" spans="5:8">
      <c r="E1000" s="1958"/>
      <c r="G1000" s="1958"/>
      <c r="H1000" s="1958"/>
    </row>
    <row r="1001" spans="5:8">
      <c r="E1001" s="1958"/>
      <c r="G1001" s="1958"/>
      <c r="H1001" s="1958"/>
    </row>
    <row r="1002" spans="5:8">
      <c r="E1002" s="1958"/>
      <c r="G1002" s="1958"/>
      <c r="H1002" s="1958"/>
    </row>
    <row r="1003" spans="5:8">
      <c r="E1003" s="1958"/>
      <c r="G1003" s="1958"/>
      <c r="H1003" s="1958"/>
    </row>
    <row r="1004" spans="5:8">
      <c r="E1004" s="1958"/>
      <c r="G1004" s="1958"/>
      <c r="H1004" s="1958"/>
    </row>
    <row r="1005" spans="5:8">
      <c r="E1005" s="1958"/>
      <c r="G1005" s="1958"/>
      <c r="H1005" s="1958"/>
    </row>
    <row r="1006" spans="5:8">
      <c r="E1006" s="1958"/>
      <c r="G1006" s="1958"/>
      <c r="H1006" s="1958"/>
    </row>
    <row r="1007" spans="5:8">
      <c r="E1007" s="1958"/>
      <c r="G1007" s="1958"/>
      <c r="H1007" s="1958"/>
    </row>
    <row r="1008" spans="5:8">
      <c r="E1008" s="1958"/>
      <c r="G1008" s="1958"/>
      <c r="H1008" s="1958"/>
    </row>
    <row r="1009" spans="5:8">
      <c r="E1009" s="1958"/>
      <c r="G1009" s="1958"/>
      <c r="H1009" s="1958"/>
    </row>
    <row r="1010" spans="5:8">
      <c r="E1010" s="1958"/>
      <c r="G1010" s="1958"/>
      <c r="H1010" s="1958"/>
    </row>
    <row r="1011" spans="5:8">
      <c r="E1011" s="1958"/>
      <c r="G1011" s="1958"/>
      <c r="H1011" s="1958"/>
    </row>
    <row r="1012" spans="5:8">
      <c r="E1012" s="1958"/>
      <c r="G1012" s="1958"/>
      <c r="H1012" s="1958"/>
    </row>
    <row r="1013" spans="5:8">
      <c r="E1013" s="1958"/>
      <c r="G1013" s="1958"/>
      <c r="H1013" s="1958"/>
    </row>
    <row r="1014" spans="5:8">
      <c r="E1014" s="1958"/>
      <c r="G1014" s="1958"/>
      <c r="H1014" s="1958"/>
    </row>
    <row r="1015" spans="5:8">
      <c r="E1015" s="1958"/>
      <c r="G1015" s="1958"/>
      <c r="H1015" s="1958"/>
    </row>
    <row r="1016" spans="5:8">
      <c r="E1016" s="1958"/>
      <c r="G1016" s="1958"/>
      <c r="H1016" s="1958"/>
    </row>
    <row r="1017" spans="5:8">
      <c r="E1017" s="1958"/>
      <c r="G1017" s="1958"/>
      <c r="H1017" s="1958"/>
    </row>
    <row r="1018" spans="5:8">
      <c r="E1018" s="1958"/>
      <c r="G1018" s="1958"/>
      <c r="H1018" s="1958"/>
    </row>
    <row r="1019" spans="5:8">
      <c r="E1019" s="1958"/>
      <c r="G1019" s="1958"/>
      <c r="H1019" s="1958"/>
    </row>
    <row r="1020" spans="5:8">
      <c r="E1020" s="1958"/>
      <c r="G1020" s="1958"/>
      <c r="H1020" s="1958"/>
    </row>
    <row r="1021" spans="5:8">
      <c r="E1021" s="1958"/>
      <c r="G1021" s="1958"/>
      <c r="H1021" s="1958"/>
    </row>
    <row r="1022" spans="5:8">
      <c r="E1022" s="1958"/>
      <c r="G1022" s="1958"/>
      <c r="H1022" s="1958"/>
    </row>
    <row r="1023" spans="5:8">
      <c r="E1023" s="1958"/>
      <c r="G1023" s="1958"/>
      <c r="H1023" s="1958"/>
    </row>
    <row r="1024" spans="5:8">
      <c r="E1024" s="1958"/>
      <c r="G1024" s="1958"/>
      <c r="H1024" s="1958"/>
    </row>
    <row r="1025" spans="5:8">
      <c r="E1025" s="1958"/>
      <c r="G1025" s="1958"/>
      <c r="H1025" s="1958"/>
    </row>
    <row r="1026" spans="5:8">
      <c r="E1026" s="1958"/>
      <c r="G1026" s="1958"/>
      <c r="H1026" s="1958"/>
    </row>
    <row r="1027" spans="5:8">
      <c r="E1027" s="1958"/>
      <c r="G1027" s="1958"/>
      <c r="H1027" s="1958"/>
    </row>
    <row r="1028" spans="5:8">
      <c r="E1028" s="1958"/>
      <c r="G1028" s="1958"/>
      <c r="H1028" s="1958"/>
    </row>
    <row r="1029" spans="5:8">
      <c r="E1029" s="1958"/>
      <c r="G1029" s="1958"/>
      <c r="H1029" s="1958"/>
    </row>
    <row r="1030" spans="5:8">
      <c r="E1030" s="1958"/>
      <c r="G1030" s="1958"/>
      <c r="H1030" s="1958"/>
    </row>
    <row r="1031" spans="5:8">
      <c r="E1031" s="1958"/>
      <c r="G1031" s="1958"/>
      <c r="H1031" s="1958"/>
    </row>
    <row r="1032" spans="5:8">
      <c r="E1032" s="1958"/>
      <c r="G1032" s="1958"/>
      <c r="H1032" s="1958"/>
    </row>
    <row r="1033" spans="5:8">
      <c r="E1033" s="1958"/>
      <c r="G1033" s="1958"/>
      <c r="H1033" s="1958"/>
    </row>
    <row r="1034" spans="5:8">
      <c r="E1034" s="1958"/>
      <c r="G1034" s="1958"/>
      <c r="H1034" s="1958"/>
    </row>
    <row r="1035" spans="5:8">
      <c r="E1035" s="1958"/>
      <c r="G1035" s="1958"/>
      <c r="H1035" s="1958"/>
    </row>
    <row r="1036" spans="5:8">
      <c r="E1036" s="1958"/>
      <c r="G1036" s="1958"/>
      <c r="H1036" s="1958"/>
    </row>
    <row r="1037" spans="5:8">
      <c r="E1037" s="1958"/>
      <c r="G1037" s="1958"/>
      <c r="H1037" s="1958"/>
    </row>
    <row r="1038" spans="5:8">
      <c r="E1038" s="1958"/>
      <c r="G1038" s="1958"/>
      <c r="H1038" s="1958"/>
    </row>
    <row r="1039" spans="5:8">
      <c r="E1039" s="1958"/>
      <c r="G1039" s="1958"/>
      <c r="H1039" s="1958"/>
    </row>
    <row r="1040" spans="5:8">
      <c r="E1040" s="1958"/>
      <c r="G1040" s="1958"/>
      <c r="H1040" s="1958"/>
    </row>
    <row r="1041" spans="5:8">
      <c r="E1041" s="1958"/>
      <c r="G1041" s="1958"/>
      <c r="H1041" s="1958"/>
    </row>
    <row r="1042" spans="5:8">
      <c r="E1042" s="1958"/>
      <c r="G1042" s="1958"/>
      <c r="H1042" s="1958"/>
    </row>
    <row r="1043" spans="5:8">
      <c r="E1043" s="1958"/>
      <c r="G1043" s="1958"/>
      <c r="H1043" s="1958"/>
    </row>
    <row r="1044" spans="5:8">
      <c r="E1044" s="1958"/>
      <c r="G1044" s="1958"/>
      <c r="H1044" s="1958"/>
    </row>
    <row r="1045" spans="5:8">
      <c r="E1045" s="1958"/>
      <c r="G1045" s="1958"/>
      <c r="H1045" s="1958"/>
    </row>
    <row r="1046" spans="5:8">
      <c r="E1046" s="1958"/>
      <c r="G1046" s="1958"/>
      <c r="H1046" s="1958"/>
    </row>
    <row r="1047" spans="5:8">
      <c r="E1047" s="1958"/>
      <c r="G1047" s="1958"/>
      <c r="H1047" s="1958"/>
    </row>
    <row r="1048" spans="5:8">
      <c r="E1048" s="1958"/>
      <c r="G1048" s="1958"/>
      <c r="H1048" s="1958"/>
    </row>
    <row r="1049" spans="5:8">
      <c r="E1049" s="1958"/>
      <c r="G1049" s="1958"/>
      <c r="H1049" s="1958"/>
    </row>
    <row r="1050" spans="5:8">
      <c r="E1050" s="1958"/>
      <c r="G1050" s="1958"/>
      <c r="H1050" s="1958"/>
    </row>
    <row r="1051" spans="5:8">
      <c r="E1051" s="1958"/>
      <c r="G1051" s="1958"/>
      <c r="H1051" s="1958"/>
    </row>
    <row r="1052" spans="5:8">
      <c r="E1052" s="1958"/>
      <c r="G1052" s="1958"/>
      <c r="H1052" s="1958"/>
    </row>
    <row r="1053" spans="5:8">
      <c r="E1053" s="1958"/>
      <c r="G1053" s="1958"/>
      <c r="H1053" s="1958"/>
    </row>
    <row r="1054" spans="5:8">
      <c r="E1054" s="1958"/>
      <c r="G1054" s="1958"/>
      <c r="H1054" s="1958"/>
    </row>
    <row r="1055" spans="5:8">
      <c r="E1055" s="1958"/>
      <c r="G1055" s="1958"/>
      <c r="H1055" s="1958"/>
    </row>
    <row r="1056" spans="5:8">
      <c r="E1056" s="1958"/>
      <c r="G1056" s="1958"/>
      <c r="H1056" s="1958"/>
    </row>
    <row r="1057" spans="5:8">
      <c r="E1057" s="1958"/>
      <c r="G1057" s="1958"/>
      <c r="H1057" s="1958"/>
    </row>
    <row r="1058" spans="5:8">
      <c r="E1058" s="1958"/>
      <c r="G1058" s="1958"/>
      <c r="H1058" s="1958"/>
    </row>
    <row r="1059" spans="5:8">
      <c r="E1059" s="1958"/>
      <c r="G1059" s="1958"/>
      <c r="H1059" s="1958"/>
    </row>
    <row r="1060" spans="5:8">
      <c r="E1060" s="1958"/>
      <c r="G1060" s="1958"/>
      <c r="H1060" s="1958"/>
    </row>
    <row r="1061" spans="5:8">
      <c r="E1061" s="1958"/>
      <c r="G1061" s="1958"/>
      <c r="H1061" s="1958"/>
    </row>
    <row r="1062" spans="5:8">
      <c r="E1062" s="1958"/>
      <c r="G1062" s="1958"/>
      <c r="H1062" s="1958"/>
    </row>
    <row r="1063" spans="5:8">
      <c r="E1063" s="1958"/>
      <c r="G1063" s="1958"/>
      <c r="H1063" s="1958"/>
    </row>
    <row r="1064" spans="5:8">
      <c r="E1064" s="1958"/>
      <c r="G1064" s="1958"/>
      <c r="H1064" s="1958"/>
    </row>
    <row r="1065" spans="5:8">
      <c r="E1065" s="1958"/>
      <c r="G1065" s="1958"/>
      <c r="H1065" s="1958"/>
    </row>
    <row r="1066" spans="5:8">
      <c r="E1066" s="1958"/>
      <c r="G1066" s="1958"/>
      <c r="H1066" s="1958"/>
    </row>
    <row r="1067" spans="5:8">
      <c r="E1067" s="1958"/>
      <c r="G1067" s="1958"/>
      <c r="H1067" s="1958"/>
    </row>
    <row r="1068" spans="5:8">
      <c r="E1068" s="1958"/>
      <c r="G1068" s="1958"/>
      <c r="H1068" s="1958"/>
    </row>
    <row r="1069" spans="5:8">
      <c r="E1069" s="1958"/>
      <c r="G1069" s="1958"/>
      <c r="H1069" s="1958"/>
    </row>
    <row r="1070" spans="5:8">
      <c r="E1070" s="1958"/>
      <c r="G1070" s="1958"/>
      <c r="H1070" s="1958"/>
    </row>
    <row r="1071" spans="5:8">
      <c r="E1071" s="1958"/>
      <c r="G1071" s="1958"/>
      <c r="H1071" s="1958"/>
    </row>
    <row r="1072" spans="5:8">
      <c r="E1072" s="1958"/>
      <c r="G1072" s="1958"/>
      <c r="H1072" s="1958"/>
    </row>
    <row r="1073" spans="5:8">
      <c r="E1073" s="1958"/>
      <c r="G1073" s="1958"/>
      <c r="H1073" s="1958"/>
    </row>
    <row r="1074" spans="5:8">
      <c r="E1074" s="1958"/>
      <c r="G1074" s="1958"/>
      <c r="H1074" s="1958"/>
    </row>
    <row r="1075" spans="5:8">
      <c r="E1075" s="1958"/>
      <c r="G1075" s="1958"/>
      <c r="H1075" s="1958"/>
    </row>
    <row r="1076" spans="5:8">
      <c r="E1076" s="1958"/>
      <c r="G1076" s="1958"/>
      <c r="H1076" s="1958"/>
    </row>
    <row r="1077" spans="5:8">
      <c r="E1077" s="1958"/>
      <c r="G1077" s="1958"/>
      <c r="H1077" s="1958"/>
    </row>
    <row r="1078" spans="5:8">
      <c r="E1078" s="1958"/>
      <c r="G1078" s="1958"/>
      <c r="H1078" s="1958"/>
    </row>
    <row r="1079" spans="5:8">
      <c r="E1079" s="1958"/>
      <c r="G1079" s="1958"/>
      <c r="H1079" s="1958"/>
    </row>
    <row r="1080" spans="5:8">
      <c r="E1080" s="1958"/>
      <c r="G1080" s="1958"/>
      <c r="H1080" s="1958"/>
    </row>
    <row r="1081" spans="5:8">
      <c r="E1081" s="1958"/>
      <c r="G1081" s="1958"/>
      <c r="H1081" s="1958"/>
    </row>
    <row r="1082" spans="5:8">
      <c r="E1082" s="1958"/>
      <c r="G1082" s="1958"/>
      <c r="H1082" s="1958"/>
    </row>
    <row r="1083" spans="5:8">
      <c r="E1083" s="1958"/>
      <c r="G1083" s="1958"/>
      <c r="H1083" s="1958"/>
    </row>
    <row r="1084" spans="5:8">
      <c r="E1084" s="1958"/>
      <c r="G1084" s="1958"/>
      <c r="H1084" s="1958"/>
    </row>
    <row r="1085" spans="5:8">
      <c r="E1085" s="1958"/>
      <c r="G1085" s="1958"/>
      <c r="H1085" s="1958"/>
    </row>
    <row r="1086" spans="5:8">
      <c r="E1086" s="1958"/>
      <c r="G1086" s="1958"/>
      <c r="H1086" s="1958"/>
    </row>
    <row r="1087" spans="5:8">
      <c r="E1087" s="1958"/>
      <c r="G1087" s="1958"/>
      <c r="H1087" s="1958"/>
    </row>
    <row r="1088" spans="5:8">
      <c r="E1088" s="1958"/>
      <c r="G1088" s="1958"/>
      <c r="H1088" s="1958"/>
    </row>
    <row r="1089" spans="5:8">
      <c r="E1089" s="1958"/>
      <c r="G1089" s="1958"/>
      <c r="H1089" s="1958"/>
    </row>
    <row r="1090" spans="5:8">
      <c r="E1090" s="1958"/>
      <c r="G1090" s="1958"/>
      <c r="H1090" s="1958"/>
    </row>
    <row r="1091" spans="5:8">
      <c r="E1091" s="1958"/>
      <c r="G1091" s="1958"/>
      <c r="H1091" s="1958"/>
    </row>
    <row r="1092" spans="5:8">
      <c r="E1092" s="1958"/>
      <c r="G1092" s="1958"/>
      <c r="H1092" s="1958"/>
    </row>
    <row r="1093" spans="5:8">
      <c r="E1093" s="1958"/>
      <c r="G1093" s="1958"/>
      <c r="H1093" s="1958"/>
    </row>
    <row r="1094" spans="5:8">
      <c r="E1094" s="1958"/>
      <c r="G1094" s="1958"/>
      <c r="H1094" s="1958"/>
    </row>
    <row r="1095" spans="5:8">
      <c r="E1095" s="1958"/>
      <c r="G1095" s="1958"/>
      <c r="H1095" s="1958"/>
    </row>
    <row r="1096" spans="5:8">
      <c r="E1096" s="1958"/>
      <c r="G1096" s="1958"/>
      <c r="H1096" s="1958"/>
    </row>
    <row r="1097" spans="5:8">
      <c r="E1097" s="1958"/>
      <c r="G1097" s="1958"/>
      <c r="H1097" s="1958"/>
    </row>
    <row r="1098" spans="5:8">
      <c r="E1098" s="1958"/>
      <c r="G1098" s="1958"/>
      <c r="H1098" s="1958"/>
    </row>
    <row r="1099" spans="5:8">
      <c r="E1099" s="1958"/>
      <c r="G1099" s="1958"/>
      <c r="H1099" s="1958"/>
    </row>
    <row r="1100" spans="5:8">
      <c r="E1100" s="1958"/>
      <c r="G1100" s="1958"/>
      <c r="H1100" s="1958"/>
    </row>
    <row r="1101" spans="5:8">
      <c r="E1101" s="1958"/>
      <c r="G1101" s="1958"/>
      <c r="H1101" s="1958"/>
    </row>
    <row r="1102" spans="5:8">
      <c r="E1102" s="1958"/>
      <c r="G1102" s="1958"/>
      <c r="H1102" s="1958"/>
    </row>
    <row r="1103" spans="5:8">
      <c r="E1103" s="1958"/>
      <c r="G1103" s="1958"/>
      <c r="H1103" s="1958"/>
    </row>
    <row r="1104" spans="5:8">
      <c r="E1104" s="1958"/>
      <c r="G1104" s="1958"/>
      <c r="H1104" s="1958"/>
    </row>
    <row r="1105" spans="5:8">
      <c r="E1105" s="1958"/>
      <c r="G1105" s="1958"/>
      <c r="H1105" s="1958"/>
    </row>
    <row r="1106" spans="5:8">
      <c r="E1106" s="1958"/>
      <c r="G1106" s="1958"/>
      <c r="H1106" s="1958"/>
    </row>
    <row r="1107" spans="5:8">
      <c r="E1107" s="1958"/>
      <c r="G1107" s="1958"/>
      <c r="H1107" s="1958"/>
    </row>
    <row r="1108" spans="5:8">
      <c r="E1108" s="1958"/>
      <c r="G1108" s="1958"/>
      <c r="H1108" s="1958"/>
    </row>
    <row r="1109" spans="5:8">
      <c r="E1109" s="1958"/>
      <c r="G1109" s="1958"/>
      <c r="H1109" s="1958"/>
    </row>
    <row r="1110" spans="5:8">
      <c r="E1110" s="1958"/>
      <c r="G1110" s="1958"/>
      <c r="H1110" s="1958"/>
    </row>
    <row r="1111" spans="5:8">
      <c r="E1111" s="1958"/>
      <c r="G1111" s="1958"/>
      <c r="H1111" s="1958"/>
    </row>
    <row r="1112" spans="5:8">
      <c r="E1112" s="1958"/>
      <c r="G1112" s="1958"/>
      <c r="H1112" s="1958"/>
    </row>
    <row r="1113" spans="5:8">
      <c r="E1113" s="1958"/>
      <c r="G1113" s="1958"/>
      <c r="H1113" s="1958"/>
    </row>
    <row r="1114" spans="5:8">
      <c r="E1114" s="1958"/>
      <c r="G1114" s="1958"/>
      <c r="H1114" s="1958"/>
    </row>
    <row r="1115" spans="5:8">
      <c r="E1115" s="1958"/>
      <c r="G1115" s="1958"/>
      <c r="H1115" s="1958"/>
    </row>
    <row r="1116" spans="5:8">
      <c r="E1116" s="1958"/>
      <c r="G1116" s="1958"/>
      <c r="H1116" s="1958"/>
    </row>
    <row r="1117" spans="5:8">
      <c r="E1117" s="1958"/>
      <c r="G1117" s="1958"/>
      <c r="H1117" s="1958"/>
    </row>
    <row r="1118" spans="5:8">
      <c r="E1118" s="1958"/>
      <c r="G1118" s="1958"/>
      <c r="H1118" s="1958"/>
    </row>
    <row r="1119" spans="5:8">
      <c r="E1119" s="1958"/>
      <c r="G1119" s="1958"/>
      <c r="H1119" s="1958"/>
    </row>
    <row r="1120" spans="5:8">
      <c r="E1120" s="1958"/>
      <c r="G1120" s="1958"/>
      <c r="H1120" s="1958"/>
    </row>
    <row r="1121" spans="5:8">
      <c r="E1121" s="1958"/>
      <c r="G1121" s="1958"/>
      <c r="H1121" s="1958"/>
    </row>
    <row r="1122" spans="5:8">
      <c r="E1122" s="1958"/>
      <c r="G1122" s="1958"/>
      <c r="H1122" s="1958"/>
    </row>
    <row r="1123" spans="5:8">
      <c r="E1123" s="1958"/>
      <c r="G1123" s="1958"/>
      <c r="H1123" s="1958"/>
    </row>
    <row r="1124" spans="5:8">
      <c r="E1124" s="1958"/>
      <c r="G1124" s="1958"/>
      <c r="H1124" s="1958"/>
    </row>
    <row r="1125" spans="5:8">
      <c r="E1125" s="1958"/>
      <c r="G1125" s="1958"/>
      <c r="H1125" s="1958"/>
    </row>
    <row r="1126" spans="5:8">
      <c r="E1126" s="1958"/>
      <c r="G1126" s="1958"/>
      <c r="H1126" s="1958"/>
    </row>
    <row r="1127" spans="5:8">
      <c r="E1127" s="1958"/>
      <c r="G1127" s="1958"/>
      <c r="H1127" s="1958"/>
    </row>
    <row r="1128" spans="5:8">
      <c r="E1128" s="1958"/>
      <c r="G1128" s="1958"/>
      <c r="H1128" s="1958"/>
    </row>
    <row r="1129" spans="5:8">
      <c r="E1129" s="1958"/>
      <c r="G1129" s="1958"/>
      <c r="H1129" s="1958"/>
    </row>
    <row r="1130" spans="5:8">
      <c r="E1130" s="1958"/>
      <c r="G1130" s="1958"/>
      <c r="H1130" s="1958"/>
    </row>
    <row r="1131" spans="5:8">
      <c r="E1131" s="1958"/>
      <c r="G1131" s="1958"/>
      <c r="H1131" s="1958"/>
    </row>
    <row r="1132" spans="5:8">
      <c r="E1132" s="1958"/>
      <c r="G1132" s="1958"/>
      <c r="H1132" s="1958"/>
    </row>
    <row r="1133" spans="5:8">
      <c r="E1133" s="1958"/>
      <c r="G1133" s="1958"/>
      <c r="H1133" s="1958"/>
    </row>
    <row r="1134" spans="5:8">
      <c r="E1134" s="1958"/>
      <c r="G1134" s="1958"/>
      <c r="H1134" s="1958"/>
    </row>
    <row r="1135" spans="5:8">
      <c r="E1135" s="1958"/>
      <c r="G1135" s="1958"/>
      <c r="H1135" s="1958"/>
    </row>
    <row r="1136" spans="5:8">
      <c r="E1136" s="1958"/>
      <c r="G1136" s="1958"/>
      <c r="H1136" s="1958"/>
    </row>
    <row r="1137" spans="5:8">
      <c r="E1137" s="1958"/>
      <c r="G1137" s="1958"/>
      <c r="H1137" s="1958"/>
    </row>
    <row r="1138" spans="5:8">
      <c r="E1138" s="1958"/>
      <c r="G1138" s="1958"/>
      <c r="H1138" s="1958"/>
    </row>
    <row r="1139" spans="5:8">
      <c r="E1139" s="1958"/>
      <c r="G1139" s="1958"/>
      <c r="H1139" s="1958"/>
    </row>
    <row r="1140" spans="5:8">
      <c r="E1140" s="1958"/>
      <c r="G1140" s="1958"/>
      <c r="H1140" s="1958"/>
    </row>
    <row r="1141" spans="5:8">
      <c r="E1141" s="1958"/>
      <c r="G1141" s="1958"/>
      <c r="H1141" s="1958"/>
    </row>
    <row r="1142" spans="5:8">
      <c r="E1142" s="1958"/>
      <c r="G1142" s="1958"/>
      <c r="H1142" s="1958"/>
    </row>
    <row r="1143" spans="5:8">
      <c r="E1143" s="1958"/>
      <c r="G1143" s="1958"/>
      <c r="H1143" s="1958"/>
    </row>
    <row r="1144" spans="5:8">
      <c r="E1144" s="1958"/>
      <c r="G1144" s="1958"/>
      <c r="H1144" s="1958"/>
    </row>
    <row r="1145" spans="5:8">
      <c r="E1145" s="1958"/>
      <c r="G1145" s="1958"/>
      <c r="H1145" s="1958"/>
    </row>
    <row r="1146" spans="5:8">
      <c r="E1146" s="1958"/>
      <c r="G1146" s="1958"/>
      <c r="H1146" s="1958"/>
    </row>
    <row r="1147" spans="5:8">
      <c r="E1147" s="1958"/>
      <c r="G1147" s="1958"/>
      <c r="H1147" s="1958"/>
    </row>
    <row r="1148" spans="5:8">
      <c r="E1148" s="1958"/>
      <c r="G1148" s="1958"/>
      <c r="H1148" s="1958"/>
    </row>
    <row r="1149" spans="5:8">
      <c r="E1149" s="1958"/>
      <c r="G1149" s="1958"/>
      <c r="H1149" s="1958"/>
    </row>
    <row r="1150" spans="5:8">
      <c r="E1150" s="1958"/>
      <c r="G1150" s="1958"/>
      <c r="H1150" s="1958"/>
    </row>
    <row r="1151" spans="5:8">
      <c r="E1151" s="1958"/>
      <c r="G1151" s="1958"/>
      <c r="H1151" s="1958"/>
    </row>
    <row r="1152" spans="5:8">
      <c r="E1152" s="1958"/>
      <c r="G1152" s="1958"/>
      <c r="H1152" s="1958"/>
    </row>
    <row r="1153" spans="5:8">
      <c r="E1153" s="1958"/>
      <c r="G1153" s="1958"/>
      <c r="H1153" s="1958"/>
    </row>
    <row r="1154" spans="5:8">
      <c r="E1154" s="1958"/>
      <c r="G1154" s="1958"/>
      <c r="H1154" s="1958"/>
    </row>
    <row r="1155" spans="5:8">
      <c r="E1155" s="1958"/>
      <c r="G1155" s="1958"/>
      <c r="H1155" s="1958"/>
    </row>
    <row r="1156" spans="5:8">
      <c r="E1156" s="1958"/>
      <c r="G1156" s="1958"/>
      <c r="H1156" s="1958"/>
    </row>
    <row r="1157" spans="5:8">
      <c r="E1157" s="1958"/>
      <c r="G1157" s="1958"/>
      <c r="H1157" s="1958"/>
    </row>
    <row r="1158" spans="5:8">
      <c r="E1158" s="1958"/>
      <c r="G1158" s="1958"/>
      <c r="H1158" s="1958"/>
    </row>
    <row r="1159" spans="5:8">
      <c r="E1159" s="1958"/>
      <c r="G1159" s="1958"/>
      <c r="H1159" s="1958"/>
    </row>
    <row r="1160" spans="5:8">
      <c r="E1160" s="1958"/>
      <c r="G1160" s="1958"/>
      <c r="H1160" s="1958"/>
    </row>
    <row r="1161" spans="5:8">
      <c r="E1161" s="1958"/>
      <c r="G1161" s="1958"/>
      <c r="H1161" s="1958"/>
    </row>
    <row r="1162" spans="5:8">
      <c r="E1162" s="1958"/>
      <c r="G1162" s="1958"/>
      <c r="H1162" s="1958"/>
    </row>
    <row r="1163" spans="5:8">
      <c r="E1163" s="1958"/>
      <c r="G1163" s="1958"/>
      <c r="H1163" s="1958"/>
    </row>
    <row r="1164" spans="5:8">
      <c r="E1164" s="1958"/>
      <c r="G1164" s="1958"/>
      <c r="H1164" s="1958"/>
    </row>
    <row r="1165" spans="5:8">
      <c r="E1165" s="1958"/>
      <c r="G1165" s="1958"/>
      <c r="H1165" s="1958"/>
    </row>
    <row r="1166" spans="5:8">
      <c r="E1166" s="1958"/>
      <c r="G1166" s="1958"/>
      <c r="H1166" s="1958"/>
    </row>
    <row r="1167" spans="5:8">
      <c r="E1167" s="1958"/>
      <c r="G1167" s="1958"/>
      <c r="H1167" s="1958"/>
    </row>
    <row r="1168" spans="5:8">
      <c r="E1168" s="1958"/>
      <c r="G1168" s="1958"/>
      <c r="H1168" s="1958"/>
    </row>
    <row r="1169" spans="5:8">
      <c r="E1169" s="1958"/>
      <c r="G1169" s="1958"/>
      <c r="H1169" s="1958"/>
    </row>
    <row r="1170" spans="5:8">
      <c r="E1170" s="1958"/>
      <c r="G1170" s="1958"/>
      <c r="H1170" s="1958"/>
    </row>
    <row r="1171" spans="5:8">
      <c r="E1171" s="1958"/>
      <c r="G1171" s="1958"/>
      <c r="H1171" s="1958"/>
    </row>
    <row r="1172" spans="5:8">
      <c r="E1172" s="1958"/>
      <c r="G1172" s="1958"/>
      <c r="H1172" s="1958"/>
    </row>
    <row r="1173" spans="5:8">
      <c r="E1173" s="1958"/>
      <c r="G1173" s="1958"/>
      <c r="H1173" s="1958"/>
    </row>
    <row r="1174" spans="5:8">
      <c r="E1174" s="1958"/>
      <c r="G1174" s="1958"/>
      <c r="H1174" s="1958"/>
    </row>
    <row r="1175" spans="5:8">
      <c r="E1175" s="1958"/>
      <c r="G1175" s="1958"/>
      <c r="H1175" s="1958"/>
    </row>
    <row r="1176" spans="5:8">
      <c r="E1176" s="1958"/>
      <c r="G1176" s="1958"/>
      <c r="H1176" s="1958"/>
    </row>
    <row r="1177" spans="5:8">
      <c r="E1177" s="1958"/>
      <c r="G1177" s="1958"/>
      <c r="H1177" s="1958"/>
    </row>
    <row r="1178" spans="5:8">
      <c r="E1178" s="1958"/>
      <c r="G1178" s="1958"/>
      <c r="H1178" s="1958"/>
    </row>
    <row r="1179" spans="5:8">
      <c r="E1179" s="1958"/>
      <c r="G1179" s="1958"/>
      <c r="H1179" s="1958"/>
    </row>
    <row r="1180" spans="5:8">
      <c r="E1180" s="1958"/>
      <c r="G1180" s="1958"/>
      <c r="H1180" s="1958"/>
    </row>
    <row r="1181" spans="5:8">
      <c r="E1181" s="1958"/>
      <c r="G1181" s="1958"/>
      <c r="H1181" s="1958"/>
    </row>
    <row r="1182" spans="5:8">
      <c r="E1182" s="1958"/>
      <c r="G1182" s="1958"/>
      <c r="H1182" s="1958"/>
    </row>
    <row r="1183" spans="5:8">
      <c r="E1183" s="1958"/>
      <c r="G1183" s="1958"/>
      <c r="H1183" s="1958"/>
    </row>
    <row r="1184" spans="5:8">
      <c r="E1184" s="1958"/>
      <c r="G1184" s="1958"/>
      <c r="H1184" s="1958"/>
    </row>
    <row r="1185" spans="5:8">
      <c r="E1185" s="1958"/>
      <c r="G1185" s="1958"/>
      <c r="H1185" s="1958"/>
    </row>
    <row r="1186" spans="5:8">
      <c r="E1186" s="1958"/>
      <c r="G1186" s="1958"/>
      <c r="H1186" s="1958"/>
    </row>
    <row r="1187" spans="5:8">
      <c r="E1187" s="1958"/>
      <c r="G1187" s="1958"/>
      <c r="H1187" s="1958"/>
    </row>
    <row r="1188" spans="5:8">
      <c r="E1188" s="1958"/>
      <c r="G1188" s="1958"/>
      <c r="H1188" s="1958"/>
    </row>
    <row r="1189" spans="5:8">
      <c r="E1189" s="1958"/>
      <c r="G1189" s="1958"/>
      <c r="H1189" s="1958"/>
    </row>
    <row r="1190" spans="5:8">
      <c r="E1190" s="1958"/>
      <c r="G1190" s="1958"/>
      <c r="H1190" s="1958"/>
    </row>
    <row r="1191" spans="5:8">
      <c r="E1191" s="1958"/>
      <c r="G1191" s="1958"/>
      <c r="H1191" s="1958"/>
    </row>
    <row r="1192" spans="5:8">
      <c r="E1192" s="1958"/>
      <c r="G1192" s="1958"/>
      <c r="H1192" s="1958"/>
    </row>
    <row r="1193" spans="5:8">
      <c r="E1193" s="1958"/>
      <c r="G1193" s="1958"/>
      <c r="H1193" s="1958"/>
    </row>
    <row r="1194" spans="5:8">
      <c r="E1194" s="1958"/>
      <c r="G1194" s="1958"/>
      <c r="H1194" s="1958"/>
    </row>
    <row r="1195" spans="5:8">
      <c r="E1195" s="1958"/>
      <c r="G1195" s="1958"/>
      <c r="H1195" s="1958"/>
    </row>
    <row r="1196" spans="5:8">
      <c r="E1196" s="1958"/>
      <c r="G1196" s="1958"/>
      <c r="H1196" s="1958"/>
    </row>
    <row r="1197" spans="5:8">
      <c r="E1197" s="1958"/>
      <c r="G1197" s="1958"/>
      <c r="H1197" s="1958"/>
    </row>
    <row r="1198" spans="5:8">
      <c r="E1198" s="1958"/>
      <c r="G1198" s="1958"/>
      <c r="H1198" s="1958"/>
    </row>
    <row r="1199" spans="5:8">
      <c r="E1199" s="1958"/>
      <c r="G1199" s="1958"/>
      <c r="H1199" s="1958"/>
    </row>
    <row r="1200" spans="5:8">
      <c r="E1200" s="1958"/>
      <c r="G1200" s="1958"/>
      <c r="H1200" s="1958"/>
    </row>
    <row r="1201" spans="5:8">
      <c r="E1201" s="1958"/>
      <c r="G1201" s="1958"/>
      <c r="H1201" s="1958"/>
    </row>
    <row r="1202" spans="5:8">
      <c r="E1202" s="1958"/>
      <c r="G1202" s="1958"/>
      <c r="H1202" s="1958"/>
    </row>
    <row r="1203" spans="5:8">
      <c r="E1203" s="1958"/>
      <c r="G1203" s="1958"/>
      <c r="H1203" s="1958"/>
    </row>
    <row r="1204" spans="5:8">
      <c r="E1204" s="1958"/>
      <c r="G1204" s="1958"/>
      <c r="H1204" s="1958"/>
    </row>
    <row r="1205" spans="5:8">
      <c r="E1205" s="1958"/>
      <c r="G1205" s="1958"/>
      <c r="H1205" s="1958"/>
    </row>
    <row r="1206" spans="5:8">
      <c r="E1206" s="1958"/>
      <c r="G1206" s="1958"/>
      <c r="H1206" s="1958"/>
    </row>
    <row r="1207" spans="5:8">
      <c r="E1207" s="1958"/>
      <c r="G1207" s="1958"/>
      <c r="H1207" s="1958"/>
    </row>
    <row r="1208" spans="5:8">
      <c r="E1208" s="1958"/>
      <c r="G1208" s="1958"/>
      <c r="H1208" s="1958"/>
    </row>
    <row r="1209" spans="5:8">
      <c r="E1209" s="1958"/>
      <c r="G1209" s="1958"/>
      <c r="H1209" s="1958"/>
    </row>
    <row r="1210" spans="5:8">
      <c r="E1210" s="1958"/>
      <c r="G1210" s="1958"/>
      <c r="H1210" s="1958"/>
    </row>
    <row r="1211" spans="5:8">
      <c r="E1211" s="1958"/>
      <c r="G1211" s="1958"/>
      <c r="H1211" s="1958"/>
    </row>
    <row r="1212" spans="5:8">
      <c r="E1212" s="1958"/>
      <c r="G1212" s="1958"/>
      <c r="H1212" s="1958"/>
    </row>
    <row r="1213" spans="5:8">
      <c r="E1213" s="1958"/>
      <c r="G1213" s="1958"/>
      <c r="H1213" s="1958"/>
    </row>
    <row r="1214" spans="5:8">
      <c r="E1214" s="1958"/>
      <c r="G1214" s="1958"/>
      <c r="H1214" s="1958"/>
    </row>
    <row r="1215" spans="5:8">
      <c r="E1215" s="1958"/>
      <c r="G1215" s="1958"/>
      <c r="H1215" s="1958"/>
    </row>
    <row r="1216" spans="5:8">
      <c r="E1216" s="1958"/>
      <c r="G1216" s="1958"/>
      <c r="H1216" s="1958"/>
    </row>
    <row r="1217" spans="5:8">
      <c r="E1217" s="1958"/>
      <c r="G1217" s="1958"/>
      <c r="H1217" s="1958"/>
    </row>
    <row r="1218" spans="5:8">
      <c r="E1218" s="1958"/>
      <c r="G1218" s="1958"/>
      <c r="H1218" s="1958"/>
    </row>
    <row r="1219" spans="5:8">
      <c r="E1219" s="1958"/>
      <c r="G1219" s="1958"/>
      <c r="H1219" s="1958"/>
    </row>
    <row r="1220" spans="5:8">
      <c r="E1220" s="1958"/>
      <c r="G1220" s="1958"/>
      <c r="H1220" s="1958"/>
    </row>
    <row r="1221" spans="5:8">
      <c r="E1221" s="1958"/>
      <c r="G1221" s="1958"/>
      <c r="H1221" s="1958"/>
    </row>
    <row r="1222" spans="5:8">
      <c r="E1222" s="1958"/>
      <c r="G1222" s="1958"/>
      <c r="H1222" s="1958"/>
    </row>
    <row r="1223" spans="5:8">
      <c r="E1223" s="1958"/>
      <c r="G1223" s="1958"/>
      <c r="H1223" s="1958"/>
    </row>
    <row r="1224" spans="5:8">
      <c r="E1224" s="1958"/>
      <c r="G1224" s="1958"/>
      <c r="H1224" s="1958"/>
    </row>
    <row r="1225" spans="5:8">
      <c r="E1225" s="1958"/>
      <c r="G1225" s="1958"/>
      <c r="H1225" s="1958"/>
    </row>
    <row r="1226" spans="5:8">
      <c r="E1226" s="1958"/>
      <c r="G1226" s="1958"/>
      <c r="H1226" s="1958"/>
    </row>
    <row r="1227" spans="5:8">
      <c r="E1227" s="1958"/>
      <c r="G1227" s="1958"/>
      <c r="H1227" s="1958"/>
    </row>
    <row r="1228" spans="5:8">
      <c r="E1228" s="1958"/>
      <c r="G1228" s="1958"/>
      <c r="H1228" s="1958"/>
    </row>
    <row r="1229" spans="5:8">
      <c r="E1229" s="1958"/>
      <c r="G1229" s="1958"/>
      <c r="H1229" s="1958"/>
    </row>
    <row r="1230" spans="5:8">
      <c r="E1230" s="1958"/>
      <c r="G1230" s="1958"/>
      <c r="H1230" s="1958"/>
    </row>
    <row r="1231" spans="5:8">
      <c r="E1231" s="1958"/>
      <c r="G1231" s="1958"/>
      <c r="H1231" s="1958"/>
    </row>
    <row r="1232" spans="5:8">
      <c r="E1232" s="1958"/>
      <c r="G1232" s="1958"/>
      <c r="H1232" s="1958"/>
    </row>
    <row r="1233" spans="5:8">
      <c r="E1233" s="1958"/>
      <c r="G1233" s="1958"/>
      <c r="H1233" s="1958"/>
    </row>
    <row r="1234" spans="5:8">
      <c r="E1234" s="1958"/>
      <c r="G1234" s="1958"/>
      <c r="H1234" s="1958"/>
    </row>
    <row r="1235" spans="5:8">
      <c r="E1235" s="1958"/>
      <c r="G1235" s="1958"/>
      <c r="H1235" s="1958"/>
    </row>
    <row r="1236" spans="5:8">
      <c r="E1236" s="1958"/>
      <c r="G1236" s="1958"/>
      <c r="H1236" s="1958"/>
    </row>
    <row r="1237" spans="5:8">
      <c r="E1237" s="1958"/>
      <c r="G1237" s="1958"/>
      <c r="H1237" s="1958"/>
    </row>
    <row r="1238" spans="5:8">
      <c r="E1238" s="1958"/>
      <c r="G1238" s="1958"/>
      <c r="H1238" s="1958"/>
    </row>
    <row r="1239" spans="5:8">
      <c r="E1239" s="1958"/>
      <c r="G1239" s="1958"/>
      <c r="H1239" s="1958"/>
    </row>
    <row r="1240" spans="5:8">
      <c r="E1240" s="1958"/>
      <c r="G1240" s="1958"/>
      <c r="H1240" s="1958"/>
    </row>
    <row r="1241" spans="5:8">
      <c r="E1241" s="1958"/>
      <c r="G1241" s="1958"/>
      <c r="H1241" s="1958"/>
    </row>
    <row r="1242" spans="5:8">
      <c r="E1242" s="1958"/>
      <c r="G1242" s="1958"/>
      <c r="H1242" s="1958"/>
    </row>
    <row r="1243" spans="5:8">
      <c r="E1243" s="1958"/>
      <c r="G1243" s="1958"/>
      <c r="H1243" s="1958"/>
    </row>
    <row r="1244" spans="5:8">
      <c r="E1244" s="1958"/>
      <c r="G1244" s="1958"/>
      <c r="H1244" s="1958"/>
    </row>
    <row r="1245" spans="5:8">
      <c r="E1245" s="1958"/>
      <c r="G1245" s="1958"/>
      <c r="H1245" s="1958"/>
    </row>
    <row r="1246" spans="5:8">
      <c r="E1246" s="1958"/>
      <c r="G1246" s="1958"/>
      <c r="H1246" s="1958"/>
    </row>
    <row r="1247" spans="5:8">
      <c r="E1247" s="1958"/>
      <c r="G1247" s="1958"/>
      <c r="H1247" s="1958"/>
    </row>
    <row r="1248" spans="5:8">
      <c r="E1248" s="1958"/>
      <c r="G1248" s="1958"/>
      <c r="H1248" s="1958"/>
    </row>
    <row r="1249" spans="5:8">
      <c r="E1249" s="1958"/>
      <c r="G1249" s="1958"/>
      <c r="H1249" s="1958"/>
    </row>
    <row r="1250" spans="5:8">
      <c r="E1250" s="1958"/>
      <c r="G1250" s="1958"/>
      <c r="H1250" s="1958"/>
    </row>
    <row r="1251" spans="5:8">
      <c r="E1251" s="1958"/>
      <c r="G1251" s="1958"/>
      <c r="H1251" s="1958"/>
    </row>
    <row r="1252" spans="5:8">
      <c r="E1252" s="1958"/>
      <c r="G1252" s="1958"/>
      <c r="H1252" s="1958"/>
    </row>
    <row r="1253" spans="5:8">
      <c r="E1253" s="1958"/>
      <c r="G1253" s="1958"/>
      <c r="H1253" s="1958"/>
    </row>
    <row r="1254" spans="5:8">
      <c r="E1254" s="1958"/>
      <c r="G1254" s="1958"/>
      <c r="H1254" s="1958"/>
    </row>
    <row r="1255" spans="5:8">
      <c r="E1255" s="1958"/>
      <c r="G1255" s="1958"/>
      <c r="H1255" s="1958"/>
    </row>
    <row r="1256" spans="5:8">
      <c r="E1256" s="1958"/>
      <c r="G1256" s="1958"/>
      <c r="H1256" s="1958"/>
    </row>
    <row r="1257" spans="5:8">
      <c r="E1257" s="1958"/>
      <c r="G1257" s="1958"/>
      <c r="H1257" s="1958"/>
    </row>
    <row r="1258" spans="5:8">
      <c r="E1258" s="1958"/>
      <c r="G1258" s="1958"/>
      <c r="H1258" s="1958"/>
    </row>
    <row r="1259" spans="5:8">
      <c r="E1259" s="1958"/>
      <c r="G1259" s="1958"/>
      <c r="H1259" s="1958"/>
    </row>
    <row r="1260" spans="5:8">
      <c r="E1260" s="1958"/>
      <c r="G1260" s="1958"/>
      <c r="H1260" s="1958"/>
    </row>
    <row r="1261" spans="5:8">
      <c r="E1261" s="1958"/>
      <c r="G1261" s="1958"/>
      <c r="H1261" s="1958"/>
    </row>
    <row r="1262" spans="5:8">
      <c r="E1262" s="1958"/>
      <c r="G1262" s="1958"/>
      <c r="H1262" s="1958"/>
    </row>
    <row r="1263" spans="5:8">
      <c r="E1263" s="1958"/>
      <c r="G1263" s="1958"/>
      <c r="H1263" s="1958"/>
    </row>
    <row r="1264" spans="5:8">
      <c r="E1264" s="1958"/>
      <c r="G1264" s="1958"/>
      <c r="H1264" s="1958"/>
    </row>
    <row r="1265" spans="5:8">
      <c r="E1265" s="1958"/>
      <c r="G1265" s="1958"/>
      <c r="H1265" s="1958"/>
    </row>
    <row r="1266" spans="5:8">
      <c r="E1266" s="1958"/>
      <c r="G1266" s="1958"/>
      <c r="H1266" s="1958"/>
    </row>
    <row r="1267" spans="5:8">
      <c r="E1267" s="1958"/>
      <c r="G1267" s="1958"/>
      <c r="H1267" s="1958"/>
    </row>
    <row r="1268" spans="5:8">
      <c r="E1268" s="1958"/>
      <c r="G1268" s="1958"/>
      <c r="H1268" s="1958"/>
    </row>
    <row r="1269" spans="5:8">
      <c r="E1269" s="1958"/>
      <c r="G1269" s="1958"/>
      <c r="H1269" s="1958"/>
    </row>
    <row r="1270" spans="5:8">
      <c r="E1270" s="1958"/>
      <c r="G1270" s="1958"/>
      <c r="H1270" s="1958"/>
    </row>
    <row r="1271" spans="5:8">
      <c r="E1271" s="1958"/>
      <c r="G1271" s="1958"/>
      <c r="H1271" s="1958"/>
    </row>
    <row r="1272" spans="5:8">
      <c r="E1272" s="1958"/>
      <c r="G1272" s="1958"/>
      <c r="H1272" s="1958"/>
    </row>
    <row r="1273" spans="5:8">
      <c r="E1273" s="1958"/>
      <c r="G1273" s="1958"/>
      <c r="H1273" s="1958"/>
    </row>
    <row r="1274" spans="5:8">
      <c r="E1274" s="1958"/>
      <c r="G1274" s="1958"/>
      <c r="H1274" s="1958"/>
    </row>
    <row r="1275" spans="5:8">
      <c r="E1275" s="1958"/>
      <c r="G1275" s="1958"/>
      <c r="H1275" s="1958"/>
    </row>
    <row r="1276" spans="5:8">
      <c r="E1276" s="1958"/>
      <c r="G1276" s="1958"/>
      <c r="H1276" s="1958"/>
    </row>
    <row r="1277" spans="5:8">
      <c r="E1277" s="1958"/>
      <c r="G1277" s="1958"/>
      <c r="H1277" s="1958"/>
    </row>
    <row r="1278" spans="5:8">
      <c r="E1278" s="1958"/>
      <c r="G1278" s="1958"/>
      <c r="H1278" s="1958"/>
    </row>
    <row r="1279" spans="5:8">
      <c r="E1279" s="1958"/>
      <c r="G1279" s="1958"/>
      <c r="H1279" s="1958"/>
    </row>
    <row r="1280" spans="5:8">
      <c r="E1280" s="1958"/>
      <c r="G1280" s="1958"/>
      <c r="H1280" s="1958"/>
    </row>
    <row r="1281" spans="5:8">
      <c r="E1281" s="1958"/>
      <c r="G1281" s="1958"/>
      <c r="H1281" s="1958"/>
    </row>
    <row r="1282" spans="5:8">
      <c r="E1282" s="1958"/>
      <c r="G1282" s="1958"/>
      <c r="H1282" s="1958"/>
    </row>
    <row r="1283" spans="5:8">
      <c r="E1283" s="1958"/>
      <c r="G1283" s="1958"/>
      <c r="H1283" s="1958"/>
    </row>
    <row r="1284" spans="5:8">
      <c r="E1284" s="1958"/>
      <c r="G1284" s="1958"/>
      <c r="H1284" s="1958"/>
    </row>
    <row r="1285" spans="5:8">
      <c r="E1285" s="1958"/>
      <c r="G1285" s="1958"/>
      <c r="H1285" s="1958"/>
    </row>
    <row r="1286" spans="5:8">
      <c r="E1286" s="1958"/>
      <c r="G1286" s="1958"/>
      <c r="H1286" s="1958"/>
    </row>
    <row r="1287" spans="5:8">
      <c r="E1287" s="1958"/>
      <c r="G1287" s="1958"/>
      <c r="H1287" s="1958"/>
    </row>
    <row r="1288" spans="5:8">
      <c r="E1288" s="1958"/>
      <c r="G1288" s="1958"/>
      <c r="H1288" s="1958"/>
    </row>
    <row r="1289" spans="5:8">
      <c r="E1289" s="1958"/>
      <c r="G1289" s="1958"/>
      <c r="H1289" s="1958"/>
    </row>
    <row r="1290" spans="5:8">
      <c r="E1290" s="1958"/>
      <c r="G1290" s="1958"/>
      <c r="H1290" s="1958"/>
    </row>
    <row r="1291" spans="5:8">
      <c r="E1291" s="1958"/>
      <c r="G1291" s="1958"/>
      <c r="H1291" s="1958"/>
    </row>
    <row r="1292" spans="5:8">
      <c r="E1292" s="1958"/>
      <c r="G1292" s="1958"/>
      <c r="H1292" s="1958"/>
    </row>
    <row r="1293" spans="5:8">
      <c r="E1293" s="1958"/>
      <c r="G1293" s="1958"/>
      <c r="H1293" s="1958"/>
    </row>
    <row r="1294" spans="5:8">
      <c r="E1294" s="1958"/>
      <c r="G1294" s="1958"/>
      <c r="H1294" s="1958"/>
    </row>
    <row r="1295" spans="5:8">
      <c r="E1295" s="1958"/>
      <c r="G1295" s="1958"/>
      <c r="H1295" s="1958"/>
    </row>
    <row r="1296" spans="5:8">
      <c r="E1296" s="1958"/>
      <c r="G1296" s="1958"/>
      <c r="H1296" s="1958"/>
    </row>
    <row r="1297" spans="5:8">
      <c r="E1297" s="1958"/>
      <c r="G1297" s="1958"/>
      <c r="H1297" s="1958"/>
    </row>
    <row r="1298" spans="5:8">
      <c r="E1298" s="1958"/>
      <c r="G1298" s="1958"/>
      <c r="H1298" s="1958"/>
    </row>
    <row r="1299" spans="5:8">
      <c r="E1299" s="1958"/>
      <c r="G1299" s="1958"/>
      <c r="H1299" s="1958"/>
    </row>
    <row r="1300" spans="5:8">
      <c r="E1300" s="1958"/>
      <c r="G1300" s="1958"/>
      <c r="H1300" s="1958"/>
    </row>
    <row r="1301" spans="5:8">
      <c r="E1301" s="1958"/>
      <c r="G1301" s="1958"/>
      <c r="H1301" s="1958"/>
    </row>
    <row r="1302" spans="5:8">
      <c r="E1302" s="1958"/>
      <c r="G1302" s="1958"/>
      <c r="H1302" s="1958"/>
    </row>
    <row r="1303" spans="5:8">
      <c r="E1303" s="1958"/>
      <c r="G1303" s="1958"/>
      <c r="H1303" s="1958"/>
    </row>
    <row r="1304" spans="5:8">
      <c r="E1304" s="1958"/>
      <c r="G1304" s="1958"/>
      <c r="H1304" s="1958"/>
    </row>
    <row r="1305" spans="5:8">
      <c r="E1305" s="1958"/>
      <c r="G1305" s="1958"/>
      <c r="H1305" s="1958"/>
    </row>
    <row r="1306" spans="5:8">
      <c r="E1306" s="1958"/>
      <c r="G1306" s="1958"/>
      <c r="H1306" s="1958"/>
    </row>
    <row r="1307" spans="5:8">
      <c r="E1307" s="1958"/>
      <c r="G1307" s="1958"/>
      <c r="H1307" s="1958"/>
    </row>
    <row r="1308" spans="5:8">
      <c r="E1308" s="1958"/>
      <c r="G1308" s="1958"/>
      <c r="H1308" s="1958"/>
    </row>
    <row r="1309" spans="5:8">
      <c r="E1309" s="1958"/>
      <c r="G1309" s="1958"/>
      <c r="H1309" s="1958"/>
    </row>
    <row r="1310" spans="5:8">
      <c r="E1310" s="1958"/>
      <c r="G1310" s="1958"/>
      <c r="H1310" s="1958"/>
    </row>
    <row r="1311" spans="5:8">
      <c r="E1311" s="1958"/>
      <c r="G1311" s="1958"/>
      <c r="H1311" s="1958"/>
    </row>
    <row r="1312" spans="5:8">
      <c r="E1312" s="1958"/>
      <c r="G1312" s="1958"/>
      <c r="H1312" s="1958"/>
    </row>
    <row r="1313" spans="5:8">
      <c r="E1313" s="1958"/>
      <c r="G1313" s="1958"/>
      <c r="H1313" s="1958"/>
    </row>
    <row r="1314" spans="5:8">
      <c r="E1314" s="1958"/>
      <c r="G1314" s="1958"/>
      <c r="H1314" s="1958"/>
    </row>
    <row r="1315" spans="5:8">
      <c r="E1315" s="1958"/>
      <c r="G1315" s="1958"/>
      <c r="H1315" s="1958"/>
    </row>
    <row r="1316" spans="5:8">
      <c r="E1316" s="1958"/>
      <c r="G1316" s="1958"/>
      <c r="H1316" s="1958"/>
    </row>
    <row r="1317" spans="5:8">
      <c r="E1317" s="1958"/>
      <c r="G1317" s="1958"/>
      <c r="H1317" s="1958"/>
    </row>
    <row r="1318" spans="5:8">
      <c r="E1318" s="1958"/>
      <c r="G1318" s="1958"/>
      <c r="H1318" s="1958"/>
    </row>
    <row r="1319" spans="5:8">
      <c r="E1319" s="1958"/>
      <c r="G1319" s="1958"/>
      <c r="H1319" s="1958"/>
    </row>
    <row r="1320" spans="5:8">
      <c r="E1320" s="1958"/>
      <c r="G1320" s="1958"/>
      <c r="H1320" s="1958"/>
    </row>
    <row r="1321" spans="5:8">
      <c r="E1321" s="1958"/>
      <c r="G1321" s="1958"/>
      <c r="H1321" s="1958"/>
    </row>
    <row r="1322" spans="5:8">
      <c r="E1322" s="1958"/>
      <c r="G1322" s="1958"/>
      <c r="H1322" s="1958"/>
    </row>
    <row r="1323" spans="5:8">
      <c r="E1323" s="1958"/>
      <c r="G1323" s="1958"/>
      <c r="H1323" s="1958"/>
    </row>
    <row r="1324" spans="5:8">
      <c r="E1324" s="1958"/>
      <c r="G1324" s="1958"/>
      <c r="H1324" s="1958"/>
    </row>
    <row r="1325" spans="5:8">
      <c r="E1325" s="1958"/>
      <c r="G1325" s="1958"/>
      <c r="H1325" s="1958"/>
    </row>
    <row r="1326" spans="5:8">
      <c r="E1326" s="1958"/>
      <c r="G1326" s="1958"/>
      <c r="H1326" s="1958"/>
    </row>
    <row r="1327" spans="5:8">
      <c r="E1327" s="1958"/>
      <c r="G1327" s="1958"/>
      <c r="H1327" s="1958"/>
    </row>
    <row r="1328" spans="5:8">
      <c r="E1328" s="1958"/>
      <c r="G1328" s="1958"/>
      <c r="H1328" s="1958"/>
    </row>
    <row r="1329" spans="5:8">
      <c r="E1329" s="1958"/>
      <c r="G1329" s="1958"/>
      <c r="H1329" s="1958"/>
    </row>
    <row r="1330" spans="5:8">
      <c r="E1330" s="1958"/>
      <c r="G1330" s="1958"/>
      <c r="H1330" s="1958"/>
    </row>
    <row r="1331" spans="5:8">
      <c r="E1331" s="1958"/>
      <c r="G1331" s="1958"/>
      <c r="H1331" s="1958"/>
    </row>
    <row r="1332" spans="5:8">
      <c r="E1332" s="1958"/>
      <c r="G1332" s="1958"/>
      <c r="H1332" s="1958"/>
    </row>
    <row r="1333" spans="5:8">
      <c r="E1333" s="1958"/>
      <c r="G1333" s="1958"/>
      <c r="H1333" s="1958"/>
    </row>
    <row r="1334" spans="5:8">
      <c r="E1334" s="1958"/>
      <c r="G1334" s="1958"/>
      <c r="H1334" s="1958"/>
    </row>
    <row r="1335" spans="5:8">
      <c r="E1335" s="1958"/>
      <c r="G1335" s="1958"/>
      <c r="H1335" s="1958"/>
    </row>
    <row r="1336" spans="5:8">
      <c r="E1336" s="1958"/>
      <c r="G1336" s="1958"/>
      <c r="H1336" s="1958"/>
    </row>
    <row r="1337" spans="5:8">
      <c r="E1337" s="1958"/>
      <c r="G1337" s="1958"/>
      <c r="H1337" s="1958"/>
    </row>
    <row r="1338" spans="5:8">
      <c r="E1338" s="1958"/>
      <c r="G1338" s="1958"/>
      <c r="H1338" s="1958"/>
    </row>
    <row r="1339" spans="5:8">
      <c r="E1339" s="1958"/>
      <c r="G1339" s="1958"/>
      <c r="H1339" s="1958"/>
    </row>
    <row r="1340" spans="5:8">
      <c r="E1340" s="1958"/>
      <c r="G1340" s="1958"/>
      <c r="H1340" s="1958"/>
    </row>
    <row r="1341" spans="5:8">
      <c r="E1341" s="1958"/>
      <c r="G1341" s="1958"/>
      <c r="H1341" s="1958"/>
    </row>
    <row r="1342" spans="5:8">
      <c r="E1342" s="1958"/>
      <c r="G1342" s="1958"/>
      <c r="H1342" s="1958"/>
    </row>
    <row r="1343" spans="5:8">
      <c r="E1343" s="1958"/>
      <c r="G1343" s="1958"/>
      <c r="H1343" s="1958"/>
    </row>
    <row r="1344" spans="5:8">
      <c r="E1344" s="1958"/>
      <c r="G1344" s="1958"/>
      <c r="H1344" s="1958"/>
    </row>
    <row r="1345" spans="5:8">
      <c r="E1345" s="1958"/>
      <c r="G1345" s="1958"/>
      <c r="H1345" s="1958"/>
    </row>
    <row r="1346" spans="5:8">
      <c r="E1346" s="1958"/>
      <c r="G1346" s="1958"/>
      <c r="H1346" s="1958"/>
    </row>
    <row r="1347" spans="5:8">
      <c r="E1347" s="1958"/>
      <c r="G1347" s="1958"/>
      <c r="H1347" s="1958"/>
    </row>
    <row r="1348" spans="5:8">
      <c r="E1348" s="1958"/>
      <c r="G1348" s="1958"/>
      <c r="H1348" s="1958"/>
    </row>
    <row r="1349" spans="5:8">
      <c r="E1349" s="1958"/>
      <c r="G1349" s="1958"/>
      <c r="H1349" s="1958"/>
    </row>
    <row r="1350" spans="5:8">
      <c r="E1350" s="1958"/>
      <c r="G1350" s="1958"/>
      <c r="H1350" s="1958"/>
    </row>
    <row r="1351" spans="5:8">
      <c r="E1351" s="1958"/>
      <c r="G1351" s="1958"/>
      <c r="H1351" s="1958"/>
    </row>
    <row r="1352" spans="5:8">
      <c r="E1352" s="1958"/>
      <c r="G1352" s="1958"/>
      <c r="H1352" s="1958"/>
    </row>
    <row r="1353" spans="5:8">
      <c r="E1353" s="1958"/>
      <c r="G1353" s="1958"/>
      <c r="H1353" s="1958"/>
    </row>
    <row r="1354" spans="5:8">
      <c r="E1354" s="1958"/>
      <c r="G1354" s="1958"/>
      <c r="H1354" s="1958"/>
    </row>
    <row r="1355" spans="5:8">
      <c r="E1355" s="1958"/>
      <c r="G1355" s="1958"/>
      <c r="H1355" s="1958"/>
    </row>
    <row r="1356" spans="5:8">
      <c r="E1356" s="1958"/>
      <c r="G1356" s="1958"/>
      <c r="H1356" s="1958"/>
    </row>
    <row r="1357" spans="5:8">
      <c r="E1357" s="1958"/>
      <c r="G1357" s="1958"/>
      <c r="H1357" s="1958"/>
    </row>
    <row r="1358" spans="5:8">
      <c r="E1358" s="1958"/>
      <c r="G1358" s="1958"/>
      <c r="H1358" s="1958"/>
    </row>
    <row r="1359" spans="5:8">
      <c r="E1359" s="1958"/>
      <c r="G1359" s="1958"/>
      <c r="H1359" s="1958"/>
    </row>
    <row r="1360" spans="5:8">
      <c r="E1360" s="1958"/>
      <c r="G1360" s="1958"/>
      <c r="H1360" s="1958"/>
    </row>
    <row r="1361" spans="5:8">
      <c r="E1361" s="1958"/>
      <c r="G1361" s="1958"/>
      <c r="H1361" s="1958"/>
    </row>
    <row r="1362" spans="5:8">
      <c r="E1362" s="1958"/>
      <c r="G1362" s="1958"/>
      <c r="H1362" s="1958"/>
    </row>
    <row r="1363" spans="5:8">
      <c r="E1363" s="1958"/>
      <c r="G1363" s="1958"/>
      <c r="H1363" s="1958"/>
    </row>
    <row r="1364" spans="5:8">
      <c r="E1364" s="1958"/>
      <c r="G1364" s="1958"/>
      <c r="H1364" s="1958"/>
    </row>
    <row r="1365" spans="5:8">
      <c r="E1365" s="1958"/>
      <c r="G1365" s="1958"/>
      <c r="H1365" s="1958"/>
    </row>
    <row r="1366" spans="5:8">
      <c r="E1366" s="1958"/>
      <c r="G1366" s="1958"/>
      <c r="H1366" s="1958"/>
    </row>
    <row r="1367" spans="5:8">
      <c r="E1367" s="1958"/>
      <c r="G1367" s="1958"/>
      <c r="H1367" s="1958"/>
    </row>
    <row r="1368" spans="5:8">
      <c r="E1368" s="1958"/>
      <c r="G1368" s="1958"/>
      <c r="H1368" s="1958"/>
    </row>
    <row r="1369" spans="5:8">
      <c r="E1369" s="1958"/>
      <c r="G1369" s="1958"/>
      <c r="H1369" s="1958"/>
    </row>
    <row r="1370" spans="5:8">
      <c r="E1370" s="1958"/>
      <c r="G1370" s="1958"/>
      <c r="H1370" s="1958"/>
    </row>
    <row r="1371" spans="5:8">
      <c r="E1371" s="1958"/>
      <c r="G1371" s="1958"/>
      <c r="H1371" s="1958"/>
    </row>
    <row r="1372" spans="5:8">
      <c r="E1372" s="1958"/>
      <c r="G1372" s="1958"/>
      <c r="H1372" s="1958"/>
    </row>
    <row r="1373" spans="5:8">
      <c r="E1373" s="1958"/>
      <c r="G1373" s="1958"/>
      <c r="H1373" s="1958"/>
    </row>
    <row r="1374" spans="5:8">
      <c r="E1374" s="1958"/>
      <c r="G1374" s="1958"/>
      <c r="H1374" s="1958"/>
    </row>
    <row r="1375" spans="5:8">
      <c r="E1375" s="1958"/>
      <c r="G1375" s="1958"/>
      <c r="H1375" s="1958"/>
    </row>
    <row r="1376" spans="5:8">
      <c r="E1376" s="1958"/>
      <c r="G1376" s="1958"/>
      <c r="H1376" s="1958"/>
    </row>
    <row r="1377" spans="5:8">
      <c r="E1377" s="1958"/>
      <c r="G1377" s="1958"/>
      <c r="H1377" s="1958"/>
    </row>
    <row r="1378" spans="5:8">
      <c r="E1378" s="1958"/>
      <c r="G1378" s="1958"/>
      <c r="H1378" s="1958"/>
    </row>
    <row r="1379" spans="5:8">
      <c r="E1379" s="1958"/>
      <c r="G1379" s="1958"/>
      <c r="H1379" s="1958"/>
    </row>
    <row r="1380" spans="5:8">
      <c r="E1380" s="1958"/>
      <c r="G1380" s="1958"/>
      <c r="H1380" s="1958"/>
    </row>
    <row r="1381" spans="5:8">
      <c r="E1381" s="1958"/>
      <c r="G1381" s="1958"/>
      <c r="H1381" s="1958"/>
    </row>
    <row r="1382" spans="5:8">
      <c r="E1382" s="1958"/>
      <c r="G1382" s="1958"/>
      <c r="H1382" s="1958"/>
    </row>
    <row r="1383" spans="5:8">
      <c r="E1383" s="1958"/>
      <c r="G1383" s="1958"/>
      <c r="H1383" s="1958"/>
    </row>
    <row r="1384" spans="5:8">
      <c r="E1384" s="1958"/>
      <c r="G1384" s="1958"/>
      <c r="H1384" s="1958"/>
    </row>
    <row r="1385" spans="5:8">
      <c r="E1385" s="1958"/>
      <c r="G1385" s="1958"/>
      <c r="H1385" s="1958"/>
    </row>
    <row r="1386" spans="5:8">
      <c r="E1386" s="1958"/>
      <c r="G1386" s="1958"/>
      <c r="H1386" s="1958"/>
    </row>
    <row r="1387" spans="5:8">
      <c r="E1387" s="1958"/>
      <c r="G1387" s="1958"/>
      <c r="H1387" s="1958"/>
    </row>
    <row r="1388" spans="5:8">
      <c r="E1388" s="1958"/>
      <c r="G1388" s="1958"/>
      <c r="H1388" s="1958"/>
    </row>
    <row r="1389" spans="5:8">
      <c r="E1389" s="1958"/>
      <c r="G1389" s="1958"/>
      <c r="H1389" s="1958"/>
    </row>
    <row r="1390" spans="5:8">
      <c r="E1390" s="1958"/>
      <c r="G1390" s="1958"/>
      <c r="H1390" s="1958"/>
    </row>
    <row r="1391" spans="5:8">
      <c r="E1391" s="1958"/>
      <c r="G1391" s="1958"/>
      <c r="H1391" s="1958"/>
    </row>
    <row r="1392" spans="5:8">
      <c r="E1392" s="1958"/>
      <c r="G1392" s="1958"/>
      <c r="H1392" s="1958"/>
    </row>
    <row r="1393" spans="5:8">
      <c r="E1393" s="1958"/>
      <c r="G1393" s="1958"/>
      <c r="H1393" s="1958"/>
    </row>
    <row r="1394" spans="5:8">
      <c r="E1394" s="1958"/>
      <c r="G1394" s="1958"/>
      <c r="H1394" s="1958"/>
    </row>
    <row r="1395" spans="5:8">
      <c r="E1395" s="1958"/>
      <c r="G1395" s="1958"/>
      <c r="H1395" s="1958"/>
    </row>
    <row r="1396" spans="5:8">
      <c r="E1396" s="1958"/>
      <c r="G1396" s="1958"/>
      <c r="H1396" s="1958"/>
    </row>
    <row r="1397" spans="5:8">
      <c r="E1397" s="1958"/>
      <c r="G1397" s="1958"/>
      <c r="H1397" s="1958"/>
    </row>
    <row r="1398" spans="5:8">
      <c r="E1398" s="1958"/>
      <c r="G1398" s="1958"/>
      <c r="H1398" s="1958"/>
    </row>
    <row r="1399" spans="5:8">
      <c r="E1399" s="1958"/>
      <c r="G1399" s="1958"/>
      <c r="H1399" s="1958"/>
    </row>
    <row r="1400" spans="5:8">
      <c r="E1400" s="1958"/>
      <c r="G1400" s="1958"/>
      <c r="H1400" s="1958"/>
    </row>
    <row r="1401" spans="5:8">
      <c r="E1401" s="1958"/>
      <c r="G1401" s="1958"/>
      <c r="H1401" s="1958"/>
    </row>
    <row r="1402" spans="5:8">
      <c r="E1402" s="1958"/>
      <c r="G1402" s="1958"/>
      <c r="H1402" s="1958"/>
    </row>
    <row r="1403" spans="5:8">
      <c r="E1403" s="1958"/>
      <c r="G1403" s="1958"/>
      <c r="H1403" s="1958"/>
    </row>
    <row r="1404" spans="5:8">
      <c r="E1404" s="1958"/>
      <c r="G1404" s="1958"/>
      <c r="H1404" s="1958"/>
    </row>
    <row r="1405" spans="5:8">
      <c r="E1405" s="1958"/>
      <c r="G1405" s="1958"/>
      <c r="H1405" s="1958"/>
    </row>
    <row r="1406" spans="5:8">
      <c r="E1406" s="1958"/>
      <c r="G1406" s="1958"/>
      <c r="H1406" s="1958"/>
    </row>
    <row r="1407" spans="5:8">
      <c r="E1407" s="1958"/>
      <c r="G1407" s="1958"/>
      <c r="H1407" s="1958"/>
    </row>
    <row r="1408" spans="5:8">
      <c r="E1408" s="1958"/>
      <c r="G1408" s="1958"/>
      <c r="H1408" s="1958"/>
    </row>
    <row r="1409" spans="5:8">
      <c r="E1409" s="1958"/>
      <c r="G1409" s="1958"/>
      <c r="H1409" s="1958"/>
    </row>
    <row r="1410" spans="5:8">
      <c r="E1410" s="1958"/>
      <c r="G1410" s="1958"/>
      <c r="H1410" s="1958"/>
    </row>
    <row r="1411" spans="5:8">
      <c r="E1411" s="1958"/>
      <c r="G1411" s="1958"/>
      <c r="H1411" s="1958"/>
    </row>
    <row r="1412" spans="5:8">
      <c r="E1412" s="1958"/>
      <c r="G1412" s="1958"/>
      <c r="H1412" s="1958"/>
    </row>
    <row r="1413" spans="5:8">
      <c r="E1413" s="1958"/>
      <c r="G1413" s="1958"/>
      <c r="H1413" s="1958"/>
    </row>
    <row r="1414" spans="5:8">
      <c r="E1414" s="1958"/>
      <c r="G1414" s="1958"/>
      <c r="H1414" s="1958"/>
    </row>
    <row r="1415" spans="5:8">
      <c r="E1415" s="1958"/>
      <c r="G1415" s="1958"/>
      <c r="H1415" s="1958"/>
    </row>
    <row r="1416" spans="5:8">
      <c r="E1416" s="1958"/>
      <c r="G1416" s="1958"/>
      <c r="H1416" s="1958"/>
    </row>
    <row r="1417" spans="5:8">
      <c r="E1417" s="1958"/>
      <c r="G1417" s="1958"/>
      <c r="H1417" s="1958"/>
    </row>
    <row r="1418" spans="5:8">
      <c r="E1418" s="1958"/>
      <c r="G1418" s="1958"/>
      <c r="H1418" s="1958"/>
    </row>
    <row r="1419" spans="5:8">
      <c r="E1419" s="1958"/>
      <c r="G1419" s="1958"/>
      <c r="H1419" s="1958"/>
    </row>
    <row r="1420" spans="5:8">
      <c r="E1420" s="1958"/>
      <c r="G1420" s="1958"/>
      <c r="H1420" s="1958"/>
    </row>
    <row r="1421" spans="5:8">
      <c r="E1421" s="1958"/>
      <c r="G1421" s="1958"/>
      <c r="H1421" s="1958"/>
    </row>
    <row r="1422" spans="5:8">
      <c r="E1422" s="1958"/>
      <c r="G1422" s="1958"/>
      <c r="H1422" s="1958"/>
    </row>
    <row r="1423" spans="5:8">
      <c r="E1423" s="1958"/>
      <c r="G1423" s="1958"/>
      <c r="H1423" s="1958"/>
    </row>
    <row r="1424" spans="5:8">
      <c r="E1424" s="1958"/>
      <c r="G1424" s="1958"/>
      <c r="H1424" s="1958"/>
    </row>
    <row r="1425" spans="5:8">
      <c r="E1425" s="1958"/>
      <c r="G1425" s="1958"/>
      <c r="H1425" s="1958"/>
    </row>
    <row r="1426" spans="5:8">
      <c r="E1426" s="1958"/>
      <c r="G1426" s="1958"/>
      <c r="H1426" s="1958"/>
    </row>
    <row r="1427" spans="5:8">
      <c r="E1427" s="1958"/>
      <c r="G1427" s="1958"/>
      <c r="H1427" s="1958"/>
    </row>
    <row r="1428" spans="5:8">
      <c r="E1428" s="1958"/>
      <c r="G1428" s="1958"/>
      <c r="H1428" s="1958"/>
    </row>
    <row r="1429" spans="5:8">
      <c r="E1429" s="1958"/>
      <c r="G1429" s="1958"/>
      <c r="H1429" s="1958"/>
    </row>
    <row r="1430" spans="5:8">
      <c r="E1430" s="1958"/>
      <c r="G1430" s="1958"/>
      <c r="H1430" s="1958"/>
    </row>
    <row r="1431" spans="5:8">
      <c r="E1431" s="1958"/>
      <c r="G1431" s="1958"/>
      <c r="H1431" s="1958"/>
    </row>
    <row r="1432" spans="5:8">
      <c r="E1432" s="1958"/>
      <c r="G1432" s="1958"/>
      <c r="H1432" s="1958"/>
    </row>
    <row r="1433" spans="5:8">
      <c r="E1433" s="1958"/>
      <c r="G1433" s="1958"/>
      <c r="H1433" s="1958"/>
    </row>
    <row r="1434" spans="5:8">
      <c r="E1434" s="1958"/>
      <c r="G1434" s="1958"/>
      <c r="H1434" s="1958"/>
    </row>
    <row r="1435" spans="5:8">
      <c r="E1435" s="1958"/>
      <c r="G1435" s="1958"/>
      <c r="H1435" s="1958"/>
    </row>
    <row r="1436" spans="5:8">
      <c r="E1436" s="1958"/>
      <c r="G1436" s="1958"/>
      <c r="H1436" s="1958"/>
    </row>
    <row r="1437" spans="5:8">
      <c r="E1437" s="1958"/>
      <c r="G1437" s="1958"/>
      <c r="H1437" s="1958"/>
    </row>
    <row r="1438" spans="5:8">
      <c r="E1438" s="1958"/>
      <c r="G1438" s="1958"/>
      <c r="H1438" s="1958"/>
    </row>
    <row r="1439" spans="5:8">
      <c r="E1439" s="1958"/>
      <c r="G1439" s="1958"/>
      <c r="H1439" s="1958"/>
    </row>
    <row r="1440" spans="5:8">
      <c r="E1440" s="1958"/>
      <c r="G1440" s="1958"/>
      <c r="H1440" s="1958"/>
    </row>
    <row r="1441" spans="5:8">
      <c r="E1441" s="1958"/>
      <c r="G1441" s="1958"/>
      <c r="H1441" s="1958"/>
    </row>
    <row r="1442" spans="5:8">
      <c r="E1442" s="1958"/>
      <c r="G1442" s="1958"/>
      <c r="H1442" s="1958"/>
    </row>
    <row r="1443" spans="5:8">
      <c r="E1443" s="1958"/>
      <c r="G1443" s="1958"/>
      <c r="H1443" s="1958"/>
    </row>
    <row r="1444" spans="5:8">
      <c r="E1444" s="1958"/>
      <c r="G1444" s="1958"/>
      <c r="H1444" s="1958"/>
    </row>
    <row r="1445" spans="5:8">
      <c r="E1445" s="1958"/>
      <c r="G1445" s="1958"/>
      <c r="H1445" s="1958"/>
    </row>
    <row r="1446" spans="5:8">
      <c r="E1446" s="1958"/>
      <c r="G1446" s="1958"/>
      <c r="H1446" s="1958"/>
    </row>
    <row r="1447" spans="5:8">
      <c r="E1447" s="1958"/>
      <c r="G1447" s="1958"/>
      <c r="H1447" s="1958"/>
    </row>
    <row r="1448" spans="5:8">
      <c r="E1448" s="1958"/>
      <c r="G1448" s="1958"/>
      <c r="H1448" s="1958"/>
    </row>
    <row r="1449" spans="5:8">
      <c r="E1449" s="1958"/>
      <c r="G1449" s="1958"/>
      <c r="H1449" s="1958"/>
    </row>
    <row r="1450" spans="5:8">
      <c r="E1450" s="1958"/>
      <c r="G1450" s="1958"/>
      <c r="H1450" s="1958"/>
    </row>
    <row r="1451" spans="5:8">
      <c r="E1451" s="1958"/>
      <c r="G1451" s="1958"/>
      <c r="H1451" s="1958"/>
    </row>
    <row r="1452" spans="5:8">
      <c r="E1452" s="1958"/>
      <c r="G1452" s="1958"/>
      <c r="H1452" s="1958"/>
    </row>
    <row r="1453" spans="5:8">
      <c r="E1453" s="1958"/>
      <c r="G1453" s="1958"/>
      <c r="H1453" s="1958"/>
    </row>
    <row r="1454" spans="5:8">
      <c r="E1454" s="1958"/>
      <c r="G1454" s="1958"/>
      <c r="H1454" s="1958"/>
    </row>
    <row r="1455" spans="5:8">
      <c r="E1455" s="1958"/>
      <c r="G1455" s="1958"/>
      <c r="H1455" s="1958"/>
    </row>
    <row r="1456" spans="5:8">
      <c r="E1456" s="1958"/>
      <c r="G1456" s="1958"/>
      <c r="H1456" s="1958"/>
    </row>
    <row r="1457" spans="5:8">
      <c r="E1457" s="1958"/>
      <c r="G1457" s="1958"/>
      <c r="H1457" s="1958"/>
    </row>
    <row r="1458" spans="5:8">
      <c r="E1458" s="1958"/>
      <c r="G1458" s="1958"/>
      <c r="H1458" s="1958"/>
    </row>
    <row r="1459" spans="5:8">
      <c r="E1459" s="1958"/>
      <c r="G1459" s="1958"/>
      <c r="H1459" s="1958"/>
    </row>
    <row r="1460" spans="5:8">
      <c r="E1460" s="1958"/>
      <c r="G1460" s="1958"/>
      <c r="H1460" s="1958"/>
    </row>
    <row r="1461" spans="5:8">
      <c r="E1461" s="1958"/>
      <c r="G1461" s="1958"/>
      <c r="H1461" s="1958"/>
    </row>
    <row r="1462" spans="5:8">
      <c r="E1462" s="1958"/>
      <c r="G1462" s="1958"/>
      <c r="H1462" s="1958"/>
    </row>
    <row r="1463" spans="5:8">
      <c r="E1463" s="1958"/>
      <c r="G1463" s="1958"/>
      <c r="H1463" s="1958"/>
    </row>
    <row r="1464" spans="5:8">
      <c r="E1464" s="1958"/>
      <c r="G1464" s="1958"/>
      <c r="H1464" s="1958"/>
    </row>
    <row r="1465" spans="5:8">
      <c r="E1465" s="1958"/>
      <c r="G1465" s="1958"/>
      <c r="H1465" s="1958"/>
    </row>
    <row r="1466" spans="5:8">
      <c r="E1466" s="1958"/>
      <c r="G1466" s="1958"/>
      <c r="H1466" s="1958"/>
    </row>
    <row r="1467" spans="5:8">
      <c r="E1467" s="1958"/>
      <c r="G1467" s="1958"/>
      <c r="H1467" s="1958"/>
    </row>
    <row r="1468" spans="5:8">
      <c r="E1468" s="1958"/>
      <c r="G1468" s="1958"/>
      <c r="H1468" s="1958"/>
    </row>
    <row r="1469" spans="5:8">
      <c r="E1469" s="1958"/>
      <c r="G1469" s="1958"/>
      <c r="H1469" s="1958"/>
    </row>
    <row r="1470" spans="5:8">
      <c r="E1470" s="1958"/>
      <c r="G1470" s="1958"/>
      <c r="H1470" s="1958"/>
    </row>
    <row r="1471" spans="5:8">
      <c r="E1471" s="1958"/>
      <c r="G1471" s="1958"/>
      <c r="H1471" s="1958"/>
    </row>
    <row r="1472" spans="5:8">
      <c r="E1472" s="1958"/>
      <c r="G1472" s="1958"/>
      <c r="H1472" s="1958"/>
    </row>
    <row r="1473" spans="5:8">
      <c r="E1473" s="1958"/>
      <c r="G1473" s="1958"/>
      <c r="H1473" s="1958"/>
    </row>
    <row r="1474" spans="5:8">
      <c r="E1474" s="1958"/>
      <c r="G1474" s="1958"/>
      <c r="H1474" s="1958"/>
    </row>
    <row r="1475" spans="5:8">
      <c r="E1475" s="1958"/>
      <c r="G1475" s="1958"/>
      <c r="H1475" s="1958"/>
    </row>
    <row r="1476" spans="5:8">
      <c r="E1476" s="1958"/>
      <c r="G1476" s="1958"/>
      <c r="H1476" s="1958"/>
    </row>
    <row r="1477" spans="5:8">
      <c r="E1477" s="1958"/>
      <c r="G1477" s="1958"/>
      <c r="H1477" s="1958"/>
    </row>
    <row r="1478" spans="5:8">
      <c r="E1478" s="1958"/>
      <c r="G1478" s="1958"/>
      <c r="H1478" s="1958"/>
    </row>
    <row r="1479" spans="5:8">
      <c r="E1479" s="1958"/>
      <c r="G1479" s="1958"/>
      <c r="H1479" s="1958"/>
    </row>
    <row r="1480" spans="5:8">
      <c r="E1480" s="1958"/>
      <c r="G1480" s="1958"/>
      <c r="H1480" s="1958"/>
    </row>
    <row r="1481" spans="5:8">
      <c r="E1481" s="1958"/>
      <c r="G1481" s="1958"/>
      <c r="H1481" s="1958"/>
    </row>
    <row r="1482" spans="5:8">
      <c r="E1482" s="1958"/>
      <c r="G1482" s="1958"/>
      <c r="H1482" s="1958"/>
    </row>
    <row r="1483" spans="5:8">
      <c r="E1483" s="1958"/>
      <c r="G1483" s="1958"/>
      <c r="H1483" s="1958"/>
    </row>
    <row r="1484" spans="5:8">
      <c r="E1484" s="1958"/>
      <c r="G1484" s="1958"/>
      <c r="H1484" s="1958"/>
    </row>
    <row r="1485" spans="5:8">
      <c r="E1485" s="1958"/>
      <c r="G1485" s="1958"/>
      <c r="H1485" s="1958"/>
    </row>
    <row r="1486" spans="5:8">
      <c r="E1486" s="1958"/>
      <c r="G1486" s="1958"/>
      <c r="H1486" s="1958"/>
    </row>
    <row r="1487" spans="5:8">
      <c r="E1487" s="1958"/>
      <c r="G1487" s="1958"/>
      <c r="H1487" s="1958"/>
    </row>
    <row r="1488" spans="5:8">
      <c r="E1488" s="1958"/>
      <c r="G1488" s="1958"/>
      <c r="H1488" s="1958"/>
    </row>
    <row r="1489" spans="5:8">
      <c r="E1489" s="1958"/>
      <c r="G1489" s="1958"/>
      <c r="H1489" s="1958"/>
    </row>
    <row r="1490" spans="5:8">
      <c r="E1490" s="1958"/>
      <c r="G1490" s="1958"/>
      <c r="H1490" s="1958"/>
    </row>
    <row r="1491" spans="5:8">
      <c r="E1491" s="1958"/>
      <c r="G1491" s="1958"/>
      <c r="H1491" s="1958"/>
    </row>
    <row r="1492" spans="5:8">
      <c r="E1492" s="1958"/>
      <c r="G1492" s="1958"/>
      <c r="H1492" s="1958"/>
    </row>
    <row r="1493" spans="5:8">
      <c r="E1493" s="1958"/>
      <c r="G1493" s="1958"/>
      <c r="H1493" s="1958"/>
    </row>
    <row r="1494" spans="5:8">
      <c r="E1494" s="1958"/>
      <c r="G1494" s="1958"/>
      <c r="H1494" s="1958"/>
    </row>
    <row r="1495" spans="5:8">
      <c r="E1495" s="1958"/>
      <c r="G1495" s="1958"/>
      <c r="H1495" s="1958"/>
    </row>
    <row r="1496" spans="5:8">
      <c r="E1496" s="1958"/>
      <c r="G1496" s="1958"/>
      <c r="H1496" s="1958"/>
    </row>
    <row r="1497" spans="5:8">
      <c r="E1497" s="1958"/>
      <c r="G1497" s="1958"/>
      <c r="H1497" s="1958"/>
    </row>
    <row r="1498" spans="5:8">
      <c r="E1498" s="1958"/>
      <c r="G1498" s="1958"/>
      <c r="H1498" s="1958"/>
    </row>
    <row r="1499" spans="5:8">
      <c r="E1499" s="1958"/>
      <c r="G1499" s="1958"/>
      <c r="H1499" s="1958"/>
    </row>
    <row r="1500" spans="5:8">
      <c r="E1500" s="1958"/>
      <c r="G1500" s="1958"/>
      <c r="H1500" s="1958"/>
    </row>
    <row r="1501" spans="5:8">
      <c r="E1501" s="1958"/>
      <c r="G1501" s="1958"/>
      <c r="H1501" s="1958"/>
    </row>
    <row r="1502" spans="5:8">
      <c r="E1502" s="1958"/>
      <c r="G1502" s="1958"/>
      <c r="H1502" s="1958"/>
    </row>
    <row r="1503" spans="5:8">
      <c r="E1503" s="1958"/>
      <c r="G1503" s="1958"/>
      <c r="H1503" s="1958"/>
    </row>
    <row r="1504" spans="5:8">
      <c r="E1504" s="1958"/>
      <c r="G1504" s="1958"/>
      <c r="H1504" s="1958"/>
    </row>
    <row r="1505" spans="5:8">
      <c r="E1505" s="1958"/>
      <c r="G1505" s="1958"/>
      <c r="H1505" s="1958"/>
    </row>
    <row r="1506" spans="5:8">
      <c r="E1506" s="1958"/>
      <c r="G1506" s="1958"/>
      <c r="H1506" s="1958"/>
    </row>
    <row r="1507" spans="5:8">
      <c r="E1507" s="1958"/>
      <c r="G1507" s="1958"/>
      <c r="H1507" s="1958"/>
    </row>
    <row r="1508" spans="5:8">
      <c r="E1508" s="1958"/>
      <c r="G1508" s="1958"/>
      <c r="H1508" s="1958"/>
    </row>
    <row r="1509" spans="5:8">
      <c r="E1509" s="1958"/>
      <c r="G1509" s="1958"/>
      <c r="H1509" s="1958"/>
    </row>
    <row r="1510" spans="5:8">
      <c r="E1510" s="1958"/>
      <c r="G1510" s="1958"/>
      <c r="H1510" s="1958"/>
    </row>
    <row r="1511" spans="5:8">
      <c r="E1511" s="1958"/>
      <c r="G1511" s="1958"/>
      <c r="H1511" s="1958"/>
    </row>
    <row r="1512" spans="5:8">
      <c r="E1512" s="1958"/>
      <c r="G1512" s="1958"/>
      <c r="H1512" s="1958"/>
    </row>
    <row r="1513" spans="5:8">
      <c r="E1513" s="1958"/>
      <c r="G1513" s="1958"/>
      <c r="H1513" s="1958"/>
    </row>
    <row r="1514" spans="5:8">
      <c r="E1514" s="1958"/>
      <c r="G1514" s="1958"/>
      <c r="H1514" s="1958"/>
    </row>
    <row r="1515" spans="5:8">
      <c r="E1515" s="1958"/>
      <c r="G1515" s="1958"/>
      <c r="H1515" s="1958"/>
    </row>
    <row r="1516" spans="5:8">
      <c r="E1516" s="1958"/>
      <c r="G1516" s="1958"/>
      <c r="H1516" s="1958"/>
    </row>
    <row r="1517" spans="5:8">
      <c r="E1517" s="1958"/>
      <c r="G1517" s="1958"/>
      <c r="H1517" s="1958"/>
    </row>
    <row r="1518" spans="5:8">
      <c r="E1518" s="1958"/>
      <c r="G1518" s="1958"/>
      <c r="H1518" s="1958"/>
    </row>
    <row r="1519" spans="5:8">
      <c r="E1519" s="1958"/>
      <c r="G1519" s="1958"/>
      <c r="H1519" s="1958"/>
    </row>
    <row r="1520" spans="5:8">
      <c r="E1520" s="1958"/>
      <c r="G1520" s="1958"/>
      <c r="H1520" s="1958"/>
    </row>
    <row r="1521" spans="5:8">
      <c r="E1521" s="1958"/>
      <c r="G1521" s="1958"/>
      <c r="H1521" s="1958"/>
    </row>
    <row r="1522" spans="5:8">
      <c r="E1522" s="1958"/>
      <c r="G1522" s="1958"/>
      <c r="H1522" s="1958"/>
    </row>
    <row r="1523" spans="5:8">
      <c r="E1523" s="1958"/>
      <c r="G1523" s="1958"/>
      <c r="H1523" s="1958"/>
    </row>
    <row r="1524" spans="5:8">
      <c r="E1524" s="1958"/>
      <c r="G1524" s="1958"/>
      <c r="H1524" s="1958"/>
    </row>
    <row r="1525" spans="5:8">
      <c r="E1525" s="1958"/>
      <c r="G1525" s="1958"/>
      <c r="H1525" s="1958"/>
    </row>
    <row r="1526" spans="5:8">
      <c r="E1526" s="1958"/>
      <c r="G1526" s="1958"/>
      <c r="H1526" s="1958"/>
    </row>
    <row r="1527" spans="5:8">
      <c r="E1527" s="1958"/>
      <c r="G1527" s="1958"/>
      <c r="H1527" s="1958"/>
    </row>
    <row r="1528" spans="5:8">
      <c r="E1528" s="1958"/>
      <c r="G1528" s="1958"/>
      <c r="H1528" s="1958"/>
    </row>
    <row r="1529" spans="5:8">
      <c r="E1529" s="1958"/>
      <c r="G1529" s="1958"/>
      <c r="H1529" s="1958"/>
    </row>
    <row r="1530" spans="5:8">
      <c r="E1530" s="1958"/>
      <c r="G1530" s="1958"/>
      <c r="H1530" s="1958"/>
    </row>
    <row r="1531" spans="5:8">
      <c r="E1531" s="1958"/>
      <c r="G1531" s="1958"/>
      <c r="H1531" s="1958"/>
    </row>
    <row r="1532" spans="5:8">
      <c r="E1532" s="1958"/>
      <c r="G1532" s="1958"/>
      <c r="H1532" s="1958"/>
    </row>
    <row r="1533" spans="5:8">
      <c r="E1533" s="1958"/>
      <c r="G1533" s="1958"/>
      <c r="H1533" s="1958"/>
    </row>
    <row r="1534" spans="5:8">
      <c r="E1534" s="1958"/>
      <c r="G1534" s="1958"/>
      <c r="H1534" s="1958"/>
    </row>
    <row r="1535" spans="5:8">
      <c r="E1535" s="1958"/>
      <c r="G1535" s="1958"/>
      <c r="H1535" s="1958"/>
    </row>
    <row r="1536" spans="5:8">
      <c r="E1536" s="1958"/>
      <c r="G1536" s="1958"/>
      <c r="H1536" s="1958"/>
    </row>
    <row r="1537" spans="5:8">
      <c r="E1537" s="1958"/>
      <c r="G1537" s="1958"/>
      <c r="H1537" s="1958"/>
    </row>
    <row r="1538" spans="5:8">
      <c r="E1538" s="1958"/>
      <c r="G1538" s="1958"/>
      <c r="H1538" s="1958"/>
    </row>
    <row r="1539" spans="5:8">
      <c r="E1539" s="1958"/>
      <c r="G1539" s="1958"/>
      <c r="H1539" s="1958"/>
    </row>
    <row r="1540" spans="5:8">
      <c r="E1540" s="1958"/>
      <c r="G1540" s="1958"/>
      <c r="H1540" s="1958"/>
    </row>
    <row r="1541" spans="5:8">
      <c r="E1541" s="1958"/>
      <c r="G1541" s="1958"/>
      <c r="H1541" s="1958"/>
    </row>
    <row r="1542" spans="5:8">
      <c r="E1542" s="1958"/>
      <c r="G1542" s="1958"/>
      <c r="H1542" s="1958"/>
    </row>
    <row r="1543" spans="5:8">
      <c r="E1543" s="1958"/>
      <c r="G1543" s="1958"/>
      <c r="H1543" s="1958"/>
    </row>
    <row r="1544" spans="5:8">
      <c r="E1544" s="1958"/>
      <c r="G1544" s="1958"/>
      <c r="H1544" s="1958"/>
    </row>
    <row r="1545" spans="5:8">
      <c r="E1545" s="1958"/>
      <c r="G1545" s="1958"/>
      <c r="H1545" s="1958"/>
    </row>
    <row r="1546" spans="5:8">
      <c r="E1546" s="1958"/>
      <c r="G1546" s="1958"/>
      <c r="H1546" s="1958"/>
    </row>
    <row r="1547" spans="5:8">
      <c r="E1547" s="1958"/>
      <c r="G1547" s="1958"/>
      <c r="H1547" s="1958"/>
    </row>
    <row r="1548" spans="5:8">
      <c r="E1548" s="1958"/>
      <c r="G1548" s="1958"/>
      <c r="H1548" s="1958"/>
    </row>
    <row r="1549" spans="5:8">
      <c r="E1549" s="1958"/>
      <c r="G1549" s="1958"/>
      <c r="H1549" s="1958"/>
    </row>
    <row r="1550" spans="5:8">
      <c r="E1550" s="1958"/>
      <c r="G1550" s="1958"/>
      <c r="H1550" s="1958"/>
    </row>
    <row r="1551" spans="5:8">
      <c r="E1551" s="1958"/>
      <c r="G1551" s="1958"/>
      <c r="H1551" s="1958"/>
    </row>
    <row r="1552" spans="5:8">
      <c r="E1552" s="1958"/>
      <c r="G1552" s="1958"/>
      <c r="H1552" s="1958"/>
    </row>
    <row r="1553" spans="5:8">
      <c r="E1553" s="1958"/>
      <c r="G1553" s="1958"/>
      <c r="H1553" s="1958"/>
    </row>
    <row r="1554" spans="5:8">
      <c r="E1554" s="1958"/>
      <c r="G1554" s="1958"/>
      <c r="H1554" s="1958"/>
    </row>
    <row r="1555" spans="5:8">
      <c r="E1555" s="1958"/>
      <c r="G1555" s="1958"/>
      <c r="H1555" s="1958"/>
    </row>
    <row r="1556" spans="5:8">
      <c r="E1556" s="1958"/>
      <c r="G1556" s="1958"/>
      <c r="H1556" s="1958"/>
    </row>
    <row r="1557" spans="5:8">
      <c r="E1557" s="1958"/>
      <c r="G1557" s="1958"/>
      <c r="H1557" s="1958"/>
    </row>
    <row r="1558" spans="5:8">
      <c r="E1558" s="1958"/>
      <c r="G1558" s="1958"/>
      <c r="H1558" s="1958"/>
    </row>
    <row r="1559" spans="5:8">
      <c r="E1559" s="1958"/>
      <c r="G1559" s="1958"/>
      <c r="H1559" s="1958"/>
    </row>
    <row r="1560" spans="5:8">
      <c r="E1560" s="1958"/>
      <c r="G1560" s="1958"/>
      <c r="H1560" s="1958"/>
    </row>
    <row r="1561" spans="5:8">
      <c r="E1561" s="1958"/>
      <c r="G1561" s="1958"/>
      <c r="H1561" s="1958"/>
    </row>
    <row r="1562" spans="5:8">
      <c r="E1562" s="1958"/>
      <c r="G1562" s="1958"/>
      <c r="H1562" s="1958"/>
    </row>
    <row r="1563" spans="5:8">
      <c r="E1563" s="1958"/>
      <c r="G1563" s="1958"/>
      <c r="H1563" s="1958"/>
    </row>
    <row r="1564" spans="5:8">
      <c r="E1564" s="1958"/>
      <c r="G1564" s="1958"/>
      <c r="H1564" s="1958"/>
    </row>
    <row r="1565" spans="5:8">
      <c r="E1565" s="1958"/>
      <c r="G1565" s="1958"/>
      <c r="H1565" s="1958"/>
    </row>
    <row r="1566" spans="5:8">
      <c r="E1566" s="1958"/>
      <c r="G1566" s="1958"/>
      <c r="H1566" s="1958"/>
    </row>
    <row r="1567" spans="5:8">
      <c r="E1567" s="1958"/>
      <c r="G1567" s="1958"/>
      <c r="H1567" s="1958"/>
    </row>
    <row r="1568" spans="5:8">
      <c r="E1568" s="1958"/>
      <c r="G1568" s="1958"/>
      <c r="H1568" s="1958"/>
    </row>
    <row r="1569" spans="5:8">
      <c r="E1569" s="1958"/>
      <c r="G1569" s="1958"/>
      <c r="H1569" s="1958"/>
    </row>
    <row r="1570" spans="5:8">
      <c r="E1570" s="1958"/>
      <c r="G1570" s="1958"/>
      <c r="H1570" s="1958"/>
    </row>
    <row r="1571" spans="5:8">
      <c r="E1571" s="1958"/>
      <c r="G1571" s="1958"/>
      <c r="H1571" s="1958"/>
    </row>
    <row r="1572" spans="5:8">
      <c r="E1572" s="1958"/>
      <c r="G1572" s="1958"/>
      <c r="H1572" s="1958"/>
    </row>
    <row r="1573" spans="5:8">
      <c r="E1573" s="1958"/>
      <c r="G1573" s="1958"/>
      <c r="H1573" s="1958"/>
    </row>
    <row r="1574" spans="5:8">
      <c r="E1574" s="1958"/>
      <c r="G1574" s="1958"/>
      <c r="H1574" s="1958"/>
    </row>
    <row r="1575" spans="5:8">
      <c r="E1575" s="1958"/>
      <c r="G1575" s="1958"/>
      <c r="H1575" s="1958"/>
    </row>
    <row r="1576" spans="5:8">
      <c r="E1576" s="1958"/>
      <c r="G1576" s="1958"/>
      <c r="H1576" s="1958"/>
    </row>
    <row r="1577" spans="5:8">
      <c r="E1577" s="1958"/>
      <c r="G1577" s="1958"/>
      <c r="H1577" s="1958"/>
    </row>
    <row r="1578" spans="5:8">
      <c r="E1578" s="1958"/>
      <c r="G1578" s="1958"/>
      <c r="H1578" s="1958"/>
    </row>
    <row r="1579" spans="5:8">
      <c r="E1579" s="1958"/>
      <c r="G1579" s="1958"/>
      <c r="H1579" s="1958"/>
    </row>
    <row r="1580" spans="5:8">
      <c r="E1580" s="1958"/>
      <c r="G1580" s="1958"/>
      <c r="H1580" s="1958"/>
    </row>
    <row r="1581" spans="5:8">
      <c r="E1581" s="1958"/>
      <c r="G1581" s="1958"/>
      <c r="H1581" s="1958"/>
    </row>
    <row r="1582" spans="5:8">
      <c r="E1582" s="1958"/>
      <c r="G1582" s="1958"/>
      <c r="H1582" s="1958"/>
    </row>
    <row r="1583" spans="5:8">
      <c r="E1583" s="1958"/>
      <c r="G1583" s="1958"/>
      <c r="H1583" s="1958"/>
    </row>
    <row r="1584" spans="5:8">
      <c r="E1584" s="1958"/>
      <c r="G1584" s="1958"/>
      <c r="H1584" s="1958"/>
    </row>
    <row r="1585" spans="5:8">
      <c r="E1585" s="1958"/>
      <c r="G1585" s="1958"/>
      <c r="H1585" s="1958"/>
    </row>
    <row r="1586" spans="5:8">
      <c r="E1586" s="1958"/>
      <c r="G1586" s="1958"/>
      <c r="H1586" s="1958"/>
    </row>
    <row r="1587" spans="5:8">
      <c r="E1587" s="1958"/>
      <c r="G1587" s="1958"/>
      <c r="H1587" s="1958"/>
    </row>
    <row r="1588" spans="5:8">
      <c r="E1588" s="1958"/>
      <c r="G1588" s="1958"/>
      <c r="H1588" s="1958"/>
    </row>
    <row r="1589" spans="5:8">
      <c r="E1589" s="1958"/>
      <c r="G1589" s="1958"/>
      <c r="H1589" s="1958"/>
    </row>
    <row r="1590" spans="5:8">
      <c r="E1590" s="1958"/>
      <c r="G1590" s="1958"/>
      <c r="H1590" s="1958"/>
    </row>
    <row r="1591" spans="5:8">
      <c r="E1591" s="1958"/>
      <c r="G1591" s="1958"/>
      <c r="H1591" s="1958"/>
    </row>
    <row r="1592" spans="5:8">
      <c r="E1592" s="1958"/>
      <c r="G1592" s="1958"/>
      <c r="H1592" s="1958"/>
    </row>
    <row r="1593" spans="5:8">
      <c r="E1593" s="1958"/>
      <c r="G1593" s="1958"/>
      <c r="H1593" s="1958"/>
    </row>
    <row r="1594" spans="5:8">
      <c r="E1594" s="1958"/>
      <c r="G1594" s="1958"/>
      <c r="H1594" s="1958"/>
    </row>
    <row r="1595" spans="5:8">
      <c r="E1595" s="1958"/>
      <c r="G1595" s="1958"/>
      <c r="H1595" s="1958"/>
    </row>
    <row r="1596" spans="5:8">
      <c r="E1596" s="1958"/>
      <c r="G1596" s="1958"/>
      <c r="H1596" s="1958"/>
    </row>
    <row r="1597" spans="5:8">
      <c r="E1597" s="1958"/>
      <c r="G1597" s="1958"/>
      <c r="H1597" s="1958"/>
    </row>
    <row r="1598" spans="5:8">
      <c r="E1598" s="1958"/>
      <c r="G1598" s="1958"/>
      <c r="H1598" s="1958"/>
    </row>
    <row r="1599" spans="5:8">
      <c r="E1599" s="1958"/>
      <c r="G1599" s="1958"/>
      <c r="H1599" s="1958"/>
    </row>
    <row r="1600" spans="5:8">
      <c r="E1600" s="1958"/>
      <c r="G1600" s="1958"/>
      <c r="H1600" s="1958"/>
    </row>
    <row r="1601" spans="5:8">
      <c r="E1601" s="1958"/>
      <c r="G1601" s="1958"/>
      <c r="H1601" s="1958"/>
    </row>
    <row r="1602" spans="5:8">
      <c r="E1602" s="1958"/>
      <c r="G1602" s="1958"/>
      <c r="H1602" s="1958"/>
    </row>
    <row r="1603" spans="5:8">
      <c r="E1603" s="1958"/>
      <c r="G1603" s="1958"/>
      <c r="H1603" s="1958"/>
    </row>
    <row r="1604" spans="5:8">
      <c r="E1604" s="1958"/>
      <c r="G1604" s="1958"/>
      <c r="H1604" s="1958"/>
    </row>
    <row r="1605" spans="5:8">
      <c r="E1605" s="1958"/>
      <c r="G1605" s="1958"/>
      <c r="H1605" s="1958"/>
    </row>
    <row r="1606" spans="5:8">
      <c r="E1606" s="1958"/>
      <c r="G1606" s="1958"/>
      <c r="H1606" s="1958"/>
    </row>
    <row r="1607" spans="5:8">
      <c r="E1607" s="1958"/>
      <c r="G1607" s="1958"/>
      <c r="H1607" s="1958"/>
    </row>
    <row r="1608" spans="5:8">
      <c r="E1608" s="1958"/>
      <c r="G1608" s="1958"/>
      <c r="H1608" s="1958"/>
    </row>
    <row r="1609" spans="5:8">
      <c r="E1609" s="1958"/>
      <c r="G1609" s="1958"/>
      <c r="H1609" s="1958"/>
    </row>
    <row r="1610" spans="5:8">
      <c r="E1610" s="1958"/>
      <c r="G1610" s="1958"/>
      <c r="H1610" s="1958"/>
    </row>
    <row r="1611" spans="5:8">
      <c r="E1611" s="1958"/>
      <c r="G1611" s="1958"/>
      <c r="H1611" s="1958"/>
    </row>
    <row r="1612" spans="5:8">
      <c r="E1612" s="1958"/>
      <c r="G1612" s="1958"/>
      <c r="H1612" s="1958"/>
    </row>
    <row r="1613" spans="5:8">
      <c r="E1613" s="1958"/>
      <c r="G1613" s="1958"/>
      <c r="H1613" s="1958"/>
    </row>
    <row r="1614" spans="5:8">
      <c r="E1614" s="1958"/>
      <c r="G1614" s="1958"/>
      <c r="H1614" s="1958"/>
    </row>
    <row r="1615" spans="5:8">
      <c r="E1615" s="1958"/>
      <c r="G1615" s="1958"/>
      <c r="H1615" s="1958"/>
    </row>
    <row r="1616" spans="5:8">
      <c r="E1616" s="1958"/>
      <c r="G1616" s="1958"/>
      <c r="H1616" s="1958"/>
    </row>
    <row r="1617" spans="5:8">
      <c r="E1617" s="1958"/>
      <c r="G1617" s="1958"/>
      <c r="H1617" s="1958"/>
    </row>
    <row r="1618" spans="5:8">
      <c r="E1618" s="1958"/>
      <c r="G1618" s="1958"/>
      <c r="H1618" s="1958"/>
    </row>
    <row r="1619" spans="5:8">
      <c r="E1619" s="1958"/>
      <c r="G1619" s="1958"/>
      <c r="H1619" s="1958"/>
    </row>
    <row r="1620" spans="5:8">
      <c r="E1620" s="1958"/>
      <c r="G1620" s="1958"/>
      <c r="H1620" s="1958"/>
    </row>
    <row r="1621" spans="5:8">
      <c r="E1621" s="1958"/>
      <c r="G1621" s="1958"/>
      <c r="H1621" s="1958"/>
    </row>
    <row r="1622" spans="5:8">
      <c r="E1622" s="1958"/>
      <c r="G1622" s="1958"/>
      <c r="H1622" s="1958"/>
    </row>
    <row r="1623" spans="5:8">
      <c r="E1623" s="1958"/>
      <c r="G1623" s="1958"/>
      <c r="H1623" s="1958"/>
    </row>
    <row r="1624" spans="5:8">
      <c r="E1624" s="1958"/>
      <c r="G1624" s="1958"/>
      <c r="H1624" s="1958"/>
    </row>
    <row r="1625" spans="5:8">
      <c r="E1625" s="1958"/>
      <c r="G1625" s="1958"/>
      <c r="H1625" s="1958"/>
    </row>
    <row r="1626" spans="5:8">
      <c r="E1626" s="1958"/>
      <c r="G1626" s="1958"/>
      <c r="H1626" s="1958"/>
    </row>
    <row r="1627" spans="5:8">
      <c r="E1627" s="1958"/>
      <c r="G1627" s="1958"/>
      <c r="H1627" s="1958"/>
    </row>
    <row r="1628" spans="5:8">
      <c r="E1628" s="1958"/>
      <c r="G1628" s="1958"/>
      <c r="H1628" s="1958"/>
    </row>
    <row r="1629" spans="5:8">
      <c r="E1629" s="1958"/>
      <c r="G1629" s="1958"/>
      <c r="H1629" s="1958"/>
    </row>
    <row r="1630" spans="5:8">
      <c r="E1630" s="1958"/>
      <c r="G1630" s="1958"/>
      <c r="H1630" s="1958"/>
    </row>
    <row r="1631" spans="5:8">
      <c r="E1631" s="1958"/>
      <c r="G1631" s="1958"/>
      <c r="H1631" s="1958"/>
    </row>
    <row r="1632" spans="5:8">
      <c r="E1632" s="1958"/>
      <c r="G1632" s="1958"/>
      <c r="H1632" s="1958"/>
    </row>
    <row r="1633" spans="5:8">
      <c r="E1633" s="1958"/>
      <c r="G1633" s="1958"/>
      <c r="H1633" s="1958"/>
    </row>
    <row r="1634" spans="5:8">
      <c r="E1634" s="1958"/>
      <c r="G1634" s="1958"/>
      <c r="H1634" s="1958"/>
    </row>
    <row r="1635" spans="5:8">
      <c r="E1635" s="1958"/>
      <c r="G1635" s="1958"/>
      <c r="H1635" s="1958"/>
    </row>
    <row r="1636" spans="5:8">
      <c r="E1636" s="1958"/>
      <c r="G1636" s="1958"/>
      <c r="H1636" s="1958"/>
    </row>
    <row r="1637" spans="5:8">
      <c r="E1637" s="1958"/>
      <c r="G1637" s="1958"/>
      <c r="H1637" s="1958"/>
    </row>
    <row r="1638" spans="5:8">
      <c r="E1638" s="1958"/>
      <c r="G1638" s="1958"/>
      <c r="H1638" s="1958"/>
    </row>
    <row r="1639" spans="5:8">
      <c r="E1639" s="1958"/>
      <c r="G1639" s="1958"/>
      <c r="H1639" s="1958"/>
    </row>
    <row r="1640" spans="5:8">
      <c r="E1640" s="1958"/>
      <c r="G1640" s="1958"/>
      <c r="H1640" s="1958"/>
    </row>
    <row r="1641" spans="5:8">
      <c r="E1641" s="1958"/>
      <c r="G1641" s="1958"/>
      <c r="H1641" s="1958"/>
    </row>
    <row r="1642" spans="5:8">
      <c r="E1642" s="1958"/>
      <c r="G1642" s="1958"/>
      <c r="H1642" s="1958"/>
    </row>
    <row r="1643" spans="5:8">
      <c r="E1643" s="1958"/>
      <c r="G1643" s="1958"/>
      <c r="H1643" s="1958"/>
    </row>
    <row r="1644" spans="5:8">
      <c r="E1644" s="1958"/>
      <c r="G1644" s="1958"/>
      <c r="H1644" s="1958"/>
    </row>
    <row r="1645" spans="5:8">
      <c r="E1645" s="1958"/>
      <c r="G1645" s="1958"/>
      <c r="H1645" s="1958"/>
    </row>
    <row r="1646" spans="5:8">
      <c r="E1646" s="1958"/>
      <c r="G1646" s="1958"/>
      <c r="H1646" s="1958"/>
    </row>
    <row r="1647" spans="5:8">
      <c r="E1647" s="1958"/>
      <c r="G1647" s="1958"/>
      <c r="H1647" s="1958"/>
    </row>
    <row r="1648" spans="5:8">
      <c r="E1648" s="1958"/>
      <c r="G1648" s="1958"/>
      <c r="H1648" s="1958"/>
    </row>
    <row r="1649" spans="5:8">
      <c r="E1649" s="1958"/>
      <c r="G1649" s="1958"/>
      <c r="H1649" s="1958"/>
    </row>
    <row r="1650" spans="5:8">
      <c r="E1650" s="1958"/>
      <c r="G1650" s="1958"/>
      <c r="H1650" s="1958"/>
    </row>
    <row r="1651" spans="5:8">
      <c r="E1651" s="1958"/>
      <c r="G1651" s="1958"/>
      <c r="H1651" s="1958"/>
    </row>
    <row r="1652" spans="5:8">
      <c r="E1652" s="1958"/>
      <c r="G1652" s="1958"/>
      <c r="H1652" s="1958"/>
    </row>
    <row r="1653" spans="5:8">
      <c r="E1653" s="1958"/>
      <c r="G1653" s="1958"/>
      <c r="H1653" s="1958"/>
    </row>
    <row r="1654" spans="5:8">
      <c r="E1654" s="1958"/>
      <c r="G1654" s="1958"/>
      <c r="H1654" s="1958"/>
    </row>
    <row r="1655" spans="5:8">
      <c r="E1655" s="1958"/>
      <c r="G1655" s="1958"/>
      <c r="H1655" s="1958"/>
    </row>
    <row r="1656" spans="5:8">
      <c r="E1656" s="1958"/>
      <c r="G1656" s="1958"/>
      <c r="H1656" s="1958"/>
    </row>
    <row r="1657" spans="5:8">
      <c r="E1657" s="1958"/>
      <c r="G1657" s="1958"/>
      <c r="H1657" s="1958"/>
    </row>
    <row r="1658" spans="5:8">
      <c r="E1658" s="1958"/>
      <c r="G1658" s="1958"/>
      <c r="H1658" s="1958"/>
    </row>
    <row r="1659" spans="5:8">
      <c r="E1659" s="1958"/>
      <c r="G1659" s="1958"/>
      <c r="H1659" s="1958"/>
    </row>
    <row r="1660" spans="5:8">
      <c r="E1660" s="1958"/>
      <c r="G1660" s="1958"/>
      <c r="H1660" s="1958"/>
    </row>
    <row r="1661" spans="5:8">
      <c r="E1661" s="1958"/>
      <c r="G1661" s="1958"/>
      <c r="H1661" s="1958"/>
    </row>
    <row r="1662" spans="5:8">
      <c r="E1662" s="1958"/>
      <c r="G1662" s="1958"/>
      <c r="H1662" s="1958"/>
    </row>
    <row r="1663" spans="5:8">
      <c r="E1663" s="1958"/>
      <c r="G1663" s="1958"/>
      <c r="H1663" s="1958"/>
    </row>
    <row r="1664" spans="5:8">
      <c r="E1664" s="1958"/>
      <c r="G1664" s="1958"/>
      <c r="H1664" s="1958"/>
    </row>
    <row r="1665" spans="5:8">
      <c r="E1665" s="1958"/>
      <c r="G1665" s="1958"/>
      <c r="H1665" s="1958"/>
    </row>
    <row r="1666" spans="5:8">
      <c r="E1666" s="1958"/>
      <c r="G1666" s="1958"/>
      <c r="H1666" s="1958"/>
    </row>
    <row r="1667" spans="5:8">
      <c r="E1667" s="1958"/>
      <c r="G1667" s="1958"/>
      <c r="H1667" s="1958"/>
    </row>
    <row r="1668" spans="5:8">
      <c r="E1668" s="1958"/>
      <c r="G1668" s="1958"/>
      <c r="H1668" s="1958"/>
    </row>
    <row r="1669" spans="5:8">
      <c r="E1669" s="1958"/>
      <c r="G1669" s="1958"/>
      <c r="H1669" s="1958"/>
    </row>
    <row r="1670" spans="5:8">
      <c r="E1670" s="1958"/>
      <c r="G1670" s="1958"/>
      <c r="H1670" s="1958"/>
    </row>
    <row r="1671" spans="5:8">
      <c r="E1671" s="1958"/>
      <c r="G1671" s="1958"/>
      <c r="H1671" s="1958"/>
    </row>
    <row r="1672" spans="5:8">
      <c r="E1672" s="1958"/>
      <c r="G1672" s="1958"/>
      <c r="H1672" s="1958"/>
    </row>
    <row r="1673" spans="5:8">
      <c r="E1673" s="1958"/>
      <c r="G1673" s="1958"/>
      <c r="H1673" s="1958"/>
    </row>
    <row r="1674" spans="5:8">
      <c r="E1674" s="1958"/>
      <c r="G1674" s="1958"/>
      <c r="H1674" s="1958"/>
    </row>
    <row r="1675" spans="5:8">
      <c r="E1675" s="1958"/>
      <c r="G1675" s="1958"/>
      <c r="H1675" s="1958"/>
    </row>
    <row r="1676" spans="5:8">
      <c r="E1676" s="1958"/>
      <c r="G1676" s="1958"/>
      <c r="H1676" s="1958"/>
    </row>
    <row r="1677" spans="5:8">
      <c r="E1677" s="1958"/>
      <c r="G1677" s="1958"/>
      <c r="H1677" s="1958"/>
    </row>
    <row r="1678" spans="5:8">
      <c r="E1678" s="1958"/>
      <c r="G1678" s="1958"/>
      <c r="H1678" s="1958"/>
    </row>
    <row r="1679" spans="5:8">
      <c r="E1679" s="1958"/>
      <c r="G1679" s="1958"/>
      <c r="H1679" s="1958"/>
    </row>
    <row r="1680" spans="5:8">
      <c r="E1680" s="1958"/>
      <c r="G1680" s="1958"/>
      <c r="H1680" s="1958"/>
    </row>
    <row r="1681" spans="5:8">
      <c r="E1681" s="1958"/>
      <c r="G1681" s="1958"/>
      <c r="H1681" s="1958"/>
    </row>
    <row r="1682" spans="5:8">
      <c r="E1682" s="1958"/>
      <c r="G1682" s="1958"/>
      <c r="H1682" s="1958"/>
    </row>
    <row r="1683" spans="5:8">
      <c r="E1683" s="1958"/>
      <c r="G1683" s="1958"/>
      <c r="H1683" s="1958"/>
    </row>
    <row r="1684" spans="5:8">
      <c r="E1684" s="1958"/>
      <c r="G1684" s="1958"/>
      <c r="H1684" s="1958"/>
    </row>
    <row r="1685" spans="5:8">
      <c r="E1685" s="1958"/>
      <c r="G1685" s="1958"/>
      <c r="H1685" s="1958"/>
    </row>
    <row r="1686" spans="5:8">
      <c r="E1686" s="1958"/>
      <c r="G1686" s="1958"/>
      <c r="H1686" s="1958"/>
    </row>
    <row r="1687" spans="5:8">
      <c r="E1687" s="1958"/>
      <c r="G1687" s="1958"/>
      <c r="H1687" s="1958"/>
    </row>
    <row r="1688" spans="5:8">
      <c r="E1688" s="1958"/>
      <c r="G1688" s="1958"/>
      <c r="H1688" s="1958"/>
    </row>
    <row r="1689" spans="5:8">
      <c r="E1689" s="1958"/>
      <c r="G1689" s="1958"/>
      <c r="H1689" s="1958"/>
    </row>
    <row r="1690" spans="5:8">
      <c r="E1690" s="1958"/>
      <c r="G1690" s="1958"/>
      <c r="H1690" s="1958"/>
    </row>
    <row r="1691" spans="5:8">
      <c r="E1691" s="1958"/>
      <c r="G1691" s="1958"/>
      <c r="H1691" s="1958"/>
    </row>
    <row r="1692" spans="5:8">
      <c r="E1692" s="1958"/>
      <c r="G1692" s="1958"/>
      <c r="H1692" s="1958"/>
    </row>
    <row r="1693" spans="5:8">
      <c r="E1693" s="1958"/>
      <c r="G1693" s="1958"/>
      <c r="H1693" s="1958"/>
    </row>
    <row r="1694" spans="5:8">
      <c r="E1694" s="1958"/>
      <c r="G1694" s="1958"/>
      <c r="H1694" s="1958"/>
    </row>
    <row r="1695" spans="5:8">
      <c r="E1695" s="1958"/>
      <c r="G1695" s="1958"/>
      <c r="H1695" s="1958"/>
    </row>
    <row r="1696" spans="5:8">
      <c r="E1696" s="1958"/>
      <c r="G1696" s="1958"/>
      <c r="H1696" s="1958"/>
    </row>
    <row r="1697" spans="5:8">
      <c r="E1697" s="1958"/>
      <c r="G1697" s="1958"/>
      <c r="H1697" s="1958"/>
    </row>
    <row r="1698" spans="5:8">
      <c r="E1698" s="1958"/>
      <c r="G1698" s="1958"/>
      <c r="H1698" s="1958"/>
    </row>
    <row r="1699" spans="5:8">
      <c r="E1699" s="1958"/>
      <c r="G1699" s="1958"/>
      <c r="H1699" s="1958"/>
    </row>
    <row r="1700" spans="5:8">
      <c r="E1700" s="1958"/>
      <c r="G1700" s="1958"/>
      <c r="H1700" s="1958"/>
    </row>
    <row r="1701" spans="5:8">
      <c r="E1701" s="1958"/>
      <c r="G1701" s="1958"/>
      <c r="H1701" s="1958"/>
    </row>
    <row r="1702" spans="5:8">
      <c r="E1702" s="1958"/>
      <c r="G1702" s="1958"/>
      <c r="H1702" s="1958"/>
    </row>
    <row r="1703" spans="5:8">
      <c r="E1703" s="1958"/>
      <c r="G1703" s="1958"/>
      <c r="H1703" s="1958"/>
    </row>
    <row r="1704" spans="5:8">
      <c r="E1704" s="1958"/>
      <c r="G1704" s="1958"/>
      <c r="H1704" s="1958"/>
    </row>
    <row r="1705" spans="5:8">
      <c r="E1705" s="1958"/>
      <c r="G1705" s="1958"/>
      <c r="H1705" s="1958"/>
    </row>
    <row r="1706" spans="5:8">
      <c r="E1706" s="1958"/>
      <c r="G1706" s="1958"/>
      <c r="H1706" s="1958"/>
    </row>
    <row r="1707" spans="5:8">
      <c r="E1707" s="1958"/>
      <c r="G1707" s="1958"/>
      <c r="H1707" s="1958"/>
    </row>
    <row r="1708" spans="5:8">
      <c r="E1708" s="1958"/>
      <c r="G1708" s="1958"/>
      <c r="H1708" s="1958"/>
    </row>
    <row r="1709" spans="5:8">
      <c r="E1709" s="1958"/>
      <c r="G1709" s="1958"/>
      <c r="H1709" s="1958"/>
    </row>
    <row r="1710" spans="5:8">
      <c r="E1710" s="1958"/>
      <c r="G1710" s="1958"/>
      <c r="H1710" s="1958"/>
    </row>
    <row r="1711" spans="5:8">
      <c r="E1711" s="1958"/>
      <c r="G1711" s="1958"/>
      <c r="H1711" s="1958"/>
    </row>
    <row r="1712" spans="5:8">
      <c r="E1712" s="1958"/>
      <c r="G1712" s="1958"/>
      <c r="H1712" s="1958"/>
    </row>
    <row r="1713" spans="5:8">
      <c r="E1713" s="1958"/>
      <c r="G1713" s="1958"/>
      <c r="H1713" s="1958"/>
    </row>
    <row r="1714" spans="5:8">
      <c r="E1714" s="1958"/>
      <c r="G1714" s="1958"/>
      <c r="H1714" s="1958"/>
    </row>
    <row r="1715" spans="5:8">
      <c r="E1715" s="1958"/>
      <c r="G1715" s="1958"/>
      <c r="H1715" s="1958"/>
    </row>
    <row r="1716" spans="5:8">
      <c r="E1716" s="1958"/>
      <c r="G1716" s="1958"/>
      <c r="H1716" s="1958"/>
    </row>
    <row r="1717" spans="5:8">
      <c r="E1717" s="1958"/>
      <c r="G1717" s="1958"/>
      <c r="H1717" s="1958"/>
    </row>
    <row r="1718" spans="5:8">
      <c r="E1718" s="1958"/>
      <c r="G1718" s="1958"/>
      <c r="H1718" s="1958"/>
    </row>
    <row r="1719" spans="5:8">
      <c r="E1719" s="1958"/>
      <c r="G1719" s="1958"/>
      <c r="H1719" s="1958"/>
    </row>
    <row r="1720" spans="5:8">
      <c r="E1720" s="1958"/>
      <c r="G1720" s="1958"/>
      <c r="H1720" s="1958"/>
    </row>
    <row r="1721" spans="5:8">
      <c r="E1721" s="1958"/>
      <c r="G1721" s="1958"/>
      <c r="H1721" s="1958"/>
    </row>
    <row r="1722" spans="5:8">
      <c r="E1722" s="1958"/>
      <c r="G1722" s="1958"/>
      <c r="H1722" s="1958"/>
    </row>
    <row r="1723" spans="5:8">
      <c r="E1723" s="1958"/>
      <c r="G1723" s="1958"/>
      <c r="H1723" s="1958"/>
    </row>
    <row r="1724" spans="5:8">
      <c r="E1724" s="1958"/>
      <c r="G1724" s="1958"/>
      <c r="H1724" s="1958"/>
    </row>
    <row r="1725" spans="5:8">
      <c r="E1725" s="1958"/>
      <c r="G1725" s="1958"/>
      <c r="H1725" s="1958"/>
    </row>
    <row r="1726" spans="5:8">
      <c r="E1726" s="1958"/>
      <c r="G1726" s="1958"/>
      <c r="H1726" s="1958"/>
    </row>
    <row r="1727" spans="5:8">
      <c r="E1727" s="1958"/>
      <c r="G1727" s="1958"/>
      <c r="H1727" s="1958"/>
    </row>
    <row r="1728" spans="5:8">
      <c r="E1728" s="1958"/>
      <c r="G1728" s="1958"/>
      <c r="H1728" s="1958"/>
    </row>
    <row r="1729" spans="5:8">
      <c r="E1729" s="1958"/>
      <c r="G1729" s="1958"/>
      <c r="H1729" s="1958"/>
    </row>
    <row r="1730" spans="5:8">
      <c r="E1730" s="1958"/>
      <c r="G1730" s="1958"/>
      <c r="H1730" s="1958"/>
    </row>
    <row r="1731" spans="5:8">
      <c r="E1731" s="1958"/>
      <c r="G1731" s="1958"/>
      <c r="H1731" s="1958"/>
    </row>
    <row r="1732" spans="5:8">
      <c r="E1732" s="1958"/>
      <c r="G1732" s="1958"/>
      <c r="H1732" s="1958"/>
    </row>
    <row r="1733" spans="5:8">
      <c r="E1733" s="1958"/>
      <c r="G1733" s="1958"/>
      <c r="H1733" s="1958"/>
    </row>
    <row r="1734" spans="5:8">
      <c r="E1734" s="1958"/>
      <c r="G1734" s="1958"/>
      <c r="H1734" s="1958"/>
    </row>
    <row r="1735" spans="5:8">
      <c r="E1735" s="1958"/>
      <c r="G1735" s="1958"/>
      <c r="H1735" s="1958"/>
    </row>
    <row r="1736" spans="5:8">
      <c r="E1736" s="1958"/>
      <c r="G1736" s="1958"/>
      <c r="H1736" s="1958"/>
    </row>
    <row r="1737" spans="5:8">
      <c r="E1737" s="1958"/>
      <c r="G1737" s="1958"/>
      <c r="H1737" s="1958"/>
    </row>
    <row r="1738" spans="5:8">
      <c r="E1738" s="1958"/>
      <c r="G1738" s="1958"/>
      <c r="H1738" s="1958"/>
    </row>
    <row r="1739" spans="5:8">
      <c r="E1739" s="1958"/>
      <c r="G1739" s="1958"/>
      <c r="H1739" s="1958"/>
    </row>
    <row r="1740" spans="5:8">
      <c r="E1740" s="1958"/>
      <c r="G1740" s="1958"/>
      <c r="H1740" s="1958"/>
    </row>
    <row r="1741" spans="5:8">
      <c r="E1741" s="1958"/>
      <c r="G1741" s="1958"/>
      <c r="H1741" s="1958"/>
    </row>
    <row r="1742" spans="5:8">
      <c r="E1742" s="1958"/>
      <c r="G1742" s="1958"/>
      <c r="H1742" s="1958"/>
    </row>
    <row r="1743" spans="5:8">
      <c r="E1743" s="1958"/>
      <c r="G1743" s="1958"/>
      <c r="H1743" s="1958"/>
    </row>
    <row r="1744" spans="5:8">
      <c r="E1744" s="1958"/>
      <c r="G1744" s="1958"/>
      <c r="H1744" s="1958"/>
    </row>
    <row r="1745" spans="5:8">
      <c r="E1745" s="1958"/>
      <c r="G1745" s="1958"/>
      <c r="H1745" s="1958"/>
    </row>
    <row r="1746" spans="5:8">
      <c r="E1746" s="1958"/>
      <c r="G1746" s="1958"/>
      <c r="H1746" s="1958"/>
    </row>
    <row r="1747" spans="5:8">
      <c r="E1747" s="1958"/>
      <c r="G1747" s="1958"/>
      <c r="H1747" s="1958"/>
    </row>
    <row r="1748" spans="5:8">
      <c r="E1748" s="1958"/>
      <c r="G1748" s="1958"/>
      <c r="H1748" s="1958"/>
    </row>
    <row r="1749" spans="5:8">
      <c r="E1749" s="1958"/>
      <c r="G1749" s="1958"/>
      <c r="H1749" s="1958"/>
    </row>
    <row r="1750" spans="5:8">
      <c r="E1750" s="1958"/>
      <c r="G1750" s="1958"/>
      <c r="H1750" s="1958"/>
    </row>
    <row r="1751" spans="5:8">
      <c r="E1751" s="1958"/>
      <c r="G1751" s="1958"/>
      <c r="H1751" s="1958"/>
    </row>
    <row r="1752" spans="5:8">
      <c r="E1752" s="1958"/>
      <c r="G1752" s="1958"/>
      <c r="H1752" s="1958"/>
    </row>
    <row r="1753" spans="5:8">
      <c r="E1753" s="1958"/>
      <c r="G1753" s="1958"/>
      <c r="H1753" s="1958"/>
    </row>
    <row r="1754" spans="5:8">
      <c r="E1754" s="1958"/>
      <c r="G1754" s="1958"/>
      <c r="H1754" s="1958"/>
    </row>
    <row r="1755" spans="5:8">
      <c r="E1755" s="1958"/>
      <c r="G1755" s="1958"/>
      <c r="H1755" s="1958"/>
    </row>
    <row r="1756" spans="5:8">
      <c r="E1756" s="1958"/>
      <c r="G1756" s="1958"/>
      <c r="H1756" s="1958"/>
    </row>
    <row r="1757" spans="5:8">
      <c r="E1757" s="1958"/>
      <c r="G1757" s="1958"/>
      <c r="H1757" s="1958"/>
    </row>
    <row r="1758" spans="5:8">
      <c r="E1758" s="1958"/>
      <c r="G1758" s="1958"/>
      <c r="H1758" s="1958"/>
    </row>
    <row r="1759" spans="5:8">
      <c r="E1759" s="1958"/>
      <c r="G1759" s="1958"/>
      <c r="H1759" s="1958"/>
    </row>
    <row r="1760" spans="5:8">
      <c r="E1760" s="1958"/>
      <c r="G1760" s="1958"/>
      <c r="H1760" s="1958"/>
    </row>
    <row r="1761" spans="5:8">
      <c r="E1761" s="1958"/>
      <c r="G1761" s="1958"/>
      <c r="H1761" s="1958"/>
    </row>
    <row r="1762" spans="5:8">
      <c r="E1762" s="1958"/>
      <c r="G1762" s="1958"/>
      <c r="H1762" s="1958"/>
    </row>
    <row r="1763" spans="5:8">
      <c r="E1763" s="1958"/>
      <c r="G1763" s="1958"/>
      <c r="H1763" s="1958"/>
    </row>
    <row r="1764" spans="5:8">
      <c r="E1764" s="1958"/>
      <c r="G1764" s="1958"/>
      <c r="H1764" s="1958"/>
    </row>
    <row r="1765" spans="5:8">
      <c r="E1765" s="1958"/>
      <c r="G1765" s="1958"/>
      <c r="H1765" s="1958"/>
    </row>
    <row r="1766" spans="5:8">
      <c r="E1766" s="1958"/>
      <c r="G1766" s="1958"/>
      <c r="H1766" s="1958"/>
    </row>
    <row r="1767" spans="5:8">
      <c r="E1767" s="1958"/>
      <c r="G1767" s="1958"/>
      <c r="H1767" s="1958"/>
    </row>
    <row r="1768" spans="5:8">
      <c r="E1768" s="1958"/>
      <c r="G1768" s="1958"/>
      <c r="H1768" s="1958"/>
    </row>
    <row r="1769" spans="5:8">
      <c r="E1769" s="1958"/>
      <c r="G1769" s="1958"/>
      <c r="H1769" s="1958"/>
    </row>
    <row r="1770" spans="5:8">
      <c r="E1770" s="1958"/>
      <c r="G1770" s="1958"/>
      <c r="H1770" s="1958"/>
    </row>
    <row r="1771" spans="5:8">
      <c r="E1771" s="1958"/>
      <c r="G1771" s="1958"/>
      <c r="H1771" s="1958"/>
    </row>
    <row r="1772" spans="5:8">
      <c r="E1772" s="1958"/>
      <c r="G1772" s="1958"/>
      <c r="H1772" s="1958"/>
    </row>
    <row r="1773" spans="5:8">
      <c r="E1773" s="1958"/>
      <c r="G1773" s="1958"/>
      <c r="H1773" s="1958"/>
    </row>
    <row r="1774" spans="5:8">
      <c r="E1774" s="1958"/>
      <c r="G1774" s="1958"/>
      <c r="H1774" s="1958"/>
    </row>
    <row r="1775" spans="5:8">
      <c r="E1775" s="1958"/>
      <c r="G1775" s="1958"/>
      <c r="H1775" s="1958"/>
    </row>
    <row r="1776" spans="5:8">
      <c r="E1776" s="1958"/>
      <c r="G1776" s="1958"/>
      <c r="H1776" s="1958"/>
    </row>
    <row r="1777" spans="5:8">
      <c r="E1777" s="1958"/>
      <c r="G1777" s="1958"/>
      <c r="H1777" s="1958"/>
    </row>
    <row r="1778" spans="5:8">
      <c r="E1778" s="1958"/>
      <c r="G1778" s="1958"/>
      <c r="H1778" s="1958"/>
    </row>
    <row r="1779" spans="5:8">
      <c r="E1779" s="1958"/>
      <c r="G1779" s="1958"/>
      <c r="H1779" s="1958"/>
    </row>
    <row r="1780" spans="5:8">
      <c r="E1780" s="1958"/>
      <c r="G1780" s="1958"/>
      <c r="H1780" s="1958"/>
    </row>
    <row r="1781" spans="5:8">
      <c r="E1781" s="1958"/>
      <c r="G1781" s="1958"/>
      <c r="H1781" s="1958"/>
    </row>
    <row r="1782" spans="5:8">
      <c r="E1782" s="1958"/>
      <c r="G1782" s="1958"/>
      <c r="H1782" s="1958"/>
    </row>
    <row r="1783" spans="5:8">
      <c r="E1783" s="1958"/>
      <c r="G1783" s="1958"/>
      <c r="H1783" s="1958"/>
    </row>
    <row r="1784" spans="5:8">
      <c r="E1784" s="1958"/>
      <c r="G1784" s="1958"/>
      <c r="H1784" s="1958"/>
    </row>
    <row r="1785" spans="5:8">
      <c r="E1785" s="1958"/>
      <c r="G1785" s="1958"/>
      <c r="H1785" s="1958"/>
    </row>
    <row r="1786" spans="5:8">
      <c r="E1786" s="1958"/>
      <c r="G1786" s="1958"/>
      <c r="H1786" s="1958"/>
    </row>
    <row r="1787" spans="5:8">
      <c r="E1787" s="1958"/>
      <c r="G1787" s="1958"/>
      <c r="H1787" s="1958"/>
    </row>
    <row r="1788" spans="5:8">
      <c r="E1788" s="1958"/>
      <c r="G1788" s="1958"/>
      <c r="H1788" s="1958"/>
    </row>
    <row r="1789" spans="5:8">
      <c r="E1789" s="1958"/>
      <c r="G1789" s="1958"/>
      <c r="H1789" s="1958"/>
    </row>
    <row r="1790" spans="5:8">
      <c r="E1790" s="1958"/>
      <c r="G1790" s="1958"/>
      <c r="H1790" s="1958"/>
    </row>
    <row r="1791" spans="5:8">
      <c r="E1791" s="1958"/>
      <c r="G1791" s="1958"/>
      <c r="H1791" s="1958"/>
    </row>
    <row r="1792" spans="5:8">
      <c r="E1792" s="1958"/>
      <c r="G1792" s="1958"/>
      <c r="H1792" s="1958"/>
    </row>
    <row r="1793" spans="5:8">
      <c r="E1793" s="1958"/>
      <c r="G1793" s="1958"/>
      <c r="H1793" s="1958"/>
    </row>
    <row r="1794" spans="5:8">
      <c r="E1794" s="1958"/>
      <c r="G1794" s="1958"/>
      <c r="H1794" s="1958"/>
    </row>
    <row r="1795" spans="5:8">
      <c r="E1795" s="1958"/>
      <c r="G1795" s="1958"/>
      <c r="H1795" s="1958"/>
    </row>
    <row r="1796" spans="5:8">
      <c r="E1796" s="1958"/>
      <c r="G1796" s="1958"/>
      <c r="H1796" s="1958"/>
    </row>
    <row r="1797" spans="5:8">
      <c r="E1797" s="1958"/>
      <c r="G1797" s="1958"/>
      <c r="H1797" s="1958"/>
    </row>
    <row r="1798" spans="5:8">
      <c r="E1798" s="1958"/>
      <c r="G1798" s="1958"/>
      <c r="H1798" s="1958"/>
    </row>
    <row r="1799" spans="5:8">
      <c r="E1799" s="1958"/>
      <c r="G1799" s="1958"/>
      <c r="H1799" s="1958"/>
    </row>
    <row r="1800" spans="5:8">
      <c r="E1800" s="1958"/>
      <c r="G1800" s="1958"/>
      <c r="H1800" s="1958"/>
    </row>
    <row r="1801" spans="5:8">
      <c r="E1801" s="1958"/>
      <c r="G1801" s="1958"/>
      <c r="H1801" s="1958"/>
    </row>
    <row r="1802" spans="5:8">
      <c r="E1802" s="1958"/>
      <c r="G1802" s="1958"/>
      <c r="H1802" s="1958"/>
    </row>
    <row r="1803" spans="5:8">
      <c r="E1803" s="1958"/>
      <c r="G1803" s="1958"/>
      <c r="H1803" s="1958"/>
    </row>
    <row r="1804" spans="5:8">
      <c r="E1804" s="1958"/>
      <c r="G1804" s="1958"/>
      <c r="H1804" s="1958"/>
    </row>
    <row r="1805" spans="5:8">
      <c r="E1805" s="1958"/>
      <c r="G1805" s="1958"/>
      <c r="H1805" s="1958"/>
    </row>
    <row r="1806" spans="5:8">
      <c r="E1806" s="1958"/>
      <c r="G1806" s="1958"/>
      <c r="H1806" s="1958"/>
    </row>
    <row r="1807" spans="5:8">
      <c r="E1807" s="1958"/>
      <c r="G1807" s="1958"/>
      <c r="H1807" s="1958"/>
    </row>
    <row r="1808" spans="5:8">
      <c r="E1808" s="1958"/>
      <c r="G1808" s="1958"/>
      <c r="H1808" s="1958"/>
    </row>
    <row r="1809" spans="5:8">
      <c r="E1809" s="1958"/>
      <c r="G1809" s="1958"/>
      <c r="H1809" s="1958"/>
    </row>
    <row r="1810" spans="5:8">
      <c r="E1810" s="1958"/>
      <c r="G1810" s="1958"/>
      <c r="H1810" s="1958"/>
    </row>
    <row r="1811" spans="5:8">
      <c r="E1811" s="1958"/>
      <c r="G1811" s="1958"/>
      <c r="H1811" s="1958"/>
    </row>
    <row r="1812" spans="5:8">
      <c r="E1812" s="1958"/>
      <c r="G1812" s="1958"/>
      <c r="H1812" s="1958"/>
    </row>
    <row r="1813" spans="5:8">
      <c r="E1813" s="1958"/>
      <c r="G1813" s="1958"/>
      <c r="H1813" s="1958"/>
    </row>
    <row r="1814" spans="5:8">
      <c r="E1814" s="1958"/>
      <c r="G1814" s="1958"/>
      <c r="H1814" s="1958"/>
    </row>
    <row r="1815" spans="5:8">
      <c r="E1815" s="1958"/>
      <c r="G1815" s="1958"/>
      <c r="H1815" s="1958"/>
    </row>
    <row r="1816" spans="5:8">
      <c r="E1816" s="1958"/>
      <c r="G1816" s="1958"/>
      <c r="H1816" s="1958"/>
    </row>
    <row r="1817" spans="5:8">
      <c r="E1817" s="1958"/>
      <c r="G1817" s="1958"/>
      <c r="H1817" s="1958"/>
    </row>
    <row r="1818" spans="5:8">
      <c r="E1818" s="1958"/>
      <c r="G1818" s="1958"/>
      <c r="H1818" s="1958"/>
    </row>
    <row r="1819" spans="5:8">
      <c r="E1819" s="1958"/>
      <c r="G1819" s="1958"/>
      <c r="H1819" s="1958"/>
    </row>
    <row r="1820" spans="5:8">
      <c r="E1820" s="1958"/>
      <c r="G1820" s="1958"/>
      <c r="H1820" s="1958"/>
    </row>
    <row r="1821" spans="5:8">
      <c r="E1821" s="1958"/>
      <c r="G1821" s="1958"/>
      <c r="H1821" s="1958"/>
    </row>
    <row r="1822" spans="5:8">
      <c r="E1822" s="1958"/>
      <c r="G1822" s="1958"/>
      <c r="H1822" s="1958"/>
    </row>
    <row r="1823" spans="5:8">
      <c r="E1823" s="1958"/>
      <c r="G1823" s="1958"/>
      <c r="H1823" s="1958"/>
    </row>
    <row r="1824" spans="5:8">
      <c r="E1824" s="1958"/>
      <c r="G1824" s="1958"/>
      <c r="H1824" s="1958"/>
    </row>
    <row r="1825" spans="5:8">
      <c r="E1825" s="1958"/>
      <c r="G1825" s="1958"/>
      <c r="H1825" s="1958"/>
    </row>
    <row r="1826" spans="5:8">
      <c r="E1826" s="1958"/>
      <c r="G1826" s="1958"/>
      <c r="H1826" s="1958"/>
    </row>
    <row r="1827" spans="5:8">
      <c r="E1827" s="1958"/>
      <c r="G1827" s="1958"/>
      <c r="H1827" s="1958"/>
    </row>
    <row r="1828" spans="5:8">
      <c r="E1828" s="1958"/>
      <c r="G1828" s="1958"/>
      <c r="H1828" s="1958"/>
    </row>
    <row r="1829" spans="5:8">
      <c r="E1829" s="1958"/>
      <c r="G1829" s="1958"/>
      <c r="H1829" s="1958"/>
    </row>
    <row r="1830" spans="5:8">
      <c r="E1830" s="1958"/>
      <c r="G1830" s="1958"/>
      <c r="H1830" s="1958"/>
    </row>
    <row r="1831" spans="5:8">
      <c r="E1831" s="1958"/>
      <c r="G1831" s="1958"/>
      <c r="H1831" s="1958"/>
    </row>
    <row r="1832" spans="5:8">
      <c r="E1832" s="1958"/>
      <c r="G1832" s="1958"/>
      <c r="H1832" s="1958"/>
    </row>
    <row r="1833" spans="5:8">
      <c r="E1833" s="1958"/>
      <c r="G1833" s="1958"/>
      <c r="H1833" s="1958"/>
    </row>
    <row r="1834" spans="5:8">
      <c r="E1834" s="1958"/>
      <c r="G1834" s="1958"/>
      <c r="H1834" s="1958"/>
    </row>
    <row r="1835" spans="5:8">
      <c r="E1835" s="1958"/>
      <c r="G1835" s="1958"/>
      <c r="H1835" s="1958"/>
    </row>
    <row r="1836" spans="5:8">
      <c r="E1836" s="1958"/>
      <c r="G1836" s="1958"/>
      <c r="H1836" s="1958"/>
    </row>
    <row r="1837" spans="5:8">
      <c r="E1837" s="1958"/>
      <c r="G1837" s="1958"/>
      <c r="H1837" s="1958"/>
    </row>
    <row r="1838" spans="5:8">
      <c r="E1838" s="1958"/>
      <c r="G1838" s="1958"/>
      <c r="H1838" s="1958"/>
    </row>
    <row r="1839" spans="5:8">
      <c r="E1839" s="1958"/>
      <c r="G1839" s="1958"/>
      <c r="H1839" s="1958"/>
    </row>
    <row r="1840" spans="5:8">
      <c r="E1840" s="1958"/>
      <c r="G1840" s="1958"/>
      <c r="H1840" s="1958"/>
    </row>
    <row r="1841" spans="5:8">
      <c r="E1841" s="1958"/>
      <c r="G1841" s="1958"/>
      <c r="H1841" s="1958"/>
    </row>
    <row r="1842" spans="5:8">
      <c r="E1842" s="1958"/>
      <c r="G1842" s="1958"/>
      <c r="H1842" s="1958"/>
    </row>
    <row r="1843" spans="5:8">
      <c r="E1843" s="1958"/>
      <c r="G1843" s="1958"/>
      <c r="H1843" s="1958"/>
    </row>
    <row r="1844" spans="5:8">
      <c r="E1844" s="1958"/>
      <c r="G1844" s="1958"/>
      <c r="H1844" s="1958"/>
    </row>
    <row r="1845" spans="5:8">
      <c r="E1845" s="1958"/>
      <c r="G1845" s="1958"/>
      <c r="H1845" s="1958"/>
    </row>
    <row r="1846" spans="5:8">
      <c r="E1846" s="1958"/>
      <c r="G1846" s="1958"/>
      <c r="H1846" s="1958"/>
    </row>
    <row r="1847" spans="5:8">
      <c r="E1847" s="1958"/>
      <c r="G1847" s="1958"/>
      <c r="H1847" s="1958"/>
    </row>
    <row r="1848" spans="5:8">
      <c r="E1848" s="1958"/>
      <c r="G1848" s="1958"/>
      <c r="H1848" s="1958"/>
    </row>
    <row r="1849" spans="5:8">
      <c r="E1849" s="1958"/>
      <c r="G1849" s="1958"/>
      <c r="H1849" s="1958"/>
    </row>
    <row r="1850" spans="5:8">
      <c r="E1850" s="1958"/>
      <c r="G1850" s="1958"/>
      <c r="H1850" s="1958"/>
    </row>
    <row r="1851" spans="5:8">
      <c r="E1851" s="1958"/>
      <c r="G1851" s="1958"/>
      <c r="H1851" s="1958"/>
    </row>
    <row r="1852" spans="5:8">
      <c r="E1852" s="1958"/>
      <c r="G1852" s="1958"/>
      <c r="H1852" s="1958"/>
    </row>
    <row r="1853" spans="5:8">
      <c r="E1853" s="1958"/>
      <c r="G1853" s="1958"/>
      <c r="H1853" s="1958"/>
    </row>
    <row r="1854" spans="5:8">
      <c r="E1854" s="1958"/>
      <c r="G1854" s="1958"/>
      <c r="H1854" s="1958"/>
    </row>
    <row r="1855" spans="5:8">
      <c r="E1855" s="1958"/>
      <c r="G1855" s="1958"/>
      <c r="H1855" s="1958"/>
    </row>
    <row r="1856" spans="5:8">
      <c r="E1856" s="1958"/>
      <c r="G1856" s="1958"/>
      <c r="H1856" s="1958"/>
    </row>
    <row r="1857" spans="5:8">
      <c r="E1857" s="1958"/>
      <c r="G1857" s="1958"/>
      <c r="H1857" s="1958"/>
    </row>
    <row r="1858" spans="5:8">
      <c r="E1858" s="1958"/>
      <c r="G1858" s="1958"/>
      <c r="H1858" s="1958"/>
    </row>
    <row r="1859" spans="5:8">
      <c r="E1859" s="1958"/>
      <c r="G1859" s="1958"/>
      <c r="H1859" s="1958"/>
    </row>
    <row r="1860" spans="5:8">
      <c r="E1860" s="1958"/>
      <c r="G1860" s="1958"/>
      <c r="H1860" s="1958"/>
    </row>
    <row r="1861" spans="5:8">
      <c r="E1861" s="1958"/>
      <c r="G1861" s="1958"/>
      <c r="H1861" s="1958"/>
    </row>
    <row r="1862" spans="5:8">
      <c r="E1862" s="1958"/>
      <c r="G1862" s="1958"/>
      <c r="H1862" s="1958"/>
    </row>
    <row r="1863" spans="5:8">
      <c r="E1863" s="1958"/>
      <c r="G1863" s="1958"/>
      <c r="H1863" s="1958"/>
    </row>
    <row r="1864" spans="5:8">
      <c r="E1864" s="1958"/>
      <c r="G1864" s="1958"/>
      <c r="H1864" s="1958"/>
    </row>
    <row r="1865" spans="5:8">
      <c r="E1865" s="1958"/>
      <c r="G1865" s="1958"/>
      <c r="H1865" s="1958"/>
    </row>
    <row r="1866" spans="5:8">
      <c r="E1866" s="1958"/>
      <c r="G1866" s="1958"/>
      <c r="H1866" s="1958"/>
    </row>
    <row r="1867" spans="5:8">
      <c r="E1867" s="1958"/>
      <c r="G1867" s="1958"/>
      <c r="H1867" s="1958"/>
    </row>
    <row r="1868" spans="5:8">
      <c r="E1868" s="1958"/>
      <c r="G1868" s="1958"/>
      <c r="H1868" s="1958"/>
    </row>
    <row r="1869" spans="5:8">
      <c r="E1869" s="1958"/>
      <c r="G1869" s="1958"/>
      <c r="H1869" s="1958"/>
    </row>
    <row r="1870" spans="5:8">
      <c r="E1870" s="1958"/>
      <c r="G1870" s="1958"/>
      <c r="H1870" s="1958"/>
    </row>
    <row r="1871" spans="5:8">
      <c r="E1871" s="1958"/>
      <c r="G1871" s="1958"/>
      <c r="H1871" s="1958"/>
    </row>
    <row r="1872" spans="5:8">
      <c r="E1872" s="1958"/>
      <c r="G1872" s="1958"/>
      <c r="H1872" s="1958"/>
    </row>
    <row r="1873" spans="5:8">
      <c r="E1873" s="1958"/>
      <c r="G1873" s="1958"/>
      <c r="H1873" s="1958"/>
    </row>
    <row r="1874" spans="5:8">
      <c r="E1874" s="1958"/>
      <c r="G1874" s="1958"/>
      <c r="H1874" s="1958"/>
    </row>
    <row r="1875" spans="5:8">
      <c r="E1875" s="1958"/>
      <c r="G1875" s="1958"/>
      <c r="H1875" s="1958"/>
    </row>
    <row r="1876" spans="5:8">
      <c r="E1876" s="1958"/>
      <c r="G1876" s="1958"/>
      <c r="H1876" s="1958"/>
    </row>
    <row r="1877" spans="5:8">
      <c r="E1877" s="1958"/>
      <c r="G1877" s="1958"/>
      <c r="H1877" s="1958"/>
    </row>
    <row r="1878" spans="5:8">
      <c r="E1878" s="1958"/>
      <c r="G1878" s="1958"/>
      <c r="H1878" s="1958"/>
    </row>
    <row r="1879" spans="5:8">
      <c r="E1879" s="1958"/>
      <c r="G1879" s="1958"/>
      <c r="H1879" s="1958"/>
    </row>
    <row r="1880" spans="5:8">
      <c r="E1880" s="1958"/>
      <c r="G1880" s="1958"/>
      <c r="H1880" s="1958"/>
    </row>
    <row r="1881" spans="5:8">
      <c r="E1881" s="1958"/>
      <c r="G1881" s="1958"/>
      <c r="H1881" s="1958"/>
    </row>
    <row r="1882" spans="5:8">
      <c r="E1882" s="1958"/>
      <c r="G1882" s="1958"/>
      <c r="H1882" s="1958"/>
    </row>
    <row r="1883" spans="5:8">
      <c r="E1883" s="1958"/>
      <c r="G1883" s="1958"/>
      <c r="H1883" s="1958"/>
    </row>
    <row r="1884" spans="5:8">
      <c r="E1884" s="1958"/>
      <c r="G1884" s="1958"/>
      <c r="H1884" s="1958"/>
    </row>
    <row r="1885" spans="5:8">
      <c r="E1885" s="1958"/>
      <c r="G1885" s="1958"/>
      <c r="H1885" s="1958"/>
    </row>
    <row r="1886" spans="5:8">
      <c r="E1886" s="1958"/>
      <c r="G1886" s="1958"/>
      <c r="H1886" s="1958"/>
    </row>
    <row r="1887" spans="5:8">
      <c r="E1887" s="1958"/>
      <c r="G1887" s="1958"/>
      <c r="H1887" s="1958"/>
    </row>
    <row r="1888" spans="5:8">
      <c r="E1888" s="1958"/>
      <c r="G1888" s="1958"/>
      <c r="H1888" s="1958"/>
    </row>
    <row r="1889" spans="5:8">
      <c r="E1889" s="1958"/>
      <c r="G1889" s="1958"/>
      <c r="H1889" s="1958"/>
    </row>
    <row r="1890" spans="5:8">
      <c r="E1890" s="1958"/>
      <c r="G1890" s="1958"/>
      <c r="H1890" s="1958"/>
    </row>
    <row r="1891" spans="5:8">
      <c r="E1891" s="1958"/>
      <c r="G1891" s="1958"/>
      <c r="H1891" s="1958"/>
    </row>
    <row r="1892" spans="5:8">
      <c r="E1892" s="1958"/>
      <c r="G1892" s="1958"/>
      <c r="H1892" s="1958"/>
    </row>
    <row r="1893" spans="5:8">
      <c r="E1893" s="1958"/>
      <c r="G1893" s="1958"/>
      <c r="H1893" s="1958"/>
    </row>
    <row r="1894" spans="5:8">
      <c r="E1894" s="1958"/>
      <c r="G1894" s="1958"/>
      <c r="H1894" s="1958"/>
    </row>
    <row r="1895" spans="5:8">
      <c r="E1895" s="1958"/>
      <c r="G1895" s="1958"/>
      <c r="H1895" s="1958"/>
    </row>
    <row r="1896" spans="5:8">
      <c r="E1896" s="1958"/>
      <c r="G1896" s="1958"/>
      <c r="H1896" s="1958"/>
    </row>
    <row r="1897" spans="5:8">
      <c r="E1897" s="1958"/>
      <c r="G1897" s="1958"/>
      <c r="H1897" s="1958"/>
    </row>
    <row r="1898" spans="5:8">
      <c r="E1898" s="1958"/>
      <c r="G1898" s="1958"/>
      <c r="H1898" s="1958"/>
    </row>
    <row r="1899" spans="5:8">
      <c r="E1899" s="1958"/>
      <c r="G1899" s="1958"/>
      <c r="H1899" s="1958"/>
    </row>
    <row r="1900" spans="5:8">
      <c r="E1900" s="1958"/>
      <c r="G1900" s="1958"/>
      <c r="H1900" s="1958"/>
    </row>
    <row r="1901" spans="5:8">
      <c r="E1901" s="1958"/>
      <c r="G1901" s="1958"/>
      <c r="H1901" s="1958"/>
    </row>
    <row r="1902" spans="5:8">
      <c r="E1902" s="1958"/>
      <c r="G1902" s="1958"/>
      <c r="H1902" s="1958"/>
    </row>
    <row r="1903" spans="5:8">
      <c r="E1903" s="1958"/>
      <c r="G1903" s="1958"/>
      <c r="H1903" s="1958"/>
    </row>
    <row r="1904" spans="5:8">
      <c r="E1904" s="1958"/>
      <c r="G1904" s="1958"/>
      <c r="H1904" s="1958"/>
    </row>
    <row r="1905" spans="5:8">
      <c r="E1905" s="1958"/>
      <c r="G1905" s="1958"/>
      <c r="H1905" s="1958"/>
    </row>
    <row r="1906" spans="5:8">
      <c r="E1906" s="1958"/>
      <c r="G1906" s="1958"/>
      <c r="H1906" s="1958"/>
    </row>
    <row r="1907" spans="5:8">
      <c r="E1907" s="1958"/>
      <c r="G1907" s="1958"/>
      <c r="H1907" s="1958"/>
    </row>
    <row r="1908" spans="5:8">
      <c r="E1908" s="1958"/>
      <c r="G1908" s="1958"/>
      <c r="H1908" s="1958"/>
    </row>
    <row r="1909" spans="5:8">
      <c r="E1909" s="1958"/>
      <c r="G1909" s="1958"/>
      <c r="H1909" s="1958"/>
    </row>
    <row r="1910" spans="5:8">
      <c r="E1910" s="1958"/>
      <c r="G1910" s="1958"/>
      <c r="H1910" s="1958"/>
    </row>
    <row r="1911" spans="5:8">
      <c r="E1911" s="1958"/>
      <c r="G1911" s="1958"/>
      <c r="H1911" s="1958"/>
    </row>
    <row r="1912" spans="5:8">
      <c r="E1912" s="1958"/>
      <c r="G1912" s="1958"/>
      <c r="H1912" s="1958"/>
    </row>
    <row r="1913" spans="5:8">
      <c r="E1913" s="1958"/>
      <c r="G1913" s="1958"/>
      <c r="H1913" s="1958"/>
    </row>
    <row r="1914" spans="5:8">
      <c r="E1914" s="1958"/>
      <c r="G1914" s="1958"/>
      <c r="H1914" s="1958"/>
    </row>
    <row r="1915" spans="5:8">
      <c r="E1915" s="1958"/>
      <c r="G1915" s="1958"/>
      <c r="H1915" s="1958"/>
    </row>
    <row r="1916" spans="5:8">
      <c r="E1916" s="1958"/>
      <c r="G1916" s="1958"/>
      <c r="H1916" s="1958"/>
    </row>
    <row r="1917" spans="5:8">
      <c r="E1917" s="1958"/>
      <c r="G1917" s="1958"/>
      <c r="H1917" s="1958"/>
    </row>
    <row r="1918" spans="5:8">
      <c r="E1918" s="1958"/>
      <c r="G1918" s="1958"/>
      <c r="H1918" s="1958"/>
    </row>
    <row r="1919" spans="5:8">
      <c r="E1919" s="1958"/>
      <c r="G1919" s="1958"/>
      <c r="H1919" s="1958"/>
    </row>
    <row r="1920" spans="5:8">
      <c r="E1920" s="1958"/>
      <c r="G1920" s="1958"/>
      <c r="H1920" s="1958"/>
    </row>
    <row r="1921" spans="5:8">
      <c r="E1921" s="1958"/>
      <c r="G1921" s="1958"/>
      <c r="H1921" s="1958"/>
    </row>
    <row r="1922" spans="5:8">
      <c r="E1922" s="1958"/>
      <c r="G1922" s="1958"/>
      <c r="H1922" s="1958"/>
    </row>
    <row r="1923" spans="5:8">
      <c r="E1923" s="1958"/>
      <c r="G1923" s="1958"/>
      <c r="H1923" s="1958"/>
    </row>
    <row r="1924" spans="5:8">
      <c r="E1924" s="1958"/>
      <c r="G1924" s="1958"/>
      <c r="H1924" s="1958"/>
    </row>
    <row r="1925" spans="5:8">
      <c r="E1925" s="1958"/>
      <c r="G1925" s="1958"/>
      <c r="H1925" s="1958"/>
    </row>
    <row r="1926" spans="5:8">
      <c r="E1926" s="1958"/>
      <c r="G1926" s="1958"/>
      <c r="H1926" s="1958"/>
    </row>
    <row r="1927" spans="5:8">
      <c r="E1927" s="1958"/>
      <c r="G1927" s="1958"/>
      <c r="H1927" s="1958"/>
    </row>
    <row r="1928" spans="5:8">
      <c r="E1928" s="1958"/>
      <c r="G1928" s="1958"/>
      <c r="H1928" s="1958"/>
    </row>
    <row r="1929" spans="5:8">
      <c r="E1929" s="1958"/>
      <c r="G1929" s="1958"/>
      <c r="H1929" s="1958"/>
    </row>
    <row r="1930" spans="5:8">
      <c r="E1930" s="1958"/>
      <c r="G1930" s="1958"/>
      <c r="H1930" s="1958"/>
    </row>
    <row r="1931" spans="5:8">
      <c r="E1931" s="1958"/>
      <c r="G1931" s="1958"/>
      <c r="H1931" s="1958"/>
    </row>
    <row r="1932" spans="5:8">
      <c r="E1932" s="1958"/>
      <c r="G1932" s="1958"/>
      <c r="H1932" s="1958"/>
    </row>
    <row r="1933" spans="5:8">
      <c r="E1933" s="1958"/>
      <c r="G1933" s="1958"/>
      <c r="H1933" s="1958"/>
    </row>
    <row r="1934" spans="5:8">
      <c r="E1934" s="1958"/>
      <c r="G1934" s="1958"/>
      <c r="H1934" s="1958"/>
    </row>
    <row r="1935" spans="5:8">
      <c r="E1935" s="1958"/>
      <c r="G1935" s="1958"/>
      <c r="H1935" s="1958"/>
    </row>
    <row r="1936" spans="5:8">
      <c r="E1936" s="1958"/>
      <c r="G1936" s="1958"/>
      <c r="H1936" s="1958"/>
    </row>
    <row r="1937" spans="5:8">
      <c r="E1937" s="1958"/>
      <c r="G1937" s="1958"/>
      <c r="H1937" s="1958"/>
    </row>
    <row r="1938" spans="5:8">
      <c r="E1938" s="1958"/>
      <c r="G1938" s="1958"/>
      <c r="H1938" s="1958"/>
    </row>
    <row r="1939" spans="5:8">
      <c r="E1939" s="1958"/>
      <c r="G1939" s="1958"/>
      <c r="H1939" s="1958"/>
    </row>
    <row r="1940" spans="5:8">
      <c r="E1940" s="1958"/>
      <c r="G1940" s="1958"/>
      <c r="H1940" s="1958"/>
    </row>
    <row r="1941" spans="5:8">
      <c r="E1941" s="1958"/>
      <c r="G1941" s="1958"/>
      <c r="H1941" s="1958"/>
    </row>
    <row r="1942" spans="5:8">
      <c r="E1942" s="1958"/>
      <c r="G1942" s="1958"/>
      <c r="H1942" s="1958"/>
    </row>
    <row r="1943" spans="5:8">
      <c r="E1943" s="1958"/>
      <c r="G1943" s="1958"/>
      <c r="H1943" s="1958"/>
    </row>
    <row r="1944" spans="5:8">
      <c r="E1944" s="1958"/>
      <c r="G1944" s="1958"/>
      <c r="H1944" s="1958"/>
    </row>
    <row r="1945" spans="5:8">
      <c r="E1945" s="1958"/>
      <c r="G1945" s="1958"/>
      <c r="H1945" s="1958"/>
    </row>
    <row r="1946" spans="5:8">
      <c r="E1946" s="1958"/>
      <c r="G1946" s="1958"/>
      <c r="H1946" s="1958"/>
    </row>
    <row r="1947" spans="5:8">
      <c r="E1947" s="1958"/>
      <c r="G1947" s="1958"/>
      <c r="H1947" s="1958"/>
    </row>
    <row r="1948" spans="5:8">
      <c r="E1948" s="1958"/>
      <c r="G1948" s="1958"/>
      <c r="H1948" s="1958"/>
    </row>
    <row r="1949" spans="5:8">
      <c r="E1949" s="1958"/>
      <c r="G1949" s="1958"/>
      <c r="H1949" s="1958"/>
    </row>
    <row r="1950" spans="5:8">
      <c r="E1950" s="1958"/>
      <c r="G1950" s="1958"/>
      <c r="H1950" s="1958"/>
    </row>
    <row r="1951" spans="5:8">
      <c r="E1951" s="1958"/>
      <c r="G1951" s="1958"/>
      <c r="H1951" s="1958"/>
    </row>
    <row r="1952" spans="5:8">
      <c r="E1952" s="1958"/>
      <c r="G1952" s="1958"/>
      <c r="H1952" s="1958"/>
    </row>
    <row r="1953" spans="5:8">
      <c r="E1953" s="1958"/>
      <c r="G1953" s="1958"/>
      <c r="H1953" s="1958"/>
    </row>
    <row r="1954" spans="5:8">
      <c r="E1954" s="1958"/>
      <c r="G1954" s="1958"/>
      <c r="H1954" s="1958"/>
    </row>
    <row r="1955" spans="5:8">
      <c r="E1955" s="1958"/>
      <c r="G1955" s="1958"/>
      <c r="H1955" s="1958"/>
    </row>
    <row r="1956" spans="5:8">
      <c r="E1956" s="1958"/>
      <c r="G1956" s="1958"/>
      <c r="H1956" s="1958"/>
    </row>
    <row r="1957" spans="5:8">
      <c r="E1957" s="1958"/>
      <c r="G1957" s="1958"/>
      <c r="H1957" s="1958"/>
    </row>
    <row r="1958" spans="5:8">
      <c r="E1958" s="1958"/>
      <c r="G1958" s="1958"/>
      <c r="H1958" s="1958"/>
    </row>
    <row r="1959" spans="5:8">
      <c r="E1959" s="1958"/>
      <c r="G1959" s="1958"/>
      <c r="H1959" s="1958"/>
    </row>
    <row r="1960" spans="5:8">
      <c r="E1960" s="1958"/>
      <c r="G1960" s="1958"/>
      <c r="H1960" s="1958"/>
    </row>
    <row r="1961" spans="5:8">
      <c r="E1961" s="1958"/>
      <c r="G1961" s="1958"/>
      <c r="H1961" s="1958"/>
    </row>
    <row r="1962" spans="5:8">
      <c r="E1962" s="1958"/>
      <c r="G1962" s="1958"/>
      <c r="H1962" s="1958"/>
    </row>
    <row r="1963" spans="5:8">
      <c r="E1963" s="1958"/>
      <c r="G1963" s="1958"/>
      <c r="H1963" s="1958"/>
    </row>
    <row r="1964" spans="5:8">
      <c r="E1964" s="1958"/>
      <c r="G1964" s="1958"/>
      <c r="H1964" s="1958"/>
    </row>
    <row r="1965" spans="5:8">
      <c r="E1965" s="1958"/>
      <c r="G1965" s="1958"/>
      <c r="H1965" s="1958"/>
    </row>
    <row r="1966" spans="5:8">
      <c r="E1966" s="1958"/>
      <c r="G1966" s="1958"/>
      <c r="H1966" s="1958"/>
    </row>
    <row r="1967" spans="5:8">
      <c r="E1967" s="1958"/>
      <c r="G1967" s="1958"/>
      <c r="H1967" s="1958"/>
    </row>
    <row r="1968" spans="5:8">
      <c r="E1968" s="1958"/>
      <c r="G1968" s="1958"/>
      <c r="H1968" s="1958"/>
    </row>
    <row r="1969" spans="5:8">
      <c r="E1969" s="1958"/>
      <c r="G1969" s="1958"/>
      <c r="H1969" s="1958"/>
    </row>
    <row r="1970" spans="5:8">
      <c r="E1970" s="1958"/>
      <c r="G1970" s="1958"/>
      <c r="H1970" s="1958"/>
    </row>
    <row r="1971" spans="5:8">
      <c r="E1971" s="1958"/>
      <c r="G1971" s="1958"/>
      <c r="H1971" s="1958"/>
    </row>
    <row r="1972" spans="5:8">
      <c r="E1972" s="1958"/>
      <c r="G1972" s="1958"/>
      <c r="H1972" s="1958"/>
    </row>
    <row r="1973" spans="5:8">
      <c r="E1973" s="1958"/>
      <c r="G1973" s="1958"/>
      <c r="H1973" s="1958"/>
    </row>
    <row r="1974" spans="5:8">
      <c r="E1974" s="1958"/>
      <c r="G1974" s="1958"/>
      <c r="H1974" s="1958"/>
    </row>
    <row r="1975" spans="5:8">
      <c r="E1975" s="1958"/>
      <c r="G1975" s="1958"/>
      <c r="H1975" s="1958"/>
    </row>
    <row r="1976" spans="5:8">
      <c r="E1976" s="1958"/>
      <c r="G1976" s="1958"/>
      <c r="H1976" s="1958"/>
    </row>
    <row r="1977" spans="5:8">
      <c r="E1977" s="1958"/>
      <c r="G1977" s="1958"/>
      <c r="H1977" s="1958"/>
    </row>
    <row r="1978" spans="5:8">
      <c r="E1978" s="1958"/>
      <c r="G1978" s="1958"/>
      <c r="H1978" s="1958"/>
    </row>
    <row r="1979" spans="5:8">
      <c r="E1979" s="1958"/>
      <c r="G1979" s="1958"/>
      <c r="H1979" s="1958"/>
    </row>
    <row r="1980" spans="5:8">
      <c r="E1980" s="1958"/>
      <c r="G1980" s="1958"/>
      <c r="H1980" s="1958"/>
    </row>
    <row r="1981" spans="5:8">
      <c r="E1981" s="1958"/>
      <c r="G1981" s="1958"/>
      <c r="H1981" s="1958"/>
    </row>
    <row r="1982" spans="5:8">
      <c r="E1982" s="1958"/>
      <c r="G1982" s="1958"/>
      <c r="H1982" s="1958"/>
    </row>
    <row r="1983" spans="5:8">
      <c r="E1983" s="1958"/>
      <c r="G1983" s="1958"/>
      <c r="H1983" s="1958"/>
    </row>
    <row r="1984" spans="5:8">
      <c r="E1984" s="1958"/>
      <c r="G1984" s="1958"/>
      <c r="H1984" s="1958"/>
    </row>
    <row r="1985" spans="5:8">
      <c r="E1985" s="1958"/>
      <c r="G1985" s="1958"/>
      <c r="H1985" s="1958"/>
    </row>
    <row r="1986" spans="5:8">
      <c r="E1986" s="1958"/>
      <c r="G1986" s="1958"/>
      <c r="H1986" s="1958"/>
    </row>
    <row r="1987" spans="5:8">
      <c r="E1987" s="1958"/>
      <c r="G1987" s="1958"/>
      <c r="H1987" s="1958"/>
    </row>
    <row r="1988" spans="5:8">
      <c r="E1988" s="1958"/>
      <c r="G1988" s="1958"/>
      <c r="H1988" s="1958"/>
    </row>
    <row r="1989" spans="5:8">
      <c r="E1989" s="1958"/>
      <c r="G1989" s="1958"/>
      <c r="H1989" s="1958"/>
    </row>
    <row r="1990" spans="5:8">
      <c r="E1990" s="1958"/>
      <c r="G1990" s="1958"/>
      <c r="H1990" s="1958"/>
    </row>
    <row r="1991" spans="5:8">
      <c r="E1991" s="1958"/>
      <c r="G1991" s="1958"/>
      <c r="H1991" s="1958"/>
    </row>
    <row r="1992" spans="5:8">
      <c r="E1992" s="1958"/>
      <c r="G1992" s="1958"/>
      <c r="H1992" s="1958"/>
    </row>
    <row r="1993" spans="5:8">
      <c r="E1993" s="1958"/>
      <c r="G1993" s="1958"/>
      <c r="H1993" s="1958"/>
    </row>
    <row r="1994" spans="5:8">
      <c r="E1994" s="1958"/>
      <c r="G1994" s="1958"/>
      <c r="H1994" s="1958"/>
    </row>
    <row r="1995" spans="5:8">
      <c r="E1995" s="1958"/>
      <c r="G1995" s="1958"/>
      <c r="H1995" s="1958"/>
    </row>
    <row r="1996" spans="5:8">
      <c r="E1996" s="1958"/>
      <c r="G1996" s="1958"/>
      <c r="H1996" s="1958"/>
    </row>
    <row r="1997" spans="5:8">
      <c r="E1997" s="1958"/>
      <c r="G1997" s="1958"/>
      <c r="H1997" s="1958"/>
    </row>
    <row r="1998" spans="5:8">
      <c r="E1998" s="1958"/>
      <c r="G1998" s="1958"/>
      <c r="H1998" s="1958"/>
    </row>
    <row r="1999" spans="5:8">
      <c r="E1999" s="1958"/>
      <c r="G1999" s="1958"/>
      <c r="H1999" s="1958"/>
    </row>
    <row r="2000" spans="5:8">
      <c r="E2000" s="1958"/>
      <c r="G2000" s="1958"/>
      <c r="H2000" s="1958"/>
    </row>
    <row r="2001" spans="5:8">
      <c r="E2001" s="1958"/>
      <c r="G2001" s="1958"/>
      <c r="H2001" s="1958"/>
    </row>
    <row r="2002" spans="5:8">
      <c r="E2002" s="1958"/>
      <c r="G2002" s="1958"/>
      <c r="H2002" s="1958"/>
    </row>
    <row r="2003" spans="5:8">
      <c r="E2003" s="1958"/>
      <c r="G2003" s="1958"/>
      <c r="H2003" s="1958"/>
    </row>
    <row r="2004" spans="5:8">
      <c r="E2004" s="1958"/>
      <c r="G2004" s="1958"/>
      <c r="H2004" s="1958"/>
    </row>
    <row r="2005" spans="5:8">
      <c r="E2005" s="1958"/>
      <c r="G2005" s="1958"/>
      <c r="H2005" s="1958"/>
    </row>
    <row r="2006" spans="5:8">
      <c r="E2006" s="1958"/>
      <c r="G2006" s="1958"/>
      <c r="H2006" s="1958"/>
    </row>
    <row r="2007" spans="5:8">
      <c r="E2007" s="1958"/>
      <c r="G2007" s="1958"/>
      <c r="H2007" s="1958"/>
    </row>
    <row r="2008" spans="5:8">
      <c r="E2008" s="1958"/>
      <c r="G2008" s="1958"/>
      <c r="H2008" s="1958"/>
    </row>
    <row r="2009" spans="5:8">
      <c r="E2009" s="1958"/>
      <c r="G2009" s="1958"/>
      <c r="H2009" s="1958"/>
    </row>
    <row r="2010" spans="5:8">
      <c r="E2010" s="1958"/>
      <c r="G2010" s="1958"/>
      <c r="H2010" s="1958"/>
    </row>
    <row r="2011" spans="5:8">
      <c r="E2011" s="1958"/>
      <c r="G2011" s="1958"/>
      <c r="H2011" s="1958"/>
    </row>
    <row r="2012" spans="5:8">
      <c r="E2012" s="1958"/>
      <c r="G2012" s="1958"/>
      <c r="H2012" s="1958"/>
    </row>
    <row r="2013" spans="5:8">
      <c r="E2013" s="1958"/>
      <c r="G2013" s="1958"/>
      <c r="H2013" s="1958"/>
    </row>
    <row r="2014" spans="5:8">
      <c r="E2014" s="1958"/>
      <c r="G2014" s="1958"/>
      <c r="H2014" s="1958"/>
    </row>
    <row r="2015" spans="5:8">
      <c r="E2015" s="1958"/>
      <c r="G2015" s="1958"/>
      <c r="H2015" s="1958"/>
    </row>
    <row r="2016" spans="5:8">
      <c r="E2016" s="1958"/>
      <c r="G2016" s="1958"/>
      <c r="H2016" s="1958"/>
    </row>
    <row r="2017" spans="5:8">
      <c r="E2017" s="1958"/>
      <c r="G2017" s="1958"/>
      <c r="H2017" s="1958"/>
    </row>
    <row r="2018" spans="5:8">
      <c r="E2018" s="1958"/>
      <c r="G2018" s="1958"/>
      <c r="H2018" s="1958"/>
    </row>
    <row r="2019" spans="5:8">
      <c r="E2019" s="1958"/>
      <c r="G2019" s="1958"/>
      <c r="H2019" s="1958"/>
    </row>
    <row r="2020" spans="5:8">
      <c r="E2020" s="1958"/>
      <c r="G2020" s="1958"/>
      <c r="H2020" s="1958"/>
    </row>
    <row r="2021" spans="5:8">
      <c r="E2021" s="1958"/>
      <c r="G2021" s="1958"/>
      <c r="H2021" s="1958"/>
    </row>
    <row r="2022" spans="5:8">
      <c r="E2022" s="1958"/>
      <c r="G2022" s="1958"/>
      <c r="H2022" s="1958"/>
    </row>
    <row r="2023" spans="5:8">
      <c r="E2023" s="1958"/>
      <c r="G2023" s="1958"/>
      <c r="H2023" s="1958"/>
    </row>
    <row r="2024" spans="5:8">
      <c r="E2024" s="1958"/>
      <c r="G2024" s="1958"/>
      <c r="H2024" s="1958"/>
    </row>
    <row r="2025" spans="5:8">
      <c r="E2025" s="1958"/>
      <c r="G2025" s="1958"/>
      <c r="H2025" s="1958"/>
    </row>
    <row r="2026" spans="5:8">
      <c r="E2026" s="1958"/>
      <c r="G2026" s="1958"/>
      <c r="H2026" s="1958"/>
    </row>
    <row r="2027" spans="5:8">
      <c r="E2027" s="1958"/>
      <c r="G2027" s="1958"/>
      <c r="H2027" s="1958"/>
    </row>
    <row r="2028" spans="5:8">
      <c r="E2028" s="1958"/>
      <c r="G2028" s="1958"/>
      <c r="H2028" s="1958"/>
    </row>
    <row r="2029" spans="5:8">
      <c r="E2029" s="1958"/>
      <c r="G2029" s="1958"/>
      <c r="H2029" s="1958"/>
    </row>
    <row r="2030" spans="5:8">
      <c r="E2030" s="1958"/>
      <c r="G2030" s="1958"/>
      <c r="H2030" s="1958"/>
    </row>
    <row r="2031" spans="5:8">
      <c r="E2031" s="1958"/>
      <c r="G2031" s="1958"/>
      <c r="H2031" s="1958"/>
    </row>
    <row r="2032" spans="5:8">
      <c r="E2032" s="1958"/>
      <c r="G2032" s="1958"/>
      <c r="H2032" s="1958"/>
    </row>
    <row r="2033" spans="5:8">
      <c r="E2033" s="1958"/>
      <c r="G2033" s="1958"/>
      <c r="H2033" s="1958"/>
    </row>
    <row r="2034" spans="5:8">
      <c r="E2034" s="1958"/>
      <c r="G2034" s="1958"/>
      <c r="H2034" s="1958"/>
    </row>
    <row r="2035" spans="5:8">
      <c r="E2035" s="1958"/>
      <c r="G2035" s="1958"/>
      <c r="H2035" s="1958"/>
    </row>
    <row r="2036" spans="5:8">
      <c r="E2036" s="1958"/>
      <c r="G2036" s="1958"/>
      <c r="H2036" s="1958"/>
    </row>
    <row r="2037" spans="5:8">
      <c r="E2037" s="1958"/>
      <c r="G2037" s="1958"/>
      <c r="H2037" s="1958"/>
    </row>
    <row r="2038" spans="5:8">
      <c r="E2038" s="1958"/>
      <c r="G2038" s="1958"/>
      <c r="H2038" s="1958"/>
    </row>
    <row r="2039" spans="5:8">
      <c r="E2039" s="1958"/>
      <c r="G2039" s="1958"/>
      <c r="H2039" s="1958"/>
    </row>
    <row r="2040" spans="5:8">
      <c r="E2040" s="1958"/>
      <c r="G2040" s="1958"/>
      <c r="H2040" s="1958"/>
    </row>
    <row r="2041" spans="5:8">
      <c r="E2041" s="1958"/>
      <c r="G2041" s="1958"/>
      <c r="H2041" s="1958"/>
    </row>
    <row r="2042" spans="5:8">
      <c r="E2042" s="1958"/>
      <c r="G2042" s="1958"/>
      <c r="H2042" s="1958"/>
    </row>
    <row r="2043" spans="5:8">
      <c r="E2043" s="1958"/>
      <c r="G2043" s="1958"/>
      <c r="H2043" s="1958"/>
    </row>
    <row r="2044" spans="5:8">
      <c r="E2044" s="1958"/>
      <c r="G2044" s="1958"/>
      <c r="H2044" s="1958"/>
    </row>
    <row r="2045" spans="5:8">
      <c r="E2045" s="1958"/>
      <c r="G2045" s="1958"/>
      <c r="H2045" s="1958"/>
    </row>
    <row r="2046" spans="5:8">
      <c r="E2046" s="1958"/>
      <c r="G2046" s="1958"/>
      <c r="H2046" s="1958"/>
    </row>
    <row r="2047" spans="5:8">
      <c r="E2047" s="1958"/>
      <c r="G2047" s="1958"/>
      <c r="H2047" s="1958"/>
    </row>
    <row r="2048" spans="5:8">
      <c r="E2048" s="1958"/>
      <c r="G2048" s="1958"/>
      <c r="H2048" s="1958"/>
    </row>
    <row r="2049" spans="5:8">
      <c r="E2049" s="1958"/>
      <c r="G2049" s="1958"/>
      <c r="H2049" s="1958"/>
    </row>
    <row r="2050" spans="5:8">
      <c r="E2050" s="1958"/>
      <c r="G2050" s="1958"/>
      <c r="H2050" s="1958"/>
    </row>
    <row r="2051" spans="5:8">
      <c r="E2051" s="1958"/>
      <c r="G2051" s="1958"/>
      <c r="H2051" s="1958"/>
    </row>
    <row r="2052" spans="5:8">
      <c r="E2052" s="1958"/>
      <c r="G2052" s="1958"/>
      <c r="H2052" s="1958"/>
    </row>
    <row r="2053" spans="5:8">
      <c r="E2053" s="1958"/>
      <c r="G2053" s="1958"/>
      <c r="H2053" s="1958"/>
    </row>
    <row r="2054" spans="5:8">
      <c r="E2054" s="1958"/>
      <c r="G2054" s="1958"/>
      <c r="H2054" s="1958"/>
    </row>
    <row r="2055" spans="5:8">
      <c r="E2055" s="1958"/>
      <c r="G2055" s="1958"/>
      <c r="H2055" s="1958"/>
    </row>
    <row r="2056" spans="5:8">
      <c r="E2056" s="1958"/>
      <c r="G2056" s="1958"/>
      <c r="H2056" s="1958"/>
    </row>
    <row r="2057" spans="5:8">
      <c r="E2057" s="1958"/>
      <c r="G2057" s="1958"/>
      <c r="H2057" s="1958"/>
    </row>
    <row r="2058" spans="5:8">
      <c r="E2058" s="1958"/>
      <c r="G2058" s="1958"/>
      <c r="H2058" s="1958"/>
    </row>
    <row r="2059" spans="5:8">
      <c r="E2059" s="1958"/>
      <c r="G2059" s="1958"/>
      <c r="H2059" s="1958"/>
    </row>
    <row r="2060" spans="5:8">
      <c r="E2060" s="1958"/>
      <c r="G2060" s="1958"/>
      <c r="H2060" s="1958"/>
    </row>
    <row r="2061" spans="5:8">
      <c r="E2061" s="1958"/>
      <c r="G2061" s="1958"/>
      <c r="H2061" s="1958"/>
    </row>
    <row r="2062" spans="5:8">
      <c r="E2062" s="1958"/>
      <c r="G2062" s="1958"/>
      <c r="H2062" s="1958"/>
    </row>
    <row r="2063" spans="5:8">
      <c r="E2063" s="1958"/>
      <c r="G2063" s="1958"/>
      <c r="H2063" s="1958"/>
    </row>
    <row r="2064" spans="5:8">
      <c r="E2064" s="1958"/>
      <c r="G2064" s="1958"/>
      <c r="H2064" s="1958"/>
    </row>
    <row r="2065" spans="5:8">
      <c r="E2065" s="1958"/>
      <c r="G2065" s="1958"/>
      <c r="H2065" s="1958"/>
    </row>
    <row r="2066" spans="5:8">
      <c r="E2066" s="1958"/>
      <c r="G2066" s="1958"/>
      <c r="H2066" s="1958"/>
    </row>
    <row r="2067" spans="5:8">
      <c r="E2067" s="1958"/>
      <c r="G2067" s="1958"/>
      <c r="H2067" s="1958"/>
    </row>
    <row r="2068" spans="5:8">
      <c r="E2068" s="1958"/>
      <c r="G2068" s="1958"/>
      <c r="H2068" s="1958"/>
    </row>
    <row r="2069" spans="5:8">
      <c r="E2069" s="1958"/>
      <c r="G2069" s="1958"/>
      <c r="H2069" s="1958"/>
    </row>
    <row r="2070" spans="5:8">
      <c r="E2070" s="1958"/>
      <c r="G2070" s="1958"/>
      <c r="H2070" s="1958"/>
    </row>
    <row r="2071" spans="5:8">
      <c r="E2071" s="1958"/>
      <c r="G2071" s="1958"/>
      <c r="H2071" s="1958"/>
    </row>
    <row r="2072" spans="5:8">
      <c r="E2072" s="1958"/>
      <c r="G2072" s="1958"/>
      <c r="H2072" s="1958"/>
    </row>
    <row r="2073" spans="5:8">
      <c r="E2073" s="1958"/>
      <c r="G2073" s="1958"/>
      <c r="H2073" s="1958"/>
    </row>
    <row r="2074" spans="5:8">
      <c r="E2074" s="1958"/>
      <c r="G2074" s="1958"/>
      <c r="H2074" s="1958"/>
    </row>
    <row r="2075" spans="5:8">
      <c r="E2075" s="1958"/>
      <c r="G2075" s="1958"/>
      <c r="H2075" s="1958"/>
    </row>
    <row r="2076" spans="5:8">
      <c r="E2076" s="1958"/>
      <c r="G2076" s="1958"/>
      <c r="H2076" s="1958"/>
    </row>
    <row r="2077" spans="5:8">
      <c r="E2077" s="1958"/>
      <c r="G2077" s="1958"/>
      <c r="H2077" s="1958"/>
    </row>
    <row r="2078" spans="5:8">
      <c r="E2078" s="1958"/>
      <c r="G2078" s="1958"/>
      <c r="H2078" s="1958"/>
    </row>
    <row r="2079" spans="5:8">
      <c r="E2079" s="1958"/>
      <c r="G2079" s="1958"/>
      <c r="H2079" s="1958"/>
    </row>
    <row r="2080" spans="5:8">
      <c r="E2080" s="1958"/>
      <c r="G2080" s="1958"/>
      <c r="H2080" s="1958"/>
    </row>
    <row r="2081" spans="5:8">
      <c r="E2081" s="1958"/>
      <c r="G2081" s="1958"/>
      <c r="H2081" s="1958"/>
    </row>
    <row r="2082" spans="5:8">
      <c r="E2082" s="1958"/>
      <c r="G2082" s="1958"/>
      <c r="H2082" s="1958"/>
    </row>
    <row r="2083" spans="5:8">
      <c r="E2083" s="1958"/>
      <c r="G2083" s="1958"/>
      <c r="H2083" s="1958"/>
    </row>
    <row r="2084" spans="5:8">
      <c r="E2084" s="1958"/>
      <c r="G2084" s="1958"/>
      <c r="H2084" s="1958"/>
    </row>
    <row r="2085" spans="5:8">
      <c r="E2085" s="1958"/>
      <c r="G2085" s="1958"/>
      <c r="H2085" s="1958"/>
    </row>
    <row r="2086" spans="5:8">
      <c r="E2086" s="1958"/>
      <c r="G2086" s="1958"/>
      <c r="H2086" s="1958"/>
    </row>
    <row r="2087" spans="5:8">
      <c r="E2087" s="1958"/>
      <c r="G2087" s="1958"/>
      <c r="H2087" s="1958"/>
    </row>
    <row r="2088" spans="5:8">
      <c r="E2088" s="1958"/>
      <c r="G2088" s="1958"/>
      <c r="H2088" s="1958"/>
    </row>
    <row r="2089" spans="5:8">
      <c r="E2089" s="1958"/>
      <c r="G2089" s="1958"/>
      <c r="H2089" s="1958"/>
    </row>
    <row r="2090" spans="5:8">
      <c r="E2090" s="1958"/>
      <c r="G2090" s="1958"/>
      <c r="H2090" s="1958"/>
    </row>
    <row r="2091" spans="5:8">
      <c r="E2091" s="1958"/>
      <c r="G2091" s="1958"/>
      <c r="H2091" s="1958"/>
    </row>
    <row r="2092" spans="5:8">
      <c r="E2092" s="1958"/>
      <c r="G2092" s="1958"/>
      <c r="H2092" s="1958"/>
    </row>
    <row r="2093" spans="5:8">
      <c r="E2093" s="1958"/>
      <c r="G2093" s="1958"/>
      <c r="H2093" s="1958"/>
    </row>
    <row r="2094" spans="5:8">
      <c r="E2094" s="1958"/>
      <c r="G2094" s="1958"/>
      <c r="H2094" s="1958"/>
    </row>
    <row r="2095" spans="5:8">
      <c r="E2095" s="1958"/>
      <c r="G2095" s="1958"/>
      <c r="H2095" s="1958"/>
    </row>
    <row r="2096" spans="5:8">
      <c r="E2096" s="1958"/>
      <c r="G2096" s="1958"/>
      <c r="H2096" s="1958"/>
    </row>
    <row r="2097" spans="5:8">
      <c r="E2097" s="1958"/>
      <c r="G2097" s="1958"/>
      <c r="H2097" s="1958"/>
    </row>
    <row r="2098" spans="5:8">
      <c r="E2098" s="1958"/>
      <c r="G2098" s="1958"/>
      <c r="H2098" s="1958"/>
    </row>
    <row r="2099" spans="5:8">
      <c r="E2099" s="1958"/>
      <c r="G2099" s="1958"/>
      <c r="H2099" s="1958"/>
    </row>
    <row r="2100" spans="5:8">
      <c r="E2100" s="1958"/>
      <c r="G2100" s="1958"/>
      <c r="H2100" s="1958"/>
    </row>
    <row r="2101" spans="5:8">
      <c r="E2101" s="1958"/>
      <c r="G2101" s="1958"/>
      <c r="H2101" s="1958"/>
    </row>
    <row r="2102" spans="5:8">
      <c r="E2102" s="1958"/>
      <c r="G2102" s="1958"/>
      <c r="H2102" s="1958"/>
    </row>
    <row r="2103" spans="5:8">
      <c r="E2103" s="1958"/>
      <c r="G2103" s="1958"/>
      <c r="H2103" s="1958"/>
    </row>
    <row r="2104" spans="5:8">
      <c r="E2104" s="1958"/>
      <c r="G2104" s="1958"/>
      <c r="H2104" s="1958"/>
    </row>
    <row r="2105" spans="5:8">
      <c r="E2105" s="1958"/>
      <c r="G2105" s="1958"/>
      <c r="H2105" s="1958"/>
    </row>
    <row r="2106" spans="5:8">
      <c r="E2106" s="1958"/>
      <c r="G2106" s="1958"/>
      <c r="H2106" s="1958"/>
    </row>
    <row r="2107" spans="5:8">
      <c r="E2107" s="1958"/>
      <c r="G2107" s="1958"/>
      <c r="H2107" s="1958"/>
    </row>
    <row r="2108" spans="5:8">
      <c r="E2108" s="1958"/>
      <c r="G2108" s="1958"/>
      <c r="H2108" s="1958"/>
    </row>
    <row r="2109" spans="5:8">
      <c r="E2109" s="1958"/>
      <c r="G2109" s="1958"/>
      <c r="H2109" s="1958"/>
    </row>
    <row r="2110" spans="5:8">
      <c r="E2110" s="1958"/>
      <c r="G2110" s="1958"/>
      <c r="H2110" s="1958"/>
    </row>
    <row r="2111" spans="5:8">
      <c r="E2111" s="1958"/>
      <c r="G2111" s="1958"/>
      <c r="H2111" s="1958"/>
    </row>
    <row r="2112" spans="5:8">
      <c r="E2112" s="1958"/>
      <c r="G2112" s="1958"/>
      <c r="H2112" s="1958"/>
    </row>
    <row r="2113" spans="5:8">
      <c r="E2113" s="1958"/>
      <c r="G2113" s="1958"/>
      <c r="H2113" s="1958"/>
    </row>
    <row r="2114" spans="5:8">
      <c r="E2114" s="1958"/>
      <c r="G2114" s="1958"/>
      <c r="H2114" s="1958"/>
    </row>
    <row r="2115" spans="5:8">
      <c r="E2115" s="1958"/>
      <c r="G2115" s="1958"/>
      <c r="H2115" s="1958"/>
    </row>
    <row r="2116" spans="5:8">
      <c r="E2116" s="1958"/>
      <c r="G2116" s="1958"/>
      <c r="H2116" s="1958"/>
    </row>
    <row r="2117" spans="5:8">
      <c r="E2117" s="1958"/>
      <c r="G2117" s="1958"/>
      <c r="H2117" s="1958"/>
    </row>
    <row r="2118" spans="5:8">
      <c r="E2118" s="1958"/>
      <c r="G2118" s="1958"/>
      <c r="H2118" s="1958"/>
    </row>
    <row r="2119" spans="5:8">
      <c r="E2119" s="1958"/>
      <c r="G2119" s="1958"/>
      <c r="H2119" s="1958"/>
    </row>
    <row r="2120" spans="5:8">
      <c r="E2120" s="1958"/>
      <c r="G2120" s="1958"/>
      <c r="H2120" s="1958"/>
    </row>
    <row r="2121" spans="5:8">
      <c r="E2121" s="1958"/>
      <c r="G2121" s="1958"/>
      <c r="H2121" s="1958"/>
    </row>
    <row r="2122" spans="5:8">
      <c r="E2122" s="1958"/>
      <c r="G2122" s="1958"/>
      <c r="H2122" s="1958"/>
    </row>
    <row r="2123" spans="5:8">
      <c r="E2123" s="1958"/>
      <c r="G2123" s="1958"/>
      <c r="H2123" s="1958"/>
    </row>
    <row r="2124" spans="5:8">
      <c r="E2124" s="1958"/>
      <c r="G2124" s="1958"/>
      <c r="H2124" s="1958"/>
    </row>
    <row r="2125" spans="5:8">
      <c r="E2125" s="1958"/>
      <c r="G2125" s="1958"/>
      <c r="H2125" s="1958"/>
    </row>
    <row r="2126" spans="5:8">
      <c r="E2126" s="1958"/>
      <c r="G2126" s="1958"/>
      <c r="H2126" s="1958"/>
    </row>
    <row r="2127" spans="5:8">
      <c r="E2127" s="1958"/>
      <c r="G2127" s="1958"/>
      <c r="H2127" s="1958"/>
    </row>
    <row r="2128" spans="5:8">
      <c r="E2128" s="1958"/>
      <c r="G2128" s="1958"/>
      <c r="H2128" s="1958"/>
    </row>
    <row r="2129" spans="5:8">
      <c r="E2129" s="1958"/>
      <c r="G2129" s="1958"/>
      <c r="H2129" s="1958"/>
    </row>
    <row r="2130" spans="5:8">
      <c r="E2130" s="1958"/>
      <c r="G2130" s="1958"/>
      <c r="H2130" s="1958"/>
    </row>
    <row r="2131" spans="5:8">
      <c r="E2131" s="1958"/>
      <c r="G2131" s="1958"/>
      <c r="H2131" s="1958"/>
    </row>
    <row r="2132" spans="5:8">
      <c r="E2132" s="1958"/>
      <c r="G2132" s="1958"/>
      <c r="H2132" s="1958"/>
    </row>
    <row r="2133" spans="5:8">
      <c r="E2133" s="1958"/>
      <c r="G2133" s="1958"/>
      <c r="H2133" s="1958"/>
    </row>
    <row r="2134" spans="5:8">
      <c r="E2134" s="1958"/>
      <c r="G2134" s="1958"/>
      <c r="H2134" s="1958"/>
    </row>
    <row r="2135" spans="5:8">
      <c r="E2135" s="1958"/>
      <c r="G2135" s="1958"/>
      <c r="H2135" s="1958"/>
    </row>
    <row r="2136" spans="5:8">
      <c r="E2136" s="1958"/>
      <c r="G2136" s="1958"/>
      <c r="H2136" s="1958"/>
    </row>
    <row r="2137" spans="5:8">
      <c r="E2137" s="1958"/>
      <c r="G2137" s="1958"/>
      <c r="H2137" s="1958"/>
    </row>
    <row r="2138" spans="5:8">
      <c r="E2138" s="1958"/>
      <c r="G2138" s="1958"/>
      <c r="H2138" s="1958"/>
    </row>
    <row r="2139" spans="5:8">
      <c r="E2139" s="1958"/>
      <c r="G2139" s="1958"/>
      <c r="H2139" s="1958"/>
    </row>
    <row r="2140" spans="5:8">
      <c r="E2140" s="1958"/>
      <c r="G2140" s="1958"/>
      <c r="H2140" s="1958"/>
    </row>
    <row r="2141" spans="5:8">
      <c r="E2141" s="1958"/>
      <c r="G2141" s="1958"/>
      <c r="H2141" s="1958"/>
    </row>
    <row r="2142" spans="5:8">
      <c r="E2142" s="1958"/>
      <c r="G2142" s="1958"/>
      <c r="H2142" s="1958"/>
    </row>
    <row r="2143" spans="5:8">
      <c r="E2143" s="1958"/>
      <c r="G2143" s="1958"/>
      <c r="H2143" s="1958"/>
    </row>
    <row r="2144" spans="5:8">
      <c r="E2144" s="1958"/>
      <c r="G2144" s="1958"/>
      <c r="H2144" s="1958"/>
    </row>
    <row r="2145" spans="5:8">
      <c r="E2145" s="1958"/>
      <c r="G2145" s="1958"/>
      <c r="H2145" s="1958"/>
    </row>
    <row r="2146" spans="5:8">
      <c r="E2146" s="1958"/>
      <c r="G2146" s="1958"/>
      <c r="H2146" s="1958"/>
    </row>
    <row r="2147" spans="5:8">
      <c r="E2147" s="1958"/>
      <c r="G2147" s="1958"/>
      <c r="H2147" s="1958"/>
    </row>
    <row r="2148" spans="5:8">
      <c r="E2148" s="1958"/>
      <c r="G2148" s="1958"/>
      <c r="H2148" s="1958"/>
    </row>
    <row r="2149" spans="5:8">
      <c r="E2149" s="1958"/>
      <c r="G2149" s="1958"/>
      <c r="H2149" s="1958"/>
    </row>
    <row r="2150" spans="5:8">
      <c r="E2150" s="1958"/>
      <c r="G2150" s="1958"/>
      <c r="H2150" s="1958"/>
    </row>
    <row r="2151" spans="5:8">
      <c r="E2151" s="1958"/>
      <c r="G2151" s="1958"/>
      <c r="H2151" s="1958"/>
    </row>
    <row r="2152" spans="5:8">
      <c r="E2152" s="1958"/>
      <c r="G2152" s="1958"/>
      <c r="H2152" s="1958"/>
    </row>
    <row r="2153" spans="5:8">
      <c r="E2153" s="1958"/>
      <c r="G2153" s="1958"/>
      <c r="H2153" s="1958"/>
    </row>
    <row r="2154" spans="5:8">
      <c r="E2154" s="1958"/>
      <c r="G2154" s="1958"/>
      <c r="H2154" s="1958"/>
    </row>
    <row r="2155" spans="5:8">
      <c r="E2155" s="1958"/>
      <c r="G2155" s="1958"/>
      <c r="H2155" s="1958"/>
    </row>
    <row r="2156" spans="5:8">
      <c r="E2156" s="1958"/>
      <c r="G2156" s="1958"/>
      <c r="H2156" s="1958"/>
    </row>
    <row r="2157" spans="5:8">
      <c r="E2157" s="1958"/>
      <c r="G2157" s="1958"/>
      <c r="H2157" s="1958"/>
    </row>
    <row r="2158" spans="5:8">
      <c r="E2158" s="1958"/>
      <c r="G2158" s="1958"/>
      <c r="H2158" s="1958"/>
    </row>
    <row r="2159" spans="5:8">
      <c r="E2159" s="1958"/>
      <c r="G2159" s="1958"/>
      <c r="H2159" s="1958"/>
    </row>
    <row r="2160" spans="5:8">
      <c r="E2160" s="1958"/>
      <c r="G2160" s="1958"/>
      <c r="H2160" s="1958"/>
    </row>
    <row r="2161" spans="5:8">
      <c r="E2161" s="1958"/>
      <c r="G2161" s="1958"/>
      <c r="H2161" s="1958"/>
    </row>
    <row r="2162" spans="5:8">
      <c r="E2162" s="1958"/>
      <c r="G2162" s="1958"/>
      <c r="H2162" s="1958"/>
    </row>
    <row r="2163" spans="5:8">
      <c r="E2163" s="1958"/>
      <c r="G2163" s="1958"/>
      <c r="H2163" s="1958"/>
    </row>
    <row r="2164" spans="5:8">
      <c r="E2164" s="1958"/>
      <c r="G2164" s="1958"/>
      <c r="H2164" s="1958"/>
    </row>
    <row r="2165" spans="5:8">
      <c r="E2165" s="1958"/>
      <c r="G2165" s="1958"/>
      <c r="H2165" s="1958"/>
    </row>
    <row r="2166" spans="5:8">
      <c r="E2166" s="1958"/>
      <c r="G2166" s="1958"/>
      <c r="H2166" s="1958"/>
    </row>
    <row r="2167" spans="5:8">
      <c r="E2167" s="1958"/>
      <c r="G2167" s="1958"/>
      <c r="H2167" s="1958"/>
    </row>
    <row r="2168" spans="5:8">
      <c r="E2168" s="1958"/>
      <c r="G2168" s="1958"/>
      <c r="H2168" s="1958"/>
    </row>
    <row r="2169" spans="5:8">
      <c r="E2169" s="1958"/>
      <c r="G2169" s="1958"/>
      <c r="H2169" s="1958"/>
    </row>
    <row r="2170" spans="5:8">
      <c r="E2170" s="1958"/>
      <c r="G2170" s="1958"/>
      <c r="H2170" s="1958"/>
    </row>
    <row r="2171" spans="5:8">
      <c r="E2171" s="1958"/>
      <c r="G2171" s="1958"/>
      <c r="H2171" s="1958"/>
    </row>
    <row r="2172" spans="5:8">
      <c r="E2172" s="1958"/>
      <c r="G2172" s="1958"/>
      <c r="H2172" s="1958"/>
    </row>
    <row r="2173" spans="5:8">
      <c r="E2173" s="1958"/>
      <c r="G2173" s="1958"/>
      <c r="H2173" s="1958"/>
    </row>
    <row r="2174" spans="5:8">
      <c r="E2174" s="1958"/>
      <c r="G2174" s="1958"/>
      <c r="H2174" s="1958"/>
    </row>
    <row r="2175" spans="5:8">
      <c r="E2175" s="1958"/>
      <c r="G2175" s="1958"/>
      <c r="H2175" s="1958"/>
    </row>
    <row r="2176" spans="5:8">
      <c r="E2176" s="1958"/>
      <c r="G2176" s="1958"/>
      <c r="H2176" s="1958"/>
    </row>
    <row r="2177" spans="5:8">
      <c r="E2177" s="1958"/>
      <c r="G2177" s="1958"/>
      <c r="H2177" s="1958"/>
    </row>
    <row r="2178" spans="5:8">
      <c r="E2178" s="1958"/>
      <c r="G2178" s="1958"/>
      <c r="H2178" s="1958"/>
    </row>
    <row r="2179" spans="5:8">
      <c r="E2179" s="1958"/>
      <c r="G2179" s="1958"/>
      <c r="H2179" s="1958"/>
    </row>
    <row r="2180" spans="5:8">
      <c r="E2180" s="1958"/>
      <c r="G2180" s="1958"/>
      <c r="H2180" s="1958"/>
    </row>
    <row r="2181" spans="5:8">
      <c r="E2181" s="1958"/>
      <c r="G2181" s="1958"/>
      <c r="H2181" s="1958"/>
    </row>
    <row r="2182" spans="5:8">
      <c r="E2182" s="1958"/>
      <c r="G2182" s="1958"/>
      <c r="H2182" s="1958"/>
    </row>
    <row r="2183" spans="5:8">
      <c r="E2183" s="1958"/>
      <c r="G2183" s="1958"/>
      <c r="H2183" s="1958"/>
    </row>
    <row r="2184" spans="5:8">
      <c r="E2184" s="1958"/>
      <c r="G2184" s="1958"/>
      <c r="H2184" s="1958"/>
    </row>
    <row r="2185" spans="5:8">
      <c r="E2185" s="1958"/>
      <c r="G2185" s="1958"/>
      <c r="H2185" s="1958"/>
    </row>
    <row r="2186" spans="5:8">
      <c r="E2186" s="1958"/>
      <c r="G2186" s="1958"/>
      <c r="H2186" s="1958"/>
    </row>
    <row r="2187" spans="5:8">
      <c r="E2187" s="1958"/>
      <c r="G2187" s="1958"/>
      <c r="H2187" s="1958"/>
    </row>
    <row r="2188" spans="5:8">
      <c r="E2188" s="1958"/>
      <c r="G2188" s="1958"/>
      <c r="H2188" s="1958"/>
    </row>
    <row r="2189" spans="5:8">
      <c r="E2189" s="1958"/>
      <c r="G2189" s="1958"/>
      <c r="H2189" s="1958"/>
    </row>
    <row r="2190" spans="5:8">
      <c r="E2190" s="1958"/>
      <c r="G2190" s="1958"/>
      <c r="H2190" s="1958"/>
    </row>
    <row r="2191" spans="5:8">
      <c r="E2191" s="1958"/>
      <c r="G2191" s="1958"/>
      <c r="H2191" s="1958"/>
    </row>
    <row r="2192" spans="5:8">
      <c r="E2192" s="1958"/>
      <c r="G2192" s="1958"/>
      <c r="H2192" s="1958"/>
    </row>
    <row r="2193" spans="5:8">
      <c r="E2193" s="1958"/>
      <c r="G2193" s="1958"/>
      <c r="H2193" s="1958"/>
    </row>
    <row r="2194" spans="5:8">
      <c r="E2194" s="1958"/>
      <c r="G2194" s="1958"/>
      <c r="H2194" s="1958"/>
    </row>
    <row r="2195" spans="5:8">
      <c r="E2195" s="1958"/>
      <c r="G2195" s="1958"/>
      <c r="H2195" s="1958"/>
    </row>
    <row r="2196" spans="5:8">
      <c r="E2196" s="1958"/>
      <c r="G2196" s="1958"/>
      <c r="H2196" s="1958"/>
    </row>
    <row r="2197" spans="5:8">
      <c r="E2197" s="1958"/>
      <c r="G2197" s="1958"/>
      <c r="H2197" s="1958"/>
    </row>
    <row r="2198" spans="5:8">
      <c r="E2198" s="1958"/>
      <c r="G2198" s="1958"/>
      <c r="H2198" s="1958"/>
    </row>
    <row r="2199" spans="5:8">
      <c r="E2199" s="1958"/>
      <c r="G2199" s="1958"/>
      <c r="H2199" s="1958"/>
    </row>
    <row r="2200" spans="5:8">
      <c r="E2200" s="1958"/>
      <c r="G2200" s="1958"/>
      <c r="H2200" s="1958"/>
    </row>
    <row r="2201" spans="5:8">
      <c r="E2201" s="1958"/>
      <c r="G2201" s="1958"/>
      <c r="H2201" s="1958"/>
    </row>
    <row r="2202" spans="5:8">
      <c r="E2202" s="1958"/>
      <c r="G2202" s="1958"/>
      <c r="H2202" s="1958"/>
    </row>
    <row r="2203" spans="5:8">
      <c r="E2203" s="1958"/>
      <c r="G2203" s="1958"/>
      <c r="H2203" s="1958"/>
    </row>
    <row r="2204" spans="5:8">
      <c r="E2204" s="1958"/>
      <c r="G2204" s="1958"/>
      <c r="H2204" s="1958"/>
    </row>
    <row r="2205" spans="5:8">
      <c r="E2205" s="1958"/>
      <c r="G2205" s="1958"/>
      <c r="H2205" s="1958"/>
    </row>
    <row r="2206" spans="5:8">
      <c r="E2206" s="1958"/>
      <c r="G2206" s="1958"/>
      <c r="H2206" s="1958"/>
    </row>
    <row r="2207" spans="5:8">
      <c r="E2207" s="1958"/>
      <c r="G2207" s="1958"/>
      <c r="H2207" s="1958"/>
    </row>
    <row r="2208" spans="5:8">
      <c r="E2208" s="1958"/>
      <c r="G2208" s="1958"/>
      <c r="H2208" s="1958"/>
    </row>
    <row r="2209" spans="5:8">
      <c r="E2209" s="1958"/>
      <c r="G2209" s="1958"/>
      <c r="H2209" s="1958"/>
    </row>
    <row r="2210" spans="5:8">
      <c r="E2210" s="1958"/>
      <c r="G2210" s="1958"/>
      <c r="H2210" s="1958"/>
    </row>
    <row r="2211" spans="5:8">
      <c r="E2211" s="1958"/>
      <c r="G2211" s="1958"/>
      <c r="H2211" s="1958"/>
    </row>
    <row r="2212" spans="5:8">
      <c r="E2212" s="1958"/>
      <c r="G2212" s="1958"/>
      <c r="H2212" s="1958"/>
    </row>
    <row r="2213" spans="5:8">
      <c r="E2213" s="1958"/>
      <c r="G2213" s="1958"/>
      <c r="H2213" s="1958"/>
    </row>
    <row r="2214" spans="5:8">
      <c r="E2214" s="1958"/>
      <c r="G2214" s="1958"/>
      <c r="H2214" s="1958"/>
    </row>
    <row r="2215" spans="5:8">
      <c r="E2215" s="1958"/>
      <c r="G2215" s="1958"/>
      <c r="H2215" s="1958"/>
    </row>
    <row r="2216" spans="5:8">
      <c r="E2216" s="1958"/>
      <c r="G2216" s="1958"/>
      <c r="H2216" s="1958"/>
    </row>
    <row r="2217" spans="5:8">
      <c r="E2217" s="1958"/>
      <c r="G2217" s="1958"/>
      <c r="H2217" s="1958"/>
    </row>
    <row r="2218" spans="5:8">
      <c r="E2218" s="1958"/>
      <c r="G2218" s="1958"/>
      <c r="H2218" s="1958"/>
    </row>
    <row r="2219" spans="5:8">
      <c r="E2219" s="1958"/>
      <c r="G2219" s="1958"/>
      <c r="H2219" s="1958"/>
    </row>
    <row r="2220" spans="5:8">
      <c r="E2220" s="1958"/>
      <c r="G2220" s="1958"/>
      <c r="H2220" s="1958"/>
    </row>
    <row r="2221" spans="5:8">
      <c r="E2221" s="1958"/>
      <c r="G2221" s="1958"/>
      <c r="H2221" s="1958"/>
    </row>
    <row r="2222" spans="5:8">
      <c r="E2222" s="1958"/>
      <c r="G2222" s="1958"/>
      <c r="H2222" s="1958"/>
    </row>
    <row r="2223" spans="5:8">
      <c r="E2223" s="1958"/>
      <c r="G2223" s="1958"/>
      <c r="H2223" s="1958"/>
    </row>
    <row r="2224" spans="5:8">
      <c r="E2224" s="1958"/>
      <c r="G2224" s="1958"/>
      <c r="H2224" s="1958"/>
    </row>
    <row r="2225" spans="5:8">
      <c r="E2225" s="1958"/>
      <c r="G2225" s="1958"/>
      <c r="H2225" s="1958"/>
    </row>
    <row r="2226" spans="5:8">
      <c r="E2226" s="1958"/>
      <c r="G2226" s="1958"/>
      <c r="H2226" s="1958"/>
    </row>
    <row r="2227" spans="5:8">
      <c r="E2227" s="1958"/>
      <c r="G2227" s="1958"/>
      <c r="H2227" s="1958"/>
    </row>
    <row r="2228" spans="5:8">
      <c r="E2228" s="1958"/>
      <c r="G2228" s="1958"/>
      <c r="H2228" s="1958"/>
    </row>
    <row r="2229" spans="5:8">
      <c r="E2229" s="1958"/>
      <c r="G2229" s="1958"/>
      <c r="H2229" s="1958"/>
    </row>
    <row r="2230" spans="5:8">
      <c r="E2230" s="1958"/>
      <c r="G2230" s="1958"/>
      <c r="H2230" s="1958"/>
    </row>
    <row r="2231" spans="5:8">
      <c r="E2231" s="1958"/>
      <c r="G2231" s="1958"/>
      <c r="H2231" s="1958"/>
    </row>
    <row r="2232" spans="5:8">
      <c r="E2232" s="1958"/>
      <c r="G2232" s="1958"/>
      <c r="H2232" s="1958"/>
    </row>
    <row r="2233" spans="5:8">
      <c r="E2233" s="1958"/>
      <c r="G2233" s="1958"/>
      <c r="H2233" s="1958"/>
    </row>
    <row r="2234" spans="5:8">
      <c r="E2234" s="1958"/>
      <c r="G2234" s="1958"/>
      <c r="H2234" s="1958"/>
    </row>
    <row r="2235" spans="5:8">
      <c r="E2235" s="1958"/>
      <c r="G2235" s="1958"/>
      <c r="H2235" s="1958"/>
    </row>
    <row r="2236" spans="5:8">
      <c r="E2236" s="1958"/>
      <c r="G2236" s="1958"/>
      <c r="H2236" s="1958"/>
    </row>
    <row r="2237" spans="5:8">
      <c r="E2237" s="1958"/>
      <c r="G2237" s="1958"/>
      <c r="H2237" s="1958"/>
    </row>
    <row r="2238" spans="5:8">
      <c r="E2238" s="1958"/>
      <c r="G2238" s="1958"/>
      <c r="H2238" s="1958"/>
    </row>
    <row r="2239" spans="5:8">
      <c r="E2239" s="1958"/>
      <c r="G2239" s="1958"/>
      <c r="H2239" s="1958"/>
    </row>
    <row r="2240" spans="5:8">
      <c r="E2240" s="1958"/>
      <c r="G2240" s="1958"/>
      <c r="H2240" s="1958"/>
    </row>
    <row r="2241" spans="5:8">
      <c r="E2241" s="1958"/>
      <c r="G2241" s="1958"/>
      <c r="H2241" s="1958"/>
    </row>
    <row r="2242" spans="5:8">
      <c r="E2242" s="1958"/>
      <c r="G2242" s="1958"/>
      <c r="H2242" s="1958"/>
    </row>
    <row r="2243" spans="5:8">
      <c r="E2243" s="1958"/>
      <c r="G2243" s="1958"/>
      <c r="H2243" s="1958"/>
    </row>
    <row r="2244" spans="5:8">
      <c r="E2244" s="1958"/>
      <c r="G2244" s="1958"/>
      <c r="H2244" s="1958"/>
    </row>
    <row r="2245" spans="5:8">
      <c r="E2245" s="1958"/>
      <c r="G2245" s="1958"/>
      <c r="H2245" s="1958"/>
    </row>
    <row r="2246" spans="5:8">
      <c r="E2246" s="1958"/>
      <c r="G2246" s="1958"/>
      <c r="H2246" s="1958"/>
    </row>
    <row r="2247" spans="5:8">
      <c r="E2247" s="1958"/>
      <c r="G2247" s="1958"/>
      <c r="H2247" s="1958"/>
    </row>
    <row r="2248" spans="5:8">
      <c r="E2248" s="1958"/>
      <c r="G2248" s="1958"/>
      <c r="H2248" s="1958"/>
    </row>
    <row r="2249" spans="5:8">
      <c r="E2249" s="1958"/>
      <c r="G2249" s="1958"/>
      <c r="H2249" s="1958"/>
    </row>
    <row r="2250" spans="5:8">
      <c r="E2250" s="1958"/>
      <c r="G2250" s="1958"/>
      <c r="H2250" s="1958"/>
    </row>
    <row r="2251" spans="5:8">
      <c r="E2251" s="1958"/>
      <c r="G2251" s="1958"/>
      <c r="H2251" s="1958"/>
    </row>
    <row r="2252" spans="5:8">
      <c r="E2252" s="1958"/>
      <c r="G2252" s="1958"/>
      <c r="H2252" s="1958"/>
    </row>
    <row r="2253" spans="5:8">
      <c r="E2253" s="1958"/>
      <c r="G2253" s="1958"/>
      <c r="H2253" s="1958"/>
    </row>
    <row r="2254" spans="5:8">
      <c r="E2254" s="1958"/>
      <c r="G2254" s="1958"/>
      <c r="H2254" s="1958"/>
    </row>
    <row r="2255" spans="5:8">
      <c r="E2255" s="1958"/>
      <c r="G2255" s="1958"/>
      <c r="H2255" s="1958"/>
    </row>
    <row r="2256" spans="5:8">
      <c r="E2256" s="1958"/>
      <c r="G2256" s="1958"/>
      <c r="H2256" s="1958"/>
    </row>
    <row r="2257" spans="5:8">
      <c r="E2257" s="1958"/>
      <c r="G2257" s="1958"/>
      <c r="H2257" s="1958"/>
    </row>
    <row r="2258" spans="5:8">
      <c r="E2258" s="1958"/>
      <c r="G2258" s="1958"/>
      <c r="H2258" s="1958"/>
    </row>
    <row r="2259" spans="5:8">
      <c r="E2259" s="1958"/>
      <c r="G2259" s="1958"/>
      <c r="H2259" s="1958"/>
    </row>
    <row r="2260" spans="5:8">
      <c r="E2260" s="1958"/>
      <c r="G2260" s="1958"/>
      <c r="H2260" s="1958"/>
    </row>
    <row r="2261" spans="5:8">
      <c r="E2261" s="1958"/>
      <c r="G2261" s="1958"/>
      <c r="H2261" s="1958"/>
    </row>
    <row r="2262" spans="5:8">
      <c r="E2262" s="1958"/>
      <c r="G2262" s="1958"/>
      <c r="H2262" s="1958"/>
    </row>
    <row r="2263" spans="5:8">
      <c r="E2263" s="1958"/>
      <c r="G2263" s="1958"/>
      <c r="H2263" s="1958"/>
    </row>
    <row r="2264" spans="5:8">
      <c r="E2264" s="1958"/>
      <c r="G2264" s="1958"/>
      <c r="H2264" s="1958"/>
    </row>
    <row r="2265" spans="5:8">
      <c r="E2265" s="1958"/>
      <c r="G2265" s="1958"/>
      <c r="H2265" s="1958"/>
    </row>
    <row r="2266" spans="5:8">
      <c r="E2266" s="1958"/>
      <c r="G2266" s="1958"/>
      <c r="H2266" s="1958"/>
    </row>
    <row r="2267" spans="5:8">
      <c r="E2267" s="1958"/>
      <c r="G2267" s="1958"/>
      <c r="H2267" s="1958"/>
    </row>
    <row r="2268" spans="5:8">
      <c r="E2268" s="1958"/>
      <c r="G2268" s="1958"/>
      <c r="H2268" s="1958"/>
    </row>
    <row r="2269" spans="5:8">
      <c r="E2269" s="1958"/>
      <c r="G2269" s="1958"/>
      <c r="H2269" s="1958"/>
    </row>
    <row r="2270" spans="5:8">
      <c r="E2270" s="1958"/>
      <c r="G2270" s="1958"/>
      <c r="H2270" s="1958"/>
    </row>
    <row r="2271" spans="5:8">
      <c r="E2271" s="1958"/>
      <c r="G2271" s="1958"/>
      <c r="H2271" s="1958"/>
    </row>
    <row r="2272" spans="5:8">
      <c r="E2272" s="1958"/>
      <c r="G2272" s="1958"/>
      <c r="H2272" s="1958"/>
    </row>
    <row r="2273" spans="5:8">
      <c r="E2273" s="1958"/>
      <c r="G2273" s="1958"/>
      <c r="H2273" s="1958"/>
    </row>
    <row r="2274" spans="5:8">
      <c r="E2274" s="1958"/>
      <c r="G2274" s="1958"/>
      <c r="H2274" s="1958"/>
    </row>
    <row r="2275" spans="5:8">
      <c r="E2275" s="1958"/>
      <c r="G2275" s="1958"/>
      <c r="H2275" s="1958"/>
    </row>
    <row r="2276" spans="5:8">
      <c r="E2276" s="1958"/>
      <c r="G2276" s="1958"/>
      <c r="H2276" s="1958"/>
    </row>
    <row r="2277" spans="5:8">
      <c r="E2277" s="1958"/>
      <c r="G2277" s="1958"/>
      <c r="H2277" s="1958"/>
    </row>
    <row r="2278" spans="5:8">
      <c r="E2278" s="1958"/>
      <c r="G2278" s="1958"/>
      <c r="H2278" s="1958"/>
    </row>
    <row r="2279" spans="5:8">
      <c r="E2279" s="1958"/>
      <c r="G2279" s="1958"/>
      <c r="H2279" s="1958"/>
    </row>
    <row r="2280" spans="5:8">
      <c r="E2280" s="1958"/>
      <c r="G2280" s="1958"/>
      <c r="H2280" s="1958"/>
    </row>
    <row r="2281" spans="5:8">
      <c r="E2281" s="1958"/>
      <c r="G2281" s="1958"/>
      <c r="H2281" s="1958"/>
    </row>
    <row r="2282" spans="5:8">
      <c r="E2282" s="1958"/>
      <c r="G2282" s="1958"/>
      <c r="H2282" s="1958"/>
    </row>
    <row r="2283" spans="5:8">
      <c r="E2283" s="1958"/>
      <c r="G2283" s="1958"/>
      <c r="H2283" s="1958"/>
    </row>
    <row r="2284" spans="5:8">
      <c r="E2284" s="1958"/>
      <c r="G2284" s="1958"/>
      <c r="H2284" s="1958"/>
    </row>
    <row r="2285" spans="5:8">
      <c r="E2285" s="1958"/>
      <c r="G2285" s="1958"/>
      <c r="H2285" s="1958"/>
    </row>
    <row r="2286" spans="5:8">
      <c r="E2286" s="1958"/>
      <c r="G2286" s="1958"/>
      <c r="H2286" s="1958"/>
    </row>
    <row r="2287" spans="5:8">
      <c r="E2287" s="1958"/>
      <c r="G2287" s="1958"/>
      <c r="H2287" s="1958"/>
    </row>
    <row r="2288" spans="5:8">
      <c r="E2288" s="1958"/>
      <c r="G2288" s="1958"/>
      <c r="H2288" s="1958"/>
    </row>
    <row r="2289" spans="5:8">
      <c r="E2289" s="1958"/>
      <c r="G2289" s="1958"/>
      <c r="H2289" s="1958"/>
    </row>
    <row r="2290" spans="5:8">
      <c r="E2290" s="1958"/>
      <c r="G2290" s="1958"/>
      <c r="H2290" s="1958"/>
    </row>
    <row r="2291" spans="5:8">
      <c r="E2291" s="1958"/>
      <c r="G2291" s="1958"/>
      <c r="H2291" s="1958"/>
    </row>
    <row r="2292" spans="5:8">
      <c r="E2292" s="1958"/>
      <c r="G2292" s="1958"/>
      <c r="H2292" s="1958"/>
    </row>
    <row r="2293" spans="5:8">
      <c r="E2293" s="1958"/>
      <c r="G2293" s="1958"/>
      <c r="H2293" s="1958"/>
    </row>
    <row r="2294" spans="5:8">
      <c r="E2294" s="1958"/>
      <c r="G2294" s="1958"/>
      <c r="H2294" s="1958"/>
    </row>
    <row r="2295" spans="5:8">
      <c r="E2295" s="1958"/>
      <c r="G2295" s="1958"/>
      <c r="H2295" s="1958"/>
    </row>
    <row r="2296" spans="5:8">
      <c r="E2296" s="1958"/>
      <c r="G2296" s="1958"/>
      <c r="H2296" s="1958"/>
    </row>
    <row r="2297" spans="5:8">
      <c r="E2297" s="1958"/>
      <c r="G2297" s="1958"/>
      <c r="H2297" s="1958"/>
    </row>
    <row r="2298" spans="5:8">
      <c r="E2298" s="1958"/>
      <c r="G2298" s="1958"/>
      <c r="H2298" s="1958"/>
    </row>
    <row r="2299" spans="5:8">
      <c r="E2299" s="1958"/>
      <c r="G2299" s="1958"/>
      <c r="H2299" s="1958"/>
    </row>
    <row r="2300" spans="5:8">
      <c r="E2300" s="1958"/>
      <c r="G2300" s="1958"/>
      <c r="H2300" s="1958"/>
    </row>
    <row r="2301" spans="5:8">
      <c r="E2301" s="1958"/>
      <c r="G2301" s="1958"/>
      <c r="H2301" s="1958"/>
    </row>
    <row r="2302" spans="5:8">
      <c r="E2302" s="1958"/>
      <c r="G2302" s="1958"/>
      <c r="H2302" s="1958"/>
    </row>
    <row r="2303" spans="5:8">
      <c r="E2303" s="1958"/>
      <c r="G2303" s="1958"/>
      <c r="H2303" s="1958"/>
    </row>
    <row r="2304" spans="5:8">
      <c r="E2304" s="1958"/>
      <c r="G2304" s="1958"/>
      <c r="H2304" s="1958"/>
    </row>
    <row r="2305" spans="5:8">
      <c r="E2305" s="1958"/>
      <c r="G2305" s="1958"/>
      <c r="H2305" s="1958"/>
    </row>
    <row r="2306" spans="5:8">
      <c r="E2306" s="1958"/>
      <c r="G2306" s="1958"/>
      <c r="H2306" s="1958"/>
    </row>
    <row r="2307" spans="5:8">
      <c r="E2307" s="1958"/>
      <c r="G2307" s="1958"/>
      <c r="H2307" s="1958"/>
    </row>
    <row r="2308" spans="5:8">
      <c r="E2308" s="1958"/>
      <c r="G2308" s="1958"/>
      <c r="H2308" s="1958"/>
    </row>
    <row r="2309" spans="5:8">
      <c r="E2309" s="1958"/>
      <c r="G2309" s="1958"/>
      <c r="H2309" s="1958"/>
    </row>
    <row r="2310" spans="5:8">
      <c r="E2310" s="1958"/>
      <c r="G2310" s="1958"/>
      <c r="H2310" s="1958"/>
    </row>
    <row r="2311" spans="5:8">
      <c r="E2311" s="1958"/>
      <c r="G2311" s="1958"/>
      <c r="H2311" s="1958"/>
    </row>
    <row r="2312" spans="5:8">
      <c r="E2312" s="1958"/>
      <c r="G2312" s="1958"/>
      <c r="H2312" s="1958"/>
    </row>
    <row r="2313" spans="5:8">
      <c r="E2313" s="1958"/>
      <c r="G2313" s="1958"/>
      <c r="H2313" s="1958"/>
    </row>
    <row r="2314" spans="5:8">
      <c r="E2314" s="1958"/>
      <c r="G2314" s="1958"/>
      <c r="H2314" s="1958"/>
    </row>
    <row r="2315" spans="5:8">
      <c r="E2315" s="1958"/>
      <c r="G2315" s="1958"/>
      <c r="H2315" s="1958"/>
    </row>
    <row r="2316" spans="5:8">
      <c r="E2316" s="1958"/>
      <c r="G2316" s="1958"/>
      <c r="H2316" s="1958"/>
    </row>
    <row r="2317" spans="5:8">
      <c r="E2317" s="1958"/>
      <c r="G2317" s="1958"/>
      <c r="H2317" s="1958"/>
    </row>
    <row r="2318" spans="5:8">
      <c r="E2318" s="1958"/>
      <c r="G2318" s="1958"/>
      <c r="H2318" s="1958"/>
    </row>
    <row r="2319" spans="5:8">
      <c r="E2319" s="1958"/>
      <c r="G2319" s="1958"/>
      <c r="H2319" s="1958"/>
    </row>
    <row r="2320" spans="5:8">
      <c r="E2320" s="1958"/>
      <c r="G2320" s="1958"/>
      <c r="H2320" s="1958"/>
    </row>
    <row r="2321" spans="5:8">
      <c r="E2321" s="1958"/>
      <c r="G2321" s="1958"/>
      <c r="H2321" s="1958"/>
    </row>
    <row r="2322" spans="5:8">
      <c r="E2322" s="1958"/>
      <c r="G2322" s="1958"/>
      <c r="H2322" s="1958"/>
    </row>
    <row r="2323" spans="5:8">
      <c r="E2323" s="1958"/>
      <c r="G2323" s="1958"/>
      <c r="H2323" s="1958"/>
    </row>
    <row r="2324" spans="5:8">
      <c r="E2324" s="1958"/>
      <c r="G2324" s="1958"/>
      <c r="H2324" s="1958"/>
    </row>
    <row r="2325" spans="5:8" s="1958" customFormat="1" ht="12" customHeight="1"/>
    <row r="2326" spans="5:8" s="1958" customFormat="1"/>
    <row r="2327" spans="5:8" s="1958" customFormat="1"/>
    <row r="2328" spans="5:8" s="1958" customFormat="1"/>
    <row r="2329" spans="5:8" s="1958" customFormat="1"/>
    <row r="2330" spans="5:8" s="1958" customFormat="1"/>
    <row r="2331" spans="5:8" s="1958" customFormat="1"/>
    <row r="2332" spans="5:8" s="1958" customFormat="1"/>
    <row r="2333" spans="5:8" s="1958" customFormat="1"/>
    <row r="2334" spans="5:8" s="1958" customFormat="1"/>
    <row r="2335" spans="5:8" s="1958" customFormat="1"/>
    <row r="2336" spans="5:8" s="1958" customFormat="1"/>
    <row r="2337" s="1958" customFormat="1"/>
    <row r="2338" s="1958" customFormat="1"/>
    <row r="2339" s="1958" customFormat="1"/>
    <row r="2340" s="1958" customFormat="1"/>
    <row r="2341" s="1958" customFormat="1"/>
    <row r="2342" s="1958" customFormat="1"/>
    <row r="2343" s="1958" customFormat="1"/>
    <row r="2344" s="1958" customFormat="1"/>
    <row r="2345" s="1958" customFormat="1"/>
    <row r="2346" s="1958" customFormat="1"/>
    <row r="2347" s="1958" customFormat="1"/>
    <row r="2348" s="1958" customFormat="1"/>
    <row r="2349" s="1958" customFormat="1"/>
    <row r="2350" s="1958" customFormat="1"/>
    <row r="2351" s="1958" customFormat="1"/>
    <row r="2352" s="1958" customFormat="1"/>
    <row r="2353" s="1958" customFormat="1"/>
    <row r="2354" s="1958" customFormat="1"/>
    <row r="2355" s="1958" customFormat="1"/>
    <row r="2356" s="1958" customFormat="1"/>
    <row r="2357" s="1958" customFormat="1"/>
    <row r="2358" s="1958" customFormat="1"/>
    <row r="2359" s="1958" customFormat="1"/>
    <row r="2360" s="1958" customFormat="1"/>
    <row r="2361" s="1958" customFormat="1"/>
    <row r="2362" s="1958" customFormat="1"/>
    <row r="2363" s="1958" customFormat="1"/>
    <row r="2364" s="1958" customFormat="1"/>
    <row r="2365" s="1958" customFormat="1"/>
    <row r="2366" s="1958" customFormat="1"/>
    <row r="2367" s="1958" customFormat="1"/>
    <row r="2368" s="1958" customFormat="1"/>
    <row r="2369" s="1958" customFormat="1"/>
    <row r="2370" s="1958" customFormat="1"/>
    <row r="2371" s="1958" customFormat="1"/>
    <row r="2372" s="1958" customFormat="1"/>
    <row r="2373" s="1958" customFormat="1"/>
    <row r="2374" s="1958" customFormat="1"/>
    <row r="2375" s="1958" customFormat="1"/>
    <row r="2376" s="1958" customFormat="1"/>
    <row r="2377" s="1958" customFormat="1"/>
    <row r="2378" s="1958" customFormat="1"/>
    <row r="2379" s="1958" customFormat="1"/>
    <row r="2380" s="1958" customFormat="1"/>
    <row r="2381" s="1958" customFormat="1"/>
    <row r="2382" s="1958" customFormat="1"/>
    <row r="2383" s="1958" customFormat="1"/>
    <row r="2384" s="1958" customFormat="1"/>
    <row r="2385" s="1958" customFormat="1"/>
    <row r="2386" s="1958" customFormat="1"/>
    <row r="2387" s="1958" customFormat="1"/>
    <row r="2388" s="1958" customFormat="1"/>
    <row r="2389" s="1958" customFormat="1"/>
    <row r="2390" s="1958" customFormat="1"/>
    <row r="2391" s="1958" customFormat="1"/>
    <row r="2392" s="1958" customFormat="1"/>
    <row r="2393" s="1958" customFormat="1"/>
    <row r="2394" s="1958" customFormat="1"/>
    <row r="2395" s="1958" customFormat="1"/>
    <row r="2396" s="1958" customFormat="1"/>
    <row r="2397" s="1958" customFormat="1"/>
    <row r="2398" s="1958" customFormat="1"/>
    <row r="2399" s="1958" customFormat="1"/>
    <row r="2400" s="1958" customFormat="1"/>
    <row r="2401" s="1958" customFormat="1"/>
    <row r="2402" s="1958" customFormat="1"/>
    <row r="2403" s="1958" customFormat="1"/>
    <row r="2404" s="1958" customFormat="1"/>
    <row r="2405" s="1958" customFormat="1"/>
    <row r="2406" s="1958" customFormat="1"/>
    <row r="2407" s="1958" customFormat="1"/>
    <row r="2408" s="1958" customFormat="1"/>
    <row r="2409" s="1958" customFormat="1"/>
    <row r="2410" s="1958" customFormat="1"/>
    <row r="2411" s="1958" customFormat="1"/>
    <row r="2412" s="1958" customFormat="1"/>
    <row r="2413" s="1958" customFormat="1"/>
    <row r="2414" s="1958" customFormat="1"/>
    <row r="2415" s="1958" customFormat="1"/>
    <row r="2416" s="1958" customFormat="1"/>
    <row r="2417" s="1958" customFormat="1"/>
    <row r="2418" s="1958" customFormat="1"/>
    <row r="2419" s="1958" customFormat="1"/>
    <row r="2420" s="1958" customFormat="1"/>
    <row r="2421" s="1958" customFormat="1"/>
    <row r="2422" s="1958" customFormat="1"/>
    <row r="2423" s="1958" customFormat="1"/>
    <row r="2424" s="1958" customFormat="1"/>
    <row r="2425" s="1958" customFormat="1"/>
    <row r="2426" s="1958" customFormat="1"/>
    <row r="2427" s="1958" customFormat="1"/>
    <row r="2428" s="1958" customFormat="1"/>
    <row r="2429" s="1958" customFormat="1"/>
    <row r="2430" s="1958" customFormat="1"/>
    <row r="2431" s="1958" customFormat="1"/>
    <row r="2432" s="1958" customFormat="1"/>
    <row r="2433" s="1958" customFormat="1"/>
    <row r="2434" s="1958" customFormat="1"/>
    <row r="2435" s="1958" customFormat="1"/>
    <row r="2436" s="1958" customFormat="1"/>
    <row r="2437" s="1958" customFormat="1"/>
    <row r="2438" s="1958" customFormat="1"/>
    <row r="2439" s="1958" customFormat="1"/>
    <row r="2440" s="1958" customFormat="1"/>
    <row r="2441" s="1958" customFormat="1"/>
    <row r="2442" s="1958" customFormat="1"/>
    <row r="2443" s="1958" customFormat="1"/>
    <row r="2444" s="1958" customFormat="1"/>
    <row r="2445" s="1958" customFormat="1"/>
    <row r="2446" s="1958" customFormat="1"/>
    <row r="2447" s="1958" customFormat="1"/>
    <row r="2448" s="1958" customFormat="1"/>
    <row r="2449" s="1958" customFormat="1"/>
    <row r="2450" s="1958" customFormat="1"/>
    <row r="2451" s="1958" customFormat="1"/>
    <row r="2452" s="1958" customFormat="1"/>
    <row r="2453" s="1958" customFormat="1"/>
    <row r="2454" s="1958" customFormat="1"/>
    <row r="2455" s="1958" customFormat="1"/>
    <row r="2456" s="1958" customFormat="1"/>
    <row r="2457" s="1958" customFormat="1"/>
    <row r="2458" s="1958" customFormat="1"/>
    <row r="2459" s="1958" customFormat="1"/>
    <row r="2460" s="1958" customFormat="1"/>
    <row r="2461" s="1958" customFormat="1"/>
    <row r="2462" s="1958" customFormat="1"/>
    <row r="2463" s="1958" customFormat="1"/>
    <row r="2464" s="1958" customFormat="1"/>
    <row r="2465" s="1958" customFormat="1"/>
    <row r="2466" s="1958" customFormat="1"/>
    <row r="2467" s="1958" customFormat="1"/>
    <row r="2468" s="1958" customFormat="1"/>
    <row r="2469" s="1958" customFormat="1"/>
    <row r="2470" s="1958" customFormat="1"/>
    <row r="2471" s="1958" customFormat="1"/>
    <row r="2472" s="1958" customFormat="1"/>
    <row r="2473" s="1958" customFormat="1"/>
    <row r="2474" s="1958" customFormat="1"/>
    <row r="2475" s="1958" customFormat="1"/>
    <row r="2476" s="1958" customFormat="1"/>
    <row r="2477" s="1958" customFormat="1"/>
    <row r="2478" s="1958" customFormat="1"/>
    <row r="2479" s="1958" customFormat="1"/>
    <row r="2480" s="1958" customFormat="1"/>
    <row r="2481" s="1958" customFormat="1"/>
    <row r="2482" s="1958" customFormat="1"/>
    <row r="2483" s="1958" customFormat="1"/>
    <row r="2484" s="1958" customFormat="1"/>
    <row r="2485" s="1958" customFormat="1"/>
    <row r="2486" s="1958" customFormat="1"/>
    <row r="2487" s="1958" customFormat="1"/>
    <row r="2488" s="1958" customFormat="1"/>
    <row r="2489" s="1958" customFormat="1"/>
    <row r="2490" s="1958" customFormat="1"/>
    <row r="2491" s="1958" customFormat="1"/>
    <row r="2492" s="1958" customFormat="1"/>
    <row r="2493" s="1958" customFormat="1"/>
    <row r="2494" s="1958" customFormat="1"/>
    <row r="2495" s="1958" customFormat="1"/>
    <row r="2496" s="1958" customFormat="1"/>
    <row r="2497" s="1958" customFormat="1"/>
    <row r="2498" s="1958" customFormat="1"/>
    <row r="2499" s="1958" customFormat="1"/>
    <row r="2500" s="1958" customFormat="1"/>
    <row r="2501" s="1958" customFormat="1"/>
    <row r="2502" s="1958" customFormat="1"/>
    <row r="2503" s="1958" customFormat="1"/>
    <row r="2504" s="1958" customFormat="1"/>
    <row r="2505" s="1958" customFormat="1"/>
    <row r="2506" s="1958" customFormat="1"/>
    <row r="2507" s="1958" customFormat="1"/>
    <row r="2508" s="1958" customFormat="1"/>
    <row r="2509" s="1958" customFormat="1"/>
    <row r="2510" s="1958" customFormat="1"/>
    <row r="2511" s="1958" customFormat="1"/>
    <row r="2512" s="1958" customFormat="1"/>
    <row r="2513" s="1958" customFormat="1"/>
    <row r="2514" s="1958" customFormat="1"/>
    <row r="2515" s="1958" customFormat="1"/>
    <row r="2516" s="1958" customFormat="1"/>
    <row r="2517" s="1958" customFormat="1"/>
    <row r="2518" s="1958" customFormat="1"/>
    <row r="2519" s="1958" customFormat="1"/>
    <row r="2520" s="1958" customFormat="1"/>
    <row r="2521" s="1958" customFormat="1"/>
    <row r="2522" s="1958" customFormat="1"/>
    <row r="2523" s="1958" customFormat="1"/>
    <row r="2524" s="1958" customFormat="1"/>
    <row r="2525" s="1958" customFormat="1"/>
    <row r="2526" s="1958" customFormat="1"/>
    <row r="2527" s="1958" customFormat="1"/>
    <row r="2528" s="1958" customFormat="1"/>
    <row r="2529" s="1958" customFormat="1"/>
    <row r="2530" s="1958" customFormat="1"/>
    <row r="2531" s="1958" customFormat="1"/>
    <row r="2532" s="1958" customFormat="1"/>
    <row r="2533" s="1958" customFormat="1"/>
    <row r="2534" s="1958" customFormat="1"/>
    <row r="2535" s="1958" customFormat="1"/>
    <row r="2536" s="1958" customFormat="1"/>
    <row r="2537" s="1958" customFormat="1"/>
    <row r="2538" s="1958" customFormat="1"/>
    <row r="2539" s="1958" customFormat="1"/>
    <row r="2540" s="1958" customFormat="1"/>
    <row r="2541" s="1958" customFormat="1"/>
    <row r="2542" s="1958" customFormat="1"/>
    <row r="2543" s="1958" customFormat="1"/>
    <row r="2544" s="1958" customFormat="1"/>
    <row r="2545" s="1958" customFormat="1"/>
    <row r="2546" s="1958" customFormat="1"/>
    <row r="2547" s="1958" customFormat="1"/>
    <row r="2548" s="1958" customFormat="1"/>
    <row r="2549" s="1958" customFormat="1"/>
    <row r="2550" s="1958" customFormat="1"/>
    <row r="2551" s="1958" customFormat="1"/>
    <row r="2552" s="1958" customFormat="1"/>
    <row r="2553" s="1958" customFormat="1"/>
    <row r="2554" s="1958" customFormat="1"/>
    <row r="2555" s="1958" customFormat="1"/>
    <row r="2556" s="1958" customFormat="1"/>
    <row r="2557" s="1958" customFormat="1"/>
    <row r="2558" s="1958" customFormat="1"/>
    <row r="2559" s="1958" customFormat="1"/>
    <row r="2560" s="1958" customFormat="1"/>
    <row r="2561" s="1958" customFormat="1"/>
    <row r="2562" s="1958" customFormat="1"/>
    <row r="2563" s="1958" customFormat="1"/>
    <row r="2564" s="1958" customFormat="1"/>
    <row r="2565" s="1958" customFormat="1"/>
    <row r="2566" s="1958" customFormat="1"/>
    <row r="2567" s="1958" customFormat="1"/>
    <row r="2568" s="1958" customFormat="1"/>
    <row r="2569" s="1958" customFormat="1"/>
    <row r="2570" s="1958" customFormat="1"/>
    <row r="2571" s="1958" customFormat="1"/>
    <row r="2572" s="1958" customFormat="1"/>
    <row r="2573" s="1958" customFormat="1"/>
    <row r="2574" s="1958" customFormat="1"/>
    <row r="2575" s="1958" customFormat="1"/>
    <row r="2576" s="1958" customFormat="1"/>
    <row r="2577" s="1958" customFormat="1"/>
    <row r="2578" s="1958" customFormat="1"/>
    <row r="2579" s="1958" customFormat="1"/>
    <row r="2580" s="1958" customFormat="1"/>
    <row r="2581" s="1958" customFormat="1"/>
    <row r="2582" s="1958" customFormat="1"/>
    <row r="2583" s="1958" customFormat="1"/>
    <row r="2584" s="1958" customFormat="1"/>
    <row r="2585" s="1958" customFormat="1"/>
    <row r="2586" s="1958" customFormat="1"/>
    <row r="2587" s="1958" customFormat="1"/>
    <row r="2588" s="1958" customFormat="1"/>
    <row r="2589" s="1958" customFormat="1"/>
    <row r="2590" s="1958" customFormat="1"/>
    <row r="2591" s="1958" customFormat="1"/>
    <row r="2592" s="1958" customFormat="1"/>
    <row r="2593" s="1958" customFormat="1"/>
    <row r="2594" s="1958" customFormat="1"/>
    <row r="2595" s="1958" customFormat="1"/>
    <row r="2596" s="1958" customFormat="1"/>
    <row r="2597" s="1958" customFormat="1"/>
    <row r="2598" s="1958" customFormat="1"/>
    <row r="2599" s="1958" customFormat="1"/>
    <row r="2600" s="1958" customFormat="1"/>
    <row r="2601" s="1958" customFormat="1"/>
    <row r="2602" s="1958" customFormat="1"/>
    <row r="2603" s="1958" customFormat="1"/>
    <row r="2604" s="1958" customFormat="1"/>
    <row r="2605" s="1958" customFormat="1"/>
    <row r="2606" s="1958" customFormat="1"/>
    <row r="2607" s="1958" customFormat="1"/>
    <row r="2608" s="1958" customFormat="1"/>
    <row r="2609" s="1958" customFormat="1"/>
    <row r="2610" s="1958" customFormat="1"/>
    <row r="2611" s="1958" customFormat="1"/>
    <row r="2612" s="1958" customFormat="1"/>
    <row r="2613" s="1958" customFormat="1"/>
    <row r="2614" s="1958" customFormat="1"/>
    <row r="2615" s="1958" customFormat="1"/>
    <row r="2616" s="1958" customFormat="1"/>
    <row r="2617" s="1958" customFormat="1"/>
    <row r="2618" s="1958" customFormat="1"/>
    <row r="2619" s="1958" customFormat="1"/>
    <row r="2620" s="1958" customFormat="1"/>
    <row r="2621" s="1958" customFormat="1"/>
    <row r="2622" s="1958" customFormat="1"/>
    <row r="2623" s="1958" customFormat="1"/>
    <row r="2624" s="1958" customFormat="1"/>
    <row r="2625" s="1958" customFormat="1"/>
    <row r="2626" s="1958" customFormat="1"/>
    <row r="2627" s="1958" customFormat="1"/>
    <row r="2628" s="1958" customFormat="1"/>
    <row r="2629" s="1958" customFormat="1"/>
    <row r="2630" s="1958" customFormat="1"/>
    <row r="2631" s="1958" customFormat="1"/>
    <row r="2632" s="1958" customFormat="1"/>
    <row r="2633" s="1958" customFormat="1"/>
    <row r="2634" s="1958" customFormat="1"/>
    <row r="2635" s="1958" customFormat="1"/>
    <row r="2636" s="1958" customFormat="1"/>
    <row r="2637" s="1958" customFormat="1"/>
    <row r="2638" s="1958" customFormat="1"/>
    <row r="2639" s="1958" customFormat="1"/>
    <row r="2640" s="1958" customFormat="1"/>
    <row r="2641" s="1958" customFormat="1"/>
    <row r="2642" s="1958" customFormat="1"/>
    <row r="2643" s="1958" customFormat="1"/>
    <row r="2644" s="1958" customFormat="1"/>
    <row r="2645" s="1958" customFormat="1"/>
    <row r="2646" s="1958" customFormat="1"/>
    <row r="2647" s="1958" customFormat="1"/>
    <row r="2648" s="1958" customFormat="1"/>
    <row r="2649" s="1958" customFormat="1"/>
    <row r="2650" s="1958" customFormat="1"/>
    <row r="2651" s="1958" customFormat="1"/>
    <row r="2652" s="1958" customFormat="1"/>
    <row r="2653" s="1958" customFormat="1"/>
    <row r="2654" s="1958" customFormat="1"/>
    <row r="2655" s="1958" customFormat="1"/>
    <row r="2656" s="1958" customFormat="1"/>
    <row r="2657" s="1958" customFormat="1"/>
    <row r="2658" s="1958" customFormat="1"/>
    <row r="2659" s="1958" customFormat="1"/>
    <row r="2660" s="1958" customFormat="1"/>
    <row r="2661" s="1958" customFormat="1"/>
    <row r="2662" s="1958" customFormat="1"/>
    <row r="2663" s="1958" customFormat="1"/>
    <row r="2664" s="1958" customFormat="1"/>
    <row r="2665" s="1958" customFormat="1"/>
    <row r="2666" s="1958" customFormat="1"/>
    <row r="2667" s="1958" customFormat="1"/>
    <row r="2668" s="1958" customFormat="1"/>
    <row r="2669" s="1958" customFormat="1"/>
    <row r="2670" s="1958" customFormat="1"/>
    <row r="2671" s="1958" customFormat="1"/>
    <row r="2672" s="1958" customFormat="1"/>
    <row r="2673" s="1958" customFormat="1"/>
    <row r="2674" s="1958" customFormat="1"/>
    <row r="2675" s="1958" customFormat="1"/>
    <row r="2676" s="1958" customFormat="1"/>
    <row r="2677" s="1958" customFormat="1"/>
    <row r="2678" s="1958" customFormat="1"/>
    <row r="2679" s="1958" customFormat="1"/>
    <row r="2680" s="1958" customFormat="1"/>
    <row r="2681" s="1958" customFormat="1"/>
    <row r="2682" s="1958" customFormat="1"/>
    <row r="2683" s="1958" customFormat="1"/>
    <row r="2684" s="1958" customFormat="1"/>
    <row r="2685" s="1958" customFormat="1"/>
    <row r="2686" s="1958" customFormat="1"/>
    <row r="2687" s="1958" customFormat="1"/>
    <row r="2688" s="1958" customFormat="1"/>
    <row r="2689" s="1958" customFormat="1"/>
    <row r="2690" s="1958" customFormat="1"/>
    <row r="2691" s="1958" customFormat="1"/>
    <row r="2692" s="1958" customFormat="1"/>
    <row r="2693" s="1958" customFormat="1"/>
    <row r="2694" s="1958" customFormat="1"/>
    <row r="2695" s="1958" customFormat="1"/>
    <row r="2696" s="1958" customFormat="1"/>
    <row r="2697" s="1958" customFormat="1"/>
    <row r="2698" s="1958" customFormat="1"/>
    <row r="2699" s="1958" customFormat="1"/>
    <row r="2700" s="1958" customFormat="1"/>
    <row r="2701" s="1958" customFormat="1"/>
    <row r="2702" s="1958" customFormat="1"/>
    <row r="2703" s="1958" customFormat="1"/>
    <row r="2704" s="1958" customFormat="1"/>
    <row r="2705" s="1958" customFormat="1"/>
    <row r="2706" s="1958" customFormat="1"/>
    <row r="2707" s="1958" customFormat="1"/>
    <row r="2708" s="1958" customFormat="1"/>
    <row r="2709" s="1958" customFormat="1"/>
    <row r="2710" s="1958" customFormat="1"/>
    <row r="2711" s="1958" customFormat="1"/>
    <row r="2712" s="1958" customFormat="1"/>
    <row r="2713" s="1958" customFormat="1"/>
    <row r="2714" s="1958" customFormat="1"/>
    <row r="2715" s="1958" customFormat="1"/>
    <row r="2716" s="1958" customFormat="1"/>
    <row r="2717" s="1958" customFormat="1"/>
    <row r="2718" s="1958" customFormat="1"/>
    <row r="2719" s="1958" customFormat="1"/>
    <row r="2720" s="1958" customFormat="1"/>
    <row r="2721" s="1958" customFormat="1"/>
    <row r="2722" s="1958" customFormat="1"/>
    <row r="2723" s="1958" customFormat="1"/>
    <row r="2724" s="1958" customFormat="1"/>
    <row r="2725" s="1958" customFormat="1"/>
    <row r="2726" s="1958" customFormat="1"/>
    <row r="2727" s="1958" customFormat="1"/>
    <row r="2728" s="1958" customFormat="1"/>
    <row r="2729" s="1958" customFormat="1"/>
    <row r="2730" s="1958" customFormat="1"/>
    <row r="2731" s="1958" customFormat="1"/>
    <row r="2732" s="1958" customFormat="1"/>
    <row r="2733" s="1958" customFormat="1"/>
    <row r="2734" s="1958" customFormat="1"/>
    <row r="2735" s="1958" customFormat="1"/>
    <row r="2736" s="1958" customFormat="1"/>
    <row r="2737" s="1958" customFormat="1"/>
    <row r="2738" s="1958" customFormat="1"/>
    <row r="2739" s="1958" customFormat="1"/>
    <row r="2740" s="1958" customFormat="1"/>
    <row r="2741" s="1958" customFormat="1"/>
    <row r="2742" s="1958" customFormat="1"/>
    <row r="2743" s="1958" customFormat="1"/>
    <row r="2744" s="1958" customFormat="1"/>
    <row r="2745" s="1958" customFormat="1"/>
    <row r="2746" s="1958" customFormat="1"/>
    <row r="2747" s="1958" customFormat="1"/>
    <row r="2748" s="1958" customFormat="1"/>
    <row r="2749" s="1958" customFormat="1"/>
    <row r="2750" s="1958" customFormat="1"/>
    <row r="2751" s="1958" customFormat="1"/>
    <row r="2752" s="1958" customFormat="1"/>
    <row r="2753" s="1958" customFormat="1"/>
    <row r="2754" s="1958" customFormat="1"/>
    <row r="2755" s="1958" customFormat="1"/>
    <row r="2756" s="1958" customFormat="1"/>
    <row r="2757" s="1958" customFormat="1"/>
    <row r="2758" s="1958" customFormat="1"/>
    <row r="2759" s="1958" customFormat="1"/>
    <row r="2760" s="1958" customFormat="1"/>
    <row r="2761" s="1958" customFormat="1"/>
    <row r="2762" s="1958" customFormat="1"/>
    <row r="2763" s="1958" customFormat="1"/>
    <row r="2764" s="1958" customFormat="1"/>
    <row r="2765" s="1958" customFormat="1"/>
    <row r="2766" s="1958" customFormat="1"/>
    <row r="2767" s="1958" customFormat="1"/>
    <row r="2768" s="1958" customFormat="1"/>
    <row r="2769" s="1958" customFormat="1"/>
    <row r="2770" s="1958" customFormat="1"/>
    <row r="2771" s="1958" customFormat="1"/>
    <row r="2772" s="1958" customFormat="1"/>
    <row r="2773" s="1958" customFormat="1"/>
    <row r="2774" s="1958" customFormat="1"/>
    <row r="2775" s="1958" customFormat="1"/>
    <row r="2776" s="1958" customFormat="1"/>
    <row r="2777" s="1958" customFormat="1"/>
    <row r="2778" s="1958" customFormat="1"/>
    <row r="2779" s="1958" customFormat="1"/>
    <row r="2780" s="1958" customFormat="1"/>
    <row r="2781" s="1958" customFormat="1"/>
    <row r="2782" s="1958" customFormat="1"/>
    <row r="2783" s="1958" customFormat="1"/>
    <row r="2784" s="1958" customFormat="1"/>
    <row r="2785" s="1958" customFormat="1"/>
    <row r="2786" s="1958" customFormat="1"/>
    <row r="2787" s="1958" customFormat="1"/>
    <row r="2788" s="1958" customFormat="1"/>
    <row r="2789" s="1958" customFormat="1"/>
    <row r="2790" s="1958" customFormat="1"/>
    <row r="2791" s="1958" customFormat="1"/>
    <row r="2792" s="1958" customFormat="1"/>
    <row r="2793" s="1958" customFormat="1"/>
    <row r="2794" s="1958" customFormat="1"/>
    <row r="2795" s="1958" customFormat="1"/>
    <row r="2796" s="1958" customFormat="1"/>
    <row r="2797" s="1958" customFormat="1"/>
    <row r="2798" s="1958" customFormat="1"/>
    <row r="2799" s="1958" customFormat="1"/>
    <row r="2800" s="1958" customFormat="1"/>
    <row r="2801" s="1958" customFormat="1"/>
    <row r="2802" s="1958" customFormat="1"/>
    <row r="2803" s="1958" customFormat="1"/>
    <row r="2804" s="1958" customFormat="1"/>
    <row r="2805" s="1958" customFormat="1"/>
    <row r="2806" s="1958" customFormat="1"/>
    <row r="2807" s="1958" customFormat="1"/>
    <row r="2808" s="1958" customFormat="1"/>
    <row r="2809" s="1958" customFormat="1"/>
    <row r="2810" s="1958" customFormat="1"/>
    <row r="2811" s="1958" customFormat="1"/>
    <row r="2812" s="1958" customFormat="1"/>
    <row r="2813" s="1958" customFormat="1"/>
    <row r="2814" s="1958" customFormat="1"/>
    <row r="2815" s="1958" customFormat="1"/>
    <row r="2816" s="1958" customFormat="1"/>
    <row r="2817" s="1958" customFormat="1"/>
    <row r="2818" s="1958" customFormat="1"/>
    <row r="2819" s="1958" customFormat="1"/>
    <row r="2820" s="1958" customFormat="1"/>
    <row r="2821" s="1958" customFormat="1"/>
    <row r="2822" s="1958" customFormat="1"/>
    <row r="2823" s="1958" customFormat="1"/>
    <row r="2824" s="1958" customFormat="1"/>
    <row r="2825" s="1958" customFormat="1"/>
    <row r="2826" s="1958" customFormat="1"/>
    <row r="2827" s="1958" customFormat="1"/>
    <row r="2828" s="1958" customFormat="1"/>
    <row r="2829" s="1958" customFormat="1"/>
    <row r="2830" s="1958" customFormat="1"/>
    <row r="2831" s="1958" customFormat="1"/>
    <row r="2832" s="1958" customFormat="1"/>
    <row r="2833" s="1958" customFormat="1"/>
    <row r="2834" s="1958" customFormat="1"/>
    <row r="2835" s="1958" customFormat="1"/>
    <row r="2836" s="1958" customFormat="1"/>
    <row r="2837" s="1958" customFormat="1"/>
    <row r="2838" s="1958" customFormat="1"/>
    <row r="2839" s="1958" customFormat="1"/>
    <row r="2840" s="1958" customFormat="1"/>
    <row r="2841" s="1958" customFormat="1"/>
    <row r="2842" s="1958" customFormat="1"/>
    <row r="2843" s="1958" customFormat="1"/>
    <row r="2844" s="1958" customFormat="1"/>
    <row r="2845" s="1958" customFormat="1"/>
    <row r="2846" s="1958" customFormat="1"/>
    <row r="2847" s="1958" customFormat="1"/>
    <row r="2848" s="1958" customFormat="1"/>
    <row r="2849" s="1958" customFormat="1"/>
    <row r="2850" s="1958" customFormat="1"/>
    <row r="2851" s="1958" customFormat="1"/>
    <row r="2852" s="1958" customFormat="1"/>
    <row r="2853" s="1958" customFormat="1"/>
    <row r="2854" s="1958" customFormat="1"/>
    <row r="2855" s="1958" customFormat="1"/>
    <row r="2856" s="1958" customFormat="1"/>
    <row r="2857" s="1958" customFormat="1"/>
    <row r="2858" s="1958" customFormat="1"/>
    <row r="2859" s="1958" customFormat="1"/>
    <row r="2860" s="1958" customFormat="1"/>
    <row r="2861" s="1958" customFormat="1"/>
    <row r="2862" s="1958" customFormat="1"/>
    <row r="2863" s="1958" customFormat="1"/>
    <row r="2864" s="1958" customFormat="1"/>
    <row r="2865" s="1958" customFormat="1"/>
    <row r="2866" s="1958" customFormat="1"/>
    <row r="2867" s="1958" customFormat="1"/>
    <row r="2868" s="1958" customFormat="1"/>
    <row r="2869" s="1958" customFormat="1"/>
    <row r="2870" s="1958" customFormat="1"/>
    <row r="2871" s="1958" customFormat="1"/>
    <row r="2872" s="1958" customFormat="1"/>
    <row r="2873" s="1958" customFormat="1"/>
    <row r="2874" s="1958" customFormat="1"/>
    <row r="2875" s="1958" customFormat="1"/>
    <row r="2876" s="1958" customFormat="1"/>
    <row r="2877" s="1958" customFormat="1"/>
    <row r="2878" s="1958" customFormat="1"/>
    <row r="2879" s="1958" customFormat="1"/>
    <row r="2880" s="1958" customFormat="1"/>
    <row r="2881" s="1958" customFormat="1"/>
    <row r="2882" s="1958" customFormat="1"/>
    <row r="2883" s="1958" customFormat="1"/>
    <row r="2884" s="1958" customFormat="1"/>
    <row r="2885" s="1958" customFormat="1"/>
    <row r="2886" s="1958" customFormat="1"/>
    <row r="2887" s="1958" customFormat="1"/>
    <row r="2888" s="1958" customFormat="1"/>
    <row r="2889" s="1958" customFormat="1"/>
    <row r="2890" s="1958" customFormat="1"/>
    <row r="2891" s="1958" customFormat="1"/>
    <row r="2892" s="1958" customFormat="1"/>
    <row r="2893" s="1958" customFormat="1"/>
    <row r="2894" s="1958" customFormat="1"/>
    <row r="2895" s="1958" customFormat="1"/>
    <row r="2896" s="1958" customFormat="1"/>
    <row r="2897" s="1958" customFormat="1"/>
    <row r="2898" s="1958" customFormat="1"/>
    <row r="2899" s="1958" customFormat="1"/>
    <row r="2900" s="1958" customFormat="1"/>
    <row r="2901" s="1958" customFormat="1"/>
    <row r="2902" s="1958" customFormat="1"/>
    <row r="2903" s="1958" customFormat="1"/>
    <row r="2904" s="1958" customFormat="1"/>
    <row r="2905" s="1958" customFormat="1"/>
    <row r="2906" s="1958" customFormat="1"/>
    <row r="2907" s="1958" customFormat="1"/>
    <row r="2908" s="1958" customFormat="1"/>
    <row r="2909" s="1958" customFormat="1"/>
    <row r="2910" s="1958" customFormat="1"/>
    <row r="2911" s="1958" customFormat="1"/>
    <row r="2912" s="1958" customFormat="1"/>
    <row r="2913" s="1958" customFormat="1"/>
    <row r="2914" s="1958" customFormat="1"/>
    <row r="2915" s="1958" customFormat="1"/>
    <row r="2916" s="1958" customFormat="1"/>
    <row r="2917" s="1958" customFormat="1"/>
    <row r="2918" s="1958" customFormat="1"/>
    <row r="2919" s="1958" customFormat="1"/>
    <row r="2920" s="1958" customFormat="1"/>
    <row r="2921" s="1958" customFormat="1"/>
    <row r="2922" s="1958" customFormat="1"/>
    <row r="2923" s="1958" customFormat="1"/>
    <row r="2924" s="1958" customFormat="1"/>
    <row r="2925" s="1958" customFormat="1"/>
    <row r="2926" s="1958" customFormat="1"/>
    <row r="2927" s="1958" customFormat="1"/>
    <row r="2928" s="1958" customFormat="1"/>
    <row r="2929" s="1958" customFormat="1"/>
    <row r="2930" s="1958" customFormat="1"/>
    <row r="2931" s="1958" customFormat="1"/>
    <row r="2932" s="1958" customFormat="1"/>
    <row r="2933" s="1958" customFormat="1"/>
    <row r="2934" s="1958" customFormat="1"/>
    <row r="2935" s="1958" customFormat="1"/>
    <row r="2936" s="1958" customFormat="1"/>
    <row r="2937" s="1958" customFormat="1"/>
    <row r="2938" s="1958" customFormat="1"/>
    <row r="2939" s="1958" customFormat="1"/>
    <row r="2940" s="1958" customFormat="1"/>
    <row r="2941" s="1958" customFormat="1"/>
    <row r="2942" s="1958" customFormat="1"/>
    <row r="2943" s="1958" customFormat="1"/>
    <row r="2944" s="1958" customFormat="1"/>
    <row r="2945" s="1958" customFormat="1"/>
    <row r="2946" s="1958" customFormat="1"/>
    <row r="2947" s="1958" customFormat="1"/>
    <row r="2948" s="1958" customFormat="1"/>
    <row r="2949" s="1958" customFormat="1"/>
    <row r="2950" s="1958" customFormat="1"/>
    <row r="2951" s="1958" customFormat="1"/>
    <row r="2952" s="1958" customFormat="1"/>
    <row r="2953" s="1958" customFormat="1"/>
    <row r="2954" s="1958" customFormat="1"/>
    <row r="2955" s="1958" customFormat="1"/>
    <row r="2956" s="1958" customFormat="1"/>
    <row r="2957" s="1958" customFormat="1"/>
    <row r="2958" s="1958" customFormat="1"/>
    <row r="2959" s="1958" customFormat="1"/>
    <row r="2960" s="1958" customFormat="1"/>
    <row r="2961" s="1958" customFormat="1"/>
    <row r="2962" s="1958" customFormat="1"/>
    <row r="2963" s="1958" customFormat="1"/>
    <row r="2964" s="1958" customFormat="1"/>
    <row r="2965" s="1958" customFormat="1"/>
    <row r="2966" s="1958" customFormat="1"/>
    <row r="2967" s="1958" customFormat="1"/>
    <row r="2968" s="1958" customFormat="1"/>
    <row r="2969" s="1958" customFormat="1"/>
    <row r="2970" s="1958" customFormat="1"/>
    <row r="2971" s="1958" customFormat="1"/>
    <row r="2972" s="1958" customFormat="1"/>
    <row r="2973" s="1958" customFormat="1"/>
    <row r="2974" s="1958" customFormat="1"/>
    <row r="2975" s="1958" customFormat="1"/>
    <row r="2976" s="1958" customFormat="1"/>
    <row r="2977" s="1958" customFormat="1"/>
    <row r="2978" s="1958" customFormat="1"/>
    <row r="2979" s="1958" customFormat="1"/>
    <row r="2980" s="1958" customFormat="1"/>
    <row r="2981" s="1958" customFormat="1"/>
    <row r="2982" s="1958" customFormat="1"/>
    <row r="2983" s="1958" customFormat="1"/>
    <row r="2984" s="1958" customFormat="1"/>
    <row r="2985" s="1958" customFormat="1"/>
    <row r="2986" s="1958" customFormat="1"/>
    <row r="2987" s="1958" customFormat="1"/>
    <row r="2988" s="1958" customFormat="1"/>
    <row r="2989" s="1958" customFormat="1"/>
    <row r="2990" s="1958" customFormat="1"/>
    <row r="2991" s="1958" customFormat="1"/>
    <row r="2992" s="1958" customFormat="1"/>
    <row r="2993" s="1958" customFormat="1"/>
    <row r="2994" s="1958" customFormat="1"/>
    <row r="2995" s="1958" customFormat="1"/>
    <row r="2996" s="1958" customFormat="1"/>
    <row r="2997" s="1958" customFormat="1"/>
    <row r="2998" s="1958" customFormat="1"/>
    <row r="2999" s="1958" customFormat="1"/>
    <row r="3000" s="1958" customFormat="1"/>
    <row r="3001" s="1958" customFormat="1"/>
    <row r="3002" s="1958" customFormat="1"/>
    <row r="3003" s="1958" customFormat="1"/>
    <row r="3004" s="1958" customFormat="1"/>
    <row r="3005" s="1958" customFormat="1"/>
    <row r="3006" s="1958" customFormat="1"/>
    <row r="3007" s="1958" customFormat="1"/>
    <row r="3008" s="1958" customFormat="1"/>
    <row r="3009" s="1958" customFormat="1"/>
    <row r="3010" s="1958" customFormat="1"/>
    <row r="3011" s="1958" customFormat="1"/>
    <row r="3012" s="1958" customFormat="1"/>
    <row r="3013" s="1958" customFormat="1"/>
    <row r="3014" s="1958" customFormat="1"/>
    <row r="3015" s="1958" customFormat="1"/>
    <row r="3016" s="1958" customFormat="1"/>
    <row r="3017" s="1958" customFormat="1"/>
    <row r="3018" s="1958" customFormat="1"/>
    <row r="3019" s="1958" customFormat="1"/>
    <row r="3020" s="1958" customFormat="1"/>
    <row r="3021" s="1958" customFormat="1"/>
    <row r="3022" s="1958" customFormat="1"/>
    <row r="3023" s="1958" customFormat="1"/>
    <row r="3024" s="1958" customFormat="1"/>
    <row r="3025" s="1958" customFormat="1"/>
    <row r="3026" s="1958" customFormat="1"/>
    <row r="3027" s="1958" customFormat="1"/>
    <row r="3028" s="1958" customFormat="1"/>
    <row r="3029" s="1958" customFormat="1"/>
    <row r="3030" s="1958" customFormat="1"/>
    <row r="3031" s="1958" customFormat="1"/>
    <row r="3032" s="1958" customFormat="1"/>
    <row r="3033" s="1958" customFormat="1"/>
    <row r="3034" s="1958" customFormat="1"/>
    <row r="3035" s="1958" customFormat="1"/>
    <row r="3036" s="1958" customFormat="1"/>
    <row r="3037" s="1958" customFormat="1"/>
    <row r="3038" s="1958" customFormat="1"/>
    <row r="3039" s="1958" customFormat="1"/>
    <row r="3040" s="1958" customFormat="1"/>
    <row r="3041" s="1958" customFormat="1"/>
    <row r="3042" s="1958" customFormat="1"/>
    <row r="3043" s="1958" customFormat="1"/>
    <row r="3044" s="1958" customFormat="1"/>
    <row r="3045" s="1958" customFormat="1"/>
    <row r="3046" s="1958" customFormat="1"/>
    <row r="3047" s="1958" customFormat="1"/>
    <row r="3048" s="1958" customFormat="1"/>
    <row r="3049" s="1958" customFormat="1"/>
    <row r="3050" s="1958" customFormat="1"/>
    <row r="3051" s="1958" customFormat="1"/>
    <row r="3052" s="1958" customFormat="1"/>
    <row r="3053" s="1958" customFormat="1"/>
    <row r="3054" s="1958" customFormat="1"/>
    <row r="3055" s="1958" customFormat="1"/>
    <row r="3056" s="1958" customFormat="1"/>
    <row r="3057" s="1958" customFormat="1"/>
    <row r="3058" s="1958" customFormat="1"/>
    <row r="3059" s="1958" customFormat="1"/>
    <row r="3060" s="1958" customFormat="1"/>
    <row r="3061" s="1958" customFormat="1"/>
    <row r="3062" s="1958" customFormat="1"/>
    <row r="3063" s="1958" customFormat="1"/>
    <row r="3064" s="1958" customFormat="1"/>
    <row r="3065" s="1958" customFormat="1"/>
    <row r="3066" s="1958" customFormat="1"/>
    <row r="3067" s="1958" customFormat="1"/>
    <row r="3068" s="1958" customFormat="1"/>
    <row r="3069" s="1958" customFormat="1"/>
    <row r="3070" s="1958" customFormat="1"/>
    <row r="3071" s="1958" customFormat="1"/>
    <row r="3072" s="1958" customFormat="1"/>
    <row r="3073" s="1958" customFormat="1"/>
    <row r="3074" s="1958" customFormat="1"/>
    <row r="3075" s="1958" customFormat="1"/>
    <row r="3076" s="1958" customFormat="1"/>
    <row r="3077" s="1958" customFormat="1"/>
    <row r="3078" s="1958" customFormat="1"/>
    <row r="3079" s="1958" customFormat="1"/>
    <row r="3080" s="1958" customFormat="1"/>
    <row r="3081" s="1958" customFormat="1"/>
    <row r="3082" s="1958" customFormat="1"/>
    <row r="3083" s="1958" customFormat="1"/>
    <row r="3084" s="1958" customFormat="1"/>
    <row r="3085" s="1958" customFormat="1"/>
    <row r="3086" s="1958" customFormat="1"/>
    <row r="3087" s="1958" customFormat="1"/>
    <row r="3088" s="1958" customFormat="1"/>
    <row r="3089" s="1958" customFormat="1"/>
    <row r="3090" s="1958" customFormat="1"/>
    <row r="3091" s="1958" customFormat="1"/>
    <row r="3092" s="1958" customFormat="1"/>
    <row r="3093" s="1958" customFormat="1"/>
    <row r="3094" s="1958" customFormat="1"/>
    <row r="3095" s="1958" customFormat="1"/>
    <row r="3096" s="1958" customFormat="1"/>
    <row r="3097" s="1958" customFormat="1"/>
    <row r="3098" s="1958" customFormat="1"/>
    <row r="3099" s="1958" customFormat="1"/>
    <row r="3100" s="1958" customFormat="1"/>
    <row r="3101" s="1958" customFormat="1"/>
    <row r="3102" s="1958" customFormat="1"/>
    <row r="3103" s="1958" customFormat="1"/>
    <row r="3104" s="1958" customFormat="1"/>
    <row r="3105" s="1958" customFormat="1"/>
    <row r="3106" s="1958" customFormat="1"/>
    <row r="3107" s="1958" customFormat="1"/>
    <row r="3108" s="1958" customFormat="1"/>
    <row r="3109" s="1958" customFormat="1"/>
    <row r="3110" s="1958" customFormat="1"/>
    <row r="3111" s="1958" customFormat="1"/>
    <row r="3112" s="1958" customFormat="1"/>
    <row r="3113" s="1958" customFormat="1"/>
    <row r="3114" s="1958" customFormat="1"/>
    <row r="3115" s="1958" customFormat="1"/>
    <row r="3116" s="1958" customFormat="1"/>
    <row r="3117" s="1958" customFormat="1"/>
    <row r="3118" s="1958" customFormat="1"/>
    <row r="3119" s="1958" customFormat="1"/>
    <row r="3120" s="1958" customFormat="1"/>
    <row r="3121" s="1958" customFormat="1"/>
    <row r="3122" s="1958" customFormat="1"/>
    <row r="3123" s="1958" customFormat="1"/>
    <row r="3124" s="1958" customFormat="1"/>
    <row r="3125" s="1958" customFormat="1"/>
    <row r="3126" s="1958" customFormat="1"/>
    <row r="3127" s="1958" customFormat="1"/>
    <row r="3128" s="1958" customFormat="1"/>
    <row r="3129" s="1958" customFormat="1"/>
    <row r="3130" s="1958" customFormat="1"/>
    <row r="3131" s="1958" customFormat="1"/>
    <row r="3132" s="1958" customFormat="1"/>
    <row r="3133" s="1958" customFormat="1"/>
    <row r="3134" s="1958" customFormat="1"/>
    <row r="3135" s="1958" customFormat="1"/>
    <row r="3136" s="1958" customFormat="1"/>
    <row r="3137" s="1958" customFormat="1"/>
    <row r="3138" s="1958" customFormat="1"/>
    <row r="3139" s="1958" customFormat="1"/>
    <row r="3140" s="1958" customFormat="1"/>
    <row r="3141" s="1958" customFormat="1"/>
    <row r="3142" s="1958" customFormat="1"/>
    <row r="3143" s="1958" customFormat="1"/>
    <row r="3144" s="1958" customFormat="1"/>
    <row r="3145" s="1958" customFormat="1"/>
    <row r="3146" s="1958" customFormat="1"/>
    <row r="3147" s="1958" customFormat="1"/>
    <row r="3148" s="1958" customFormat="1"/>
    <row r="3149" s="1958" customFormat="1"/>
    <row r="3150" s="1958" customFormat="1"/>
    <row r="3151" s="1958" customFormat="1"/>
    <row r="3152" s="1958" customFormat="1"/>
    <row r="3153" s="1958" customFormat="1"/>
    <row r="3154" s="1958" customFormat="1"/>
    <row r="3155" s="1958" customFormat="1"/>
    <row r="3156" s="1958" customFormat="1"/>
    <row r="3157" s="1958" customFormat="1"/>
    <row r="3158" s="1958" customFormat="1"/>
    <row r="3159" s="1958" customFormat="1"/>
    <row r="3160" s="1958" customFormat="1"/>
    <row r="3161" s="1958" customFormat="1"/>
    <row r="3162" s="1958" customFormat="1"/>
    <row r="3163" s="1958" customFormat="1"/>
    <row r="3164" s="1958" customFormat="1"/>
    <row r="3165" s="1958" customFormat="1"/>
    <row r="3166" s="1958" customFormat="1"/>
    <row r="3167" s="1958" customFormat="1"/>
    <row r="3168" s="1958" customFormat="1"/>
    <row r="3169" s="1958" customFormat="1"/>
    <row r="3170" s="1958" customFormat="1"/>
    <row r="3171" s="1958" customFormat="1"/>
    <row r="3172" s="1958" customFormat="1"/>
    <row r="3173" s="1958" customFormat="1"/>
    <row r="3174" s="1958" customFormat="1"/>
    <row r="3175" s="1958" customFormat="1"/>
    <row r="3176" s="1958" customFormat="1"/>
    <row r="3177" s="1958" customFormat="1"/>
    <row r="3178" s="1958" customFormat="1"/>
    <row r="3179" s="1958" customFormat="1"/>
    <row r="3180" s="1958" customFormat="1"/>
    <row r="3181" s="1958" customFormat="1"/>
    <row r="3182" s="1958" customFormat="1"/>
    <row r="3183" s="1958" customFormat="1"/>
    <row r="3184" s="1958" customFormat="1"/>
    <row r="3185" s="1958" customFormat="1"/>
    <row r="3186" s="1958" customFormat="1"/>
    <row r="3187" s="1958" customFormat="1"/>
    <row r="3188" s="1958" customFormat="1"/>
    <row r="3189" s="1958" customFormat="1"/>
    <row r="3190" s="1958" customFormat="1"/>
    <row r="3191" s="1958" customFormat="1"/>
    <row r="3192" s="1958" customFormat="1"/>
    <row r="3193" s="1958" customFormat="1"/>
    <row r="3194" s="1958" customFormat="1"/>
    <row r="3195" s="1958" customFormat="1"/>
    <row r="3196" s="1958" customFormat="1"/>
    <row r="3197" s="1958" customFormat="1"/>
    <row r="3198" s="1958" customFormat="1"/>
    <row r="3199" s="1958" customFormat="1"/>
    <row r="3200" s="1958" customFormat="1"/>
    <row r="3201" s="1958" customFormat="1"/>
    <row r="3202" s="1958" customFormat="1"/>
    <row r="3203" s="1958" customFormat="1"/>
    <row r="3204" s="1958" customFormat="1"/>
    <row r="3205" s="1958" customFormat="1"/>
    <row r="3206" s="1958" customFormat="1"/>
    <row r="3207" s="1958" customFormat="1"/>
    <row r="3208" s="1958" customFormat="1"/>
    <row r="3209" s="1958" customFormat="1"/>
    <row r="3210" s="1958" customFormat="1"/>
    <row r="3211" s="1958" customFormat="1"/>
    <row r="3212" s="1958" customFormat="1"/>
    <row r="3213" s="1958" customFormat="1"/>
    <row r="3214" s="1958" customFormat="1"/>
    <row r="3215" s="1958" customFormat="1"/>
    <row r="3216" s="1958" customFormat="1"/>
    <row r="3217" s="1958" customFormat="1"/>
    <row r="3218" s="1958" customFormat="1"/>
    <row r="3219" s="1958" customFormat="1"/>
    <row r="3220" s="1958" customFormat="1"/>
    <row r="3221" s="1958" customFormat="1"/>
    <row r="3222" s="1958" customFormat="1"/>
    <row r="3223" s="1958" customFormat="1"/>
    <row r="3224" s="1958" customFormat="1"/>
    <row r="3225" s="1958" customFormat="1"/>
    <row r="3226" s="1958" customFormat="1"/>
    <row r="3227" s="1958" customFormat="1"/>
    <row r="3228" s="1958" customFormat="1"/>
    <row r="3229" s="1958" customFormat="1"/>
    <row r="3230" s="1958" customFormat="1"/>
    <row r="3231" s="1958" customFormat="1"/>
    <row r="3232" s="1958" customFormat="1"/>
    <row r="3233" s="1958" customFormat="1"/>
    <row r="3234" s="1958" customFormat="1"/>
    <row r="3235" s="1958" customFormat="1"/>
    <row r="3236" s="1958" customFormat="1"/>
    <row r="3237" s="1958" customFormat="1"/>
    <row r="3238" s="1958" customFormat="1"/>
    <row r="3239" s="1958" customFormat="1"/>
    <row r="3240" s="1958" customFormat="1"/>
    <row r="3241" s="1958" customFormat="1"/>
  </sheetData>
  <mergeCells count="8">
    <mergeCell ref="E120:F120"/>
    <mergeCell ref="H120:I120"/>
    <mergeCell ref="A118:M118"/>
    <mergeCell ref="H11:I11"/>
    <mergeCell ref="A55:M55"/>
    <mergeCell ref="E11:F11"/>
    <mergeCell ref="E57:F57"/>
    <mergeCell ref="H57:I57"/>
  </mergeCells>
  <pageMargins left="0.7" right="0.7" top="0.75" bottom="0.75" header="0.3" footer="0.3"/>
  <pageSetup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D15" sqref="D15"/>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527" t="str">
        <f>'Single Audit Cover'!A7</f>
        <v>Evanston CCSD 65</v>
      </c>
      <c r="C1" s="2589"/>
      <c r="D1" s="2589"/>
      <c r="E1" s="2589"/>
      <c r="F1" s="2589"/>
      <c r="G1" s="2589"/>
      <c r="H1" s="2589"/>
      <c r="I1" s="2589"/>
      <c r="J1" s="2589"/>
      <c r="K1" s="2589"/>
      <c r="L1" s="2589"/>
      <c r="M1" s="2589"/>
    </row>
    <row r="2" spans="2:14" ht="15">
      <c r="B2" s="2572">
        <f>'Single Audit Cover'!E7</f>
        <v>5016065004</v>
      </c>
      <c r="C2" s="2572"/>
      <c r="D2" s="2572"/>
      <c r="E2" s="2572"/>
      <c r="F2" s="2572"/>
      <c r="G2" s="2572"/>
      <c r="H2" s="2572"/>
      <c r="I2" s="2572"/>
      <c r="J2" s="2572"/>
      <c r="K2" s="2572"/>
      <c r="L2" s="2572"/>
      <c r="M2" s="2572"/>
      <c r="N2" s="1302"/>
    </row>
    <row r="3" spans="2:14" ht="15">
      <c r="B3" s="2590" t="s">
        <v>1280</v>
      </c>
      <c r="C3" s="2590"/>
      <c r="D3" s="2590"/>
      <c r="E3" s="2590"/>
      <c r="F3" s="2590"/>
      <c r="G3" s="2590"/>
      <c r="H3" s="2590"/>
      <c r="I3" s="2590"/>
      <c r="J3" s="2590"/>
      <c r="K3" s="2590"/>
      <c r="L3" s="2590"/>
      <c r="M3" s="2590"/>
      <c r="N3" s="1302"/>
    </row>
    <row r="4" spans="2:14" ht="15">
      <c r="B4" s="2591" t="str">
        <f>'Single Audit Cover'!A4</f>
        <v>Year Ending June 30, 2018</v>
      </c>
      <c r="C4" s="2591"/>
      <c r="D4" s="2591"/>
      <c r="E4" s="2591"/>
      <c r="F4" s="2591"/>
      <c r="G4" s="2591"/>
      <c r="H4" s="2591"/>
      <c r="I4" s="2591"/>
      <c r="J4" s="2591"/>
      <c r="K4" s="2591"/>
      <c r="L4" s="2591"/>
      <c r="M4" s="2591"/>
      <c r="N4" s="1302"/>
    </row>
    <row r="6" spans="2:14">
      <c r="B6" s="1303"/>
      <c r="C6" s="1304"/>
      <c r="D6" s="1305" t="s">
        <v>1326</v>
      </c>
      <c r="E6" s="1306" t="s">
        <v>547</v>
      </c>
      <c r="F6" s="1307"/>
      <c r="G6" s="1308" t="s">
        <v>1833</v>
      </c>
      <c r="H6" s="1306"/>
      <c r="I6" s="1306"/>
      <c r="J6" s="1306"/>
      <c r="K6" s="1309"/>
      <c r="L6" s="1310"/>
      <c r="M6" s="1311"/>
    </row>
    <row r="7" spans="2:14">
      <c r="B7" s="1312" t="s">
        <v>1661</v>
      </c>
      <c r="C7" s="1313"/>
      <c r="D7" s="1314"/>
      <c r="E7" s="1315"/>
      <c r="F7" s="1316"/>
      <c r="G7" s="1315"/>
      <c r="H7" s="1317" t="s">
        <v>1323</v>
      </c>
      <c r="I7" s="1315"/>
      <c r="J7" s="1318" t="s">
        <v>1323</v>
      </c>
      <c r="K7" s="1319"/>
      <c r="L7" s="1320" t="s">
        <v>1321</v>
      </c>
      <c r="M7" s="1321"/>
    </row>
    <row r="8" spans="2:14">
      <c r="B8" s="1686"/>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337"/>
      <c r="C11" s="1338"/>
      <c r="D11" s="1339"/>
      <c r="E11" s="1340"/>
      <c r="F11" s="1340"/>
      <c r="G11" s="1340"/>
      <c r="H11" s="1340"/>
      <c r="I11" s="1340"/>
      <c r="J11" s="1340"/>
      <c r="K11" s="1340"/>
      <c r="L11" s="1340">
        <f>+G11+I11+K11</f>
        <v>0</v>
      </c>
      <c r="M11" s="1340"/>
    </row>
    <row r="12" spans="2:14" ht="20.100000000000001" customHeight="1">
      <c r="B12" s="1337"/>
      <c r="C12" s="1341"/>
      <c r="D12" s="1342"/>
      <c r="E12" s="1343"/>
      <c r="F12" s="1343"/>
      <c r="G12" s="1343"/>
      <c r="H12" s="1343"/>
      <c r="I12" s="1343"/>
      <c r="J12" s="1343"/>
      <c r="K12" s="1343"/>
      <c r="L12" s="1340">
        <f t="shared" ref="L12:L27" si="0">+G12+I12+K12</f>
        <v>0</v>
      </c>
      <c r="M12" s="1343"/>
    </row>
    <row r="13" spans="2:14" ht="20.100000000000001" customHeight="1">
      <c r="B13" s="1337"/>
      <c r="C13" s="1341"/>
      <c r="D13" s="1342"/>
      <c r="E13" s="1343"/>
      <c r="F13" s="1343"/>
      <c r="G13" s="1343"/>
      <c r="H13" s="1343"/>
      <c r="I13" s="1343"/>
      <c r="J13" s="1343"/>
      <c r="K13" s="1343"/>
      <c r="L13" s="1340">
        <f t="shared" si="0"/>
        <v>0</v>
      </c>
      <c r="M13" s="1343"/>
    </row>
    <row r="14" spans="2:14" ht="20.100000000000001" customHeight="1">
      <c r="B14" s="1337"/>
      <c r="C14" s="1341"/>
      <c r="D14" s="1342"/>
      <c r="E14" s="1343"/>
      <c r="F14" s="1343"/>
      <c r="G14" s="1343"/>
      <c r="H14" s="1343"/>
      <c r="I14" s="1343"/>
      <c r="J14" s="1343"/>
      <c r="K14" s="1343"/>
      <c r="L14" s="1340">
        <f t="shared" si="0"/>
        <v>0</v>
      </c>
      <c r="M14" s="1343"/>
    </row>
    <row r="15" spans="2:14" ht="20.100000000000001" customHeight="1">
      <c r="B15" s="1337" t="s">
        <v>1230</v>
      </c>
      <c r="C15" s="1341"/>
      <c r="D15" s="1342"/>
      <c r="E15" s="1343"/>
      <c r="F15" s="1343"/>
      <c r="G15" s="1343"/>
      <c r="H15" s="1343"/>
      <c r="I15" s="1343"/>
      <c r="J15" s="1343"/>
      <c r="K15" s="1343"/>
      <c r="L15" s="1340">
        <f t="shared" si="0"/>
        <v>0</v>
      </c>
      <c r="M15" s="1343"/>
    </row>
    <row r="16" spans="2:14" ht="20.100000000000001" customHeight="1">
      <c r="B16" s="1337"/>
      <c r="C16" s="1341"/>
      <c r="D16" s="1342"/>
      <c r="E16" s="1343"/>
      <c r="F16" s="1343"/>
      <c r="G16" s="1343"/>
      <c r="H16" s="1343"/>
      <c r="I16" s="1343"/>
      <c r="J16" s="1343"/>
      <c r="K16" s="1343"/>
      <c r="L16" s="1340">
        <f t="shared" si="0"/>
        <v>0</v>
      </c>
      <c r="M16" s="1343"/>
    </row>
    <row r="17" spans="2:14" ht="20.100000000000001" customHeight="1">
      <c r="B17" s="1337"/>
      <c r="C17" s="1341"/>
      <c r="D17" s="1342"/>
      <c r="E17" s="1343"/>
      <c r="F17" s="1343"/>
      <c r="G17" s="1343"/>
      <c r="H17" s="1343"/>
      <c r="I17" s="1343"/>
      <c r="J17" s="1343"/>
      <c r="K17" s="1343"/>
      <c r="L17" s="1340">
        <f t="shared" si="0"/>
        <v>0</v>
      </c>
      <c r="M17" s="1343"/>
    </row>
    <row r="18" spans="2:14" ht="20.100000000000001" customHeight="1">
      <c r="B18" s="1337"/>
      <c r="C18" s="1341"/>
      <c r="D18" s="1342"/>
      <c r="E18" s="1343"/>
      <c r="F18" s="1343"/>
      <c r="G18" s="1343"/>
      <c r="H18" s="1343"/>
      <c r="I18" s="1343"/>
      <c r="J18" s="1343"/>
      <c r="K18" s="1343"/>
      <c r="L18" s="1340">
        <f t="shared" si="0"/>
        <v>0</v>
      </c>
      <c r="M18" s="1343"/>
    </row>
    <row r="19" spans="2:14" ht="20.100000000000001" customHeight="1">
      <c r="B19" s="1337"/>
      <c r="C19" s="1341"/>
      <c r="D19" s="1342"/>
      <c r="E19" s="1343"/>
      <c r="F19" s="1343"/>
      <c r="G19" s="1343"/>
      <c r="H19" s="1343"/>
      <c r="I19" s="1343"/>
      <c r="J19" s="1343"/>
      <c r="K19" s="1343"/>
      <c r="L19" s="1340">
        <f t="shared" si="0"/>
        <v>0</v>
      </c>
      <c r="M19" s="1343"/>
    </row>
    <row r="20" spans="2:14" ht="20.100000000000001" customHeight="1">
      <c r="B20" s="1337"/>
      <c r="C20" s="1341"/>
      <c r="D20" s="1342"/>
      <c r="E20" s="1343"/>
      <c r="F20" s="1343"/>
      <c r="G20" s="1343"/>
      <c r="H20" s="1343"/>
      <c r="I20" s="1343"/>
      <c r="J20" s="1343"/>
      <c r="K20" s="1343"/>
      <c r="L20" s="1340">
        <f t="shared" si="0"/>
        <v>0</v>
      </c>
      <c r="M20" s="1343"/>
    </row>
    <row r="21" spans="2:14" ht="20.100000000000001" customHeight="1">
      <c r="B21" s="1337"/>
      <c r="C21" s="1341"/>
      <c r="D21" s="1342"/>
      <c r="E21" s="1343"/>
      <c r="F21" s="1343"/>
      <c r="G21" s="1343"/>
      <c r="H21" s="1343"/>
      <c r="I21" s="1343"/>
      <c r="J21" s="1343"/>
      <c r="K21" s="1343"/>
      <c r="L21" s="1340">
        <f t="shared" si="0"/>
        <v>0</v>
      </c>
      <c r="M21" s="1343"/>
    </row>
    <row r="22" spans="2:14" ht="20.100000000000001" customHeight="1">
      <c r="B22" s="1337"/>
      <c r="C22" s="1341"/>
      <c r="D22" s="1342"/>
      <c r="E22" s="1343"/>
      <c r="F22" s="1343"/>
      <c r="G22" s="1343"/>
      <c r="H22" s="1343"/>
      <c r="I22" s="1343"/>
      <c r="J22" s="1343"/>
      <c r="K22" s="1343"/>
      <c r="L22" s="1340">
        <f t="shared" si="0"/>
        <v>0</v>
      </c>
      <c r="M22" s="1343"/>
    </row>
    <row r="23" spans="2:14" ht="20.100000000000001" customHeight="1">
      <c r="B23" s="1337"/>
      <c r="C23" s="1341"/>
      <c r="D23" s="1342"/>
      <c r="E23" s="1343"/>
      <c r="F23" s="1343"/>
      <c r="G23" s="1343"/>
      <c r="H23" s="1343"/>
      <c r="I23" s="1343"/>
      <c r="J23" s="1343"/>
      <c r="K23" s="1343"/>
      <c r="L23" s="1340">
        <f t="shared" si="0"/>
        <v>0</v>
      </c>
      <c r="M23" s="1343"/>
    </row>
    <row r="24" spans="2:14" ht="20.100000000000001" customHeight="1">
      <c r="B24" s="1337"/>
      <c r="C24" s="1341"/>
      <c r="D24" s="1342"/>
      <c r="E24" s="1343"/>
      <c r="F24" s="1343"/>
      <c r="G24" s="1343"/>
      <c r="H24" s="1343"/>
      <c r="I24" s="1343"/>
      <c r="J24" s="1343"/>
      <c r="K24" s="1343"/>
      <c r="L24" s="1340">
        <f t="shared" si="0"/>
        <v>0</v>
      </c>
      <c r="M24" s="1343"/>
    </row>
    <row r="25" spans="2:14" ht="20.100000000000001" customHeight="1">
      <c r="B25" s="1337"/>
      <c r="C25" s="1341"/>
      <c r="D25" s="1342"/>
      <c r="E25" s="1343"/>
      <c r="F25" s="1343"/>
      <c r="G25" s="1343"/>
      <c r="H25" s="1343"/>
      <c r="I25" s="1343"/>
      <c r="J25" s="1343"/>
      <c r="K25" s="1343"/>
      <c r="L25" s="1340">
        <f t="shared" si="0"/>
        <v>0</v>
      </c>
      <c r="M25" s="1343"/>
    </row>
    <row r="26" spans="2:14" ht="20.100000000000001" customHeight="1">
      <c r="B26" s="1337"/>
      <c r="C26" s="1341"/>
      <c r="D26" s="1342"/>
      <c r="E26" s="1343"/>
      <c r="F26" s="1343"/>
      <c r="G26" s="1343"/>
      <c r="H26" s="1343"/>
      <c r="I26" s="1343"/>
      <c r="J26" s="1343"/>
      <c r="K26" s="1343"/>
      <c r="L26" s="1340">
        <f t="shared" si="0"/>
        <v>0</v>
      </c>
      <c r="M26" s="1343"/>
    </row>
    <row r="27" spans="2:14" ht="20.100000000000001" customHeight="1">
      <c r="B27" s="1337"/>
      <c r="C27" s="1341"/>
      <c r="D27" s="1342"/>
      <c r="E27" s="1343"/>
      <c r="F27" s="1343"/>
      <c r="G27" s="1343"/>
      <c r="H27" s="1343"/>
      <c r="I27" s="1343"/>
      <c r="J27" s="1343"/>
      <c r="K27" s="1343"/>
      <c r="L27" s="1340">
        <f t="shared" si="0"/>
        <v>0</v>
      </c>
      <c r="M27" s="1343"/>
      <c r="N27" s="1344"/>
    </row>
    <row r="28" spans="2:14" ht="12.75" customHeight="1">
      <c r="B28" s="1345"/>
      <c r="C28" s="1346"/>
      <c r="D28" s="1347"/>
      <c r="E28" s="1348"/>
      <c r="F28" s="1348"/>
      <c r="G28" s="1348"/>
      <c r="H28" s="1348"/>
      <c r="I28" s="1348"/>
      <c r="J28" s="1348"/>
      <c r="K28" s="1348"/>
      <c r="L28" s="1348"/>
      <c r="M28" s="1348"/>
      <c r="N28" s="1344"/>
    </row>
    <row r="29" spans="2:14">
      <c r="B29" s="1257"/>
      <c r="C29" s="1349"/>
      <c r="D29" s="1350"/>
      <c r="E29" s="1257"/>
      <c r="F29" s="1257"/>
      <c r="G29" s="1250"/>
      <c r="H29" s="1250"/>
      <c r="I29" s="1250"/>
      <c r="J29" s="1250"/>
      <c r="K29" s="1250"/>
      <c r="L29" s="1250"/>
      <c r="M29" s="1257"/>
      <c r="N29" s="1344"/>
    </row>
    <row r="30" spans="2:14" ht="13.5" customHeight="1">
      <c r="B30" s="1282" t="s">
        <v>1836</v>
      </c>
      <c r="C30" s="1349"/>
      <c r="D30" s="1350"/>
      <c r="E30" s="1257"/>
      <c r="F30" s="1257"/>
      <c r="G30" s="1250"/>
      <c r="H30" s="1250"/>
      <c r="I30" s="1250"/>
      <c r="J30" s="1250"/>
      <c r="K30" s="1250"/>
      <c r="L30" s="1250"/>
      <c r="M30" s="1257"/>
      <c r="N30" s="1344"/>
    </row>
    <row r="31" spans="2:14" ht="8.25" customHeight="1">
      <c r="B31" s="1282"/>
      <c r="C31" s="1349"/>
      <c r="D31" s="1350"/>
      <c r="E31" s="1257"/>
      <c r="F31" s="1257"/>
      <c r="G31" s="1250"/>
      <c r="H31" s="1250"/>
      <c r="I31" s="1250"/>
      <c r="J31" s="1250"/>
      <c r="K31" s="1250"/>
      <c r="L31" s="1250"/>
      <c r="M31" s="1257"/>
      <c r="N31" s="1344"/>
    </row>
    <row r="32" spans="2:14">
      <c r="B32" s="1351" t="s">
        <v>1946</v>
      </c>
      <c r="C32" s="1352"/>
      <c r="D32" s="1353"/>
      <c r="E32" s="1354"/>
      <c r="F32" s="1354"/>
      <c r="G32" s="1354"/>
      <c r="H32" s="1354"/>
      <c r="I32" s="317"/>
      <c r="J32" s="317"/>
    </row>
    <row r="33" spans="2:13">
      <c r="B33" s="1277"/>
      <c r="C33" s="1355"/>
      <c r="D33" s="1356"/>
      <c r="E33" s="1278"/>
      <c r="F33" s="1278"/>
      <c r="G33" s="317"/>
      <c r="H33" s="317"/>
      <c r="I33" s="317"/>
      <c r="J33" s="317"/>
    </row>
    <row r="34" spans="2:13" ht="13.5" customHeight="1">
      <c r="B34" s="1276" t="s">
        <v>1307</v>
      </c>
      <c r="G34" s="317"/>
      <c r="H34" s="317"/>
      <c r="I34" s="317"/>
      <c r="J34" s="317"/>
    </row>
    <row r="35" spans="2:13" ht="13.5" customHeight="1">
      <c r="B35" s="1359"/>
      <c r="C35" s="1360"/>
      <c r="D35" s="1361"/>
      <c r="E35" s="1297"/>
      <c r="F35" s="1297"/>
      <c r="G35" s="1297"/>
      <c r="H35" s="1297"/>
      <c r="I35" s="1297"/>
      <c r="J35" s="1297"/>
      <c r="K35" s="1362"/>
      <c r="L35" s="1362"/>
      <c r="M35" s="1297"/>
    </row>
    <row r="36" spans="2:13" ht="9.6" customHeight="1">
      <c r="B36" s="1363"/>
      <c r="G36" s="317"/>
      <c r="H36" s="317"/>
      <c r="I36" s="317"/>
      <c r="J36" s="317"/>
    </row>
    <row r="37" spans="2:13" ht="11.25" customHeight="1">
      <c r="B37" s="1364" t="s">
        <v>1837</v>
      </c>
      <c r="C37" s="1365"/>
      <c r="D37" s="1365"/>
      <c r="E37" s="1365"/>
      <c r="F37" s="1365"/>
      <c r="G37" s="1365"/>
      <c r="H37" s="1365"/>
      <c r="I37" s="1366"/>
      <c r="J37" s="1366"/>
      <c r="K37" s="1366"/>
      <c r="L37" s="1366"/>
      <c r="M37" s="1366"/>
    </row>
    <row r="38" spans="2:13" ht="11.25" customHeight="1">
      <c r="B38" s="1367" t="s">
        <v>1665</v>
      </c>
      <c r="C38" s="1366"/>
      <c r="D38" s="1366"/>
      <c r="E38" s="1366"/>
      <c r="F38" s="1366"/>
      <c r="G38" s="1366"/>
      <c r="H38" s="1366"/>
      <c r="I38" s="1366"/>
      <c r="J38" s="1366"/>
      <c r="K38" s="1366"/>
      <c r="L38" s="1366"/>
      <c r="M38" s="1366"/>
    </row>
    <row r="39" spans="2:13" ht="3.95" customHeight="1">
      <c r="B39" s="1367"/>
      <c r="C39" s="1366"/>
      <c r="D39" s="1366"/>
      <c r="E39" s="1366"/>
      <c r="F39" s="1366"/>
      <c r="G39" s="1366"/>
      <c r="H39" s="1366"/>
      <c r="I39" s="1366"/>
      <c r="J39" s="1366"/>
      <c r="K39" s="1366"/>
      <c r="L39" s="1366"/>
      <c r="M39" s="1366"/>
    </row>
    <row r="40" spans="2:13" ht="11.25" customHeight="1">
      <c r="B40" s="1364" t="s">
        <v>1838</v>
      </c>
      <c r="C40" s="1366"/>
      <c r="D40" s="1366"/>
      <c r="E40" s="1366"/>
      <c r="F40" s="1366"/>
      <c r="G40" s="1366"/>
      <c r="H40" s="1366"/>
      <c r="I40" s="1366"/>
      <c r="J40" s="1366"/>
      <c r="K40" s="1366"/>
      <c r="L40" s="1366"/>
      <c r="M40" s="1366"/>
    </row>
    <row r="41" spans="2:13" ht="11.25" customHeight="1">
      <c r="B41" s="1300" t="s">
        <v>1666</v>
      </c>
      <c r="C41" s="1368"/>
      <c r="D41" s="1369"/>
      <c r="E41" s="1300"/>
      <c r="F41" s="1300"/>
      <c r="G41" s="1300"/>
      <c r="H41" s="1300"/>
      <c r="I41" s="1300"/>
      <c r="J41" s="1300"/>
      <c r="K41" s="1370"/>
      <c r="L41" s="1370"/>
      <c r="M41" s="1300"/>
    </row>
    <row r="42" spans="2:13" ht="3.95" customHeight="1">
      <c r="B42" s="1300"/>
      <c r="C42" s="1368"/>
      <c r="D42" s="1369"/>
      <c r="E42" s="1300"/>
      <c r="F42" s="1300"/>
      <c r="G42" s="1300"/>
      <c r="H42" s="1300"/>
      <c r="I42" s="1300"/>
      <c r="J42" s="1300"/>
      <c r="K42" s="1370"/>
      <c r="L42" s="1370"/>
      <c r="M42" s="1300"/>
    </row>
    <row r="43" spans="2:13" ht="11.25" customHeight="1">
      <c r="B43" s="1371" t="s">
        <v>1839</v>
      </c>
      <c r="C43" s="1368"/>
      <c r="D43" s="1369"/>
      <c r="E43" s="1300"/>
      <c r="F43" s="1300"/>
      <c r="G43" s="1300"/>
      <c r="H43" s="1300"/>
      <c r="I43" s="1300"/>
      <c r="J43" s="1300"/>
      <c r="K43" s="1370"/>
      <c r="L43" s="1370"/>
      <c r="M43" s="1300"/>
    </row>
    <row r="44" spans="2:13" ht="3.95" customHeight="1">
      <c r="B44" s="1371"/>
      <c r="C44" s="1368"/>
      <c r="D44" s="1369"/>
      <c r="E44" s="1300"/>
      <c r="F44" s="1300"/>
      <c r="G44" s="1300"/>
      <c r="H44" s="1300"/>
      <c r="I44" s="1300"/>
      <c r="J44" s="1300"/>
      <c r="K44" s="1370"/>
      <c r="L44" s="1370"/>
      <c r="M44" s="1300"/>
    </row>
    <row r="45" spans="2:13" ht="11.25" customHeight="1">
      <c r="B45" s="1372" t="s">
        <v>1840</v>
      </c>
      <c r="C45" s="1368"/>
      <c r="D45" s="1369"/>
      <c r="E45" s="1300"/>
      <c r="F45" s="1300"/>
      <c r="G45" s="1300"/>
      <c r="H45" s="1300"/>
      <c r="I45" s="1300"/>
      <c r="J45" s="1300"/>
      <c r="K45" s="1370"/>
      <c r="L45" s="1370"/>
      <c r="M45" s="1300"/>
    </row>
    <row r="46" spans="2:13" ht="11.25" customHeight="1">
      <c r="B46" s="1300" t="s">
        <v>1667</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73"/>
    </row>
    <row r="50" spans="7:13" ht="13.5" customHeight="1">
      <c r="M50" s="1373"/>
    </row>
    <row r="51" spans="7:13" ht="13.5" customHeight="1">
      <c r="M51" s="1373"/>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6" sqref="A6:XFD6"/>
    </sheetView>
  </sheetViews>
  <sheetFormatPr defaultColWidth="9.140625" defaultRowHeight="12.75"/>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96" t="str">
        <f>'Single Audit Cover'!A7</f>
        <v>Evanston CCSD 65</v>
      </c>
      <c r="C1" s="2597"/>
      <c r="D1" s="2597"/>
      <c r="E1" s="2597"/>
      <c r="F1" s="2597"/>
      <c r="G1" s="2597"/>
      <c r="H1" s="2597"/>
      <c r="I1" s="2597"/>
      <c r="J1" s="1422"/>
    </row>
    <row r="2" spans="2:10" s="317" customFormat="1" ht="12.75" customHeight="1">
      <c r="B2" s="2598">
        <f>'Single Audit Cover'!E7</f>
        <v>5016065004</v>
      </c>
      <c r="C2" s="2599"/>
      <c r="D2" s="2599"/>
      <c r="E2" s="2599"/>
      <c r="F2" s="2599"/>
      <c r="G2" s="2599"/>
      <c r="H2" s="2599"/>
      <c r="I2" s="2599"/>
      <c r="J2" s="1422"/>
    </row>
    <row r="3" spans="2:10" s="317" customFormat="1" ht="12.75" customHeight="1">
      <c r="B3" s="2600" t="s">
        <v>1346</v>
      </c>
      <c r="C3" s="2601"/>
      <c r="D3" s="2601"/>
      <c r="E3" s="2601"/>
      <c r="F3" s="2601"/>
      <c r="G3" s="2601"/>
      <c r="H3" s="2601"/>
      <c r="I3" s="2601"/>
      <c r="J3" s="1423"/>
    </row>
    <row r="4" spans="2:10" s="317" customFormat="1" ht="12.75" customHeight="1">
      <c r="B4" s="2600" t="str">
        <f>'Single Audit Cover'!A4</f>
        <v>Year Ending June 30, 2018</v>
      </c>
      <c r="C4" s="2601"/>
      <c r="D4" s="2601"/>
      <c r="E4" s="2601"/>
      <c r="F4" s="2601"/>
      <c r="G4" s="2601"/>
      <c r="H4" s="2601"/>
      <c r="I4" s="2601"/>
    </row>
    <row r="5" spans="2:10" s="317" customFormat="1" ht="6.2" customHeight="1">
      <c r="B5" s="1424" t="s">
        <v>1230</v>
      </c>
      <c r="C5" s="1294"/>
      <c r="D5" s="1294"/>
      <c r="E5" s="1383"/>
      <c r="F5" s="322"/>
      <c r="G5" s="322"/>
      <c r="H5" s="322"/>
      <c r="I5" s="322"/>
    </row>
    <row r="6" spans="2:10" s="317" customFormat="1" ht="6.2" customHeight="1">
      <c r="B6" s="1425"/>
      <c r="C6" s="1379"/>
      <c r="D6" s="1379"/>
      <c r="E6" s="1380"/>
      <c r="F6" s="1379"/>
      <c r="G6" s="1379"/>
      <c r="H6" s="1379"/>
      <c r="I6" s="1379"/>
    </row>
    <row r="7" spans="2:10" s="317" customFormat="1" ht="13.5" customHeight="1">
      <c r="B7" s="2600" t="s">
        <v>1345</v>
      </c>
      <c r="C7" s="2601"/>
      <c r="D7" s="2601"/>
      <c r="E7" s="2601"/>
      <c r="F7" s="2601"/>
      <c r="G7" s="2601"/>
      <c r="H7" s="2601"/>
      <c r="I7" s="2601"/>
    </row>
    <row r="8" spans="2:10" s="317" customFormat="1" ht="6.2" customHeight="1">
      <c r="B8" s="1426" t="s">
        <v>1230</v>
      </c>
      <c r="C8" s="1427"/>
      <c r="D8" s="1427"/>
      <c r="E8" s="1428"/>
      <c r="F8" s="1427"/>
      <c r="G8" s="1427"/>
      <c r="H8" s="1427"/>
      <c r="I8" s="1427"/>
    </row>
    <row r="9" spans="2:10" s="317" customFormat="1" ht="9" customHeight="1">
      <c r="B9" s="1429"/>
      <c r="C9" s="322"/>
      <c r="D9" s="322"/>
      <c r="E9" s="1383"/>
      <c r="F9" s="322"/>
      <c r="G9" s="322"/>
      <c r="H9" s="322"/>
      <c r="I9" s="322"/>
    </row>
    <row r="10" spans="2:10" s="317" customFormat="1" ht="12.75" customHeight="1">
      <c r="B10" s="1430" t="s">
        <v>1344</v>
      </c>
      <c r="C10" s="1431"/>
      <c r="D10" s="1431"/>
      <c r="E10" s="1258"/>
    </row>
    <row r="11" spans="2:10" s="317" customFormat="1" ht="13.5" customHeight="1">
      <c r="B11" s="1349" t="s">
        <v>1343</v>
      </c>
      <c r="C11" s="2602" t="s">
        <v>2232</v>
      </c>
      <c r="D11" s="2602"/>
      <c r="E11" s="1432"/>
      <c r="F11" s="1432"/>
      <c r="G11" s="1432"/>
    </row>
    <row r="12" spans="2:10" s="317" customFormat="1" ht="11.45" customHeight="1">
      <c r="B12" s="1357"/>
      <c r="C12" s="1433" t="s">
        <v>1516</v>
      </c>
      <c r="D12" s="1434"/>
      <c r="E12" s="1258"/>
    </row>
    <row r="13" spans="2:10" s="317" customFormat="1" ht="12.75" customHeight="1">
      <c r="B13" s="1435"/>
      <c r="C13" s="1387"/>
      <c r="D13" s="1387"/>
      <c r="E13" s="1258"/>
    </row>
    <row r="14" spans="2:10" s="317" customFormat="1" ht="12.75" customHeight="1">
      <c r="B14" s="1368" t="s">
        <v>1342</v>
      </c>
      <c r="C14" s="1282"/>
      <c r="E14" s="1258"/>
    </row>
    <row r="15" spans="2:10" s="317" customFormat="1" ht="13.5" customHeight="1">
      <c r="B15" s="1436" t="s">
        <v>1339</v>
      </c>
      <c r="C15" s="1437"/>
      <c r="D15" s="1398"/>
      <c r="E15" s="1438"/>
      <c r="F15" s="1300" t="s">
        <v>939</v>
      </c>
      <c r="G15" s="1438" t="s">
        <v>2073</v>
      </c>
      <c r="H15" s="1300" t="s">
        <v>1337</v>
      </c>
      <c r="I15" s="1300"/>
    </row>
    <row r="16" spans="2:10" s="317" customFormat="1" ht="8.4499999999999993" customHeight="1">
      <c r="B16" s="1368"/>
      <c r="C16" s="1282"/>
      <c r="E16" s="1383"/>
      <c r="F16" s="1300"/>
      <c r="G16" s="322"/>
      <c r="H16" s="1300"/>
      <c r="I16" s="1300"/>
    </row>
    <row r="17" spans="2:9" s="317" customFormat="1" ht="13.5" customHeight="1">
      <c r="B17" s="1436" t="s">
        <v>1338</v>
      </c>
      <c r="C17" s="1437"/>
      <c r="D17" s="1398"/>
      <c r="E17" s="1439"/>
      <c r="F17" s="1257"/>
      <c r="G17" s="1439"/>
      <c r="H17" s="1300"/>
      <c r="I17" s="1300"/>
    </row>
    <row r="18" spans="2:9" s="317" customFormat="1" ht="12.75" customHeight="1">
      <c r="B18" s="1436" t="s">
        <v>1517</v>
      </c>
      <c r="C18" s="1437"/>
      <c r="D18" s="1398"/>
      <c r="E18" s="1438" t="s">
        <v>2073</v>
      </c>
      <c r="F18" s="1300" t="s">
        <v>939</v>
      </c>
      <c r="G18" s="1438"/>
      <c r="H18" s="1300" t="s">
        <v>1337</v>
      </c>
      <c r="I18" s="1300"/>
    </row>
    <row r="19" spans="2:9" s="317" customFormat="1" ht="8.4499999999999993" customHeight="1">
      <c r="B19" s="1368"/>
      <c r="C19" s="1282"/>
      <c r="E19" s="1383"/>
      <c r="F19" s="1300"/>
      <c r="G19" s="322"/>
      <c r="H19" s="1300"/>
      <c r="I19" s="1300"/>
    </row>
    <row r="20" spans="2:9" s="317" customFormat="1" ht="13.5" customHeight="1">
      <c r="B20" s="1436" t="s">
        <v>1672</v>
      </c>
      <c r="C20" s="1437"/>
      <c r="D20" s="1398"/>
      <c r="E20" s="1438"/>
      <c r="F20" s="1300" t="s">
        <v>939</v>
      </c>
      <c r="G20" s="1438" t="s">
        <v>2073</v>
      </c>
      <c r="H20" s="1300" t="s">
        <v>101</v>
      </c>
      <c r="I20" s="1300"/>
    </row>
    <row r="21" spans="2:9" s="317" customFormat="1" ht="12.75" customHeight="1">
      <c r="B21" s="1368"/>
      <c r="C21" s="1282"/>
      <c r="E21" s="1383"/>
      <c r="F21" s="1300"/>
      <c r="G21" s="322"/>
      <c r="H21" s="1300"/>
      <c r="I21" s="1300"/>
    </row>
    <row r="22" spans="2:9" s="317" customFormat="1" ht="12.75" customHeight="1">
      <c r="B22" s="1430" t="s">
        <v>1341</v>
      </c>
      <c r="C22" s="1440"/>
      <c r="D22" s="1431"/>
      <c r="E22" s="1383"/>
      <c r="F22" s="1300"/>
      <c r="G22" s="322"/>
      <c r="H22" s="1300"/>
      <c r="I22" s="1300"/>
    </row>
    <row r="23" spans="2:9" s="317" customFormat="1" ht="12.75" customHeight="1">
      <c r="B23" s="1368" t="s">
        <v>1340</v>
      </c>
      <c r="C23" s="1282"/>
      <c r="E23" s="1383"/>
      <c r="F23" s="1300"/>
      <c r="G23" s="322"/>
      <c r="H23" s="1300"/>
      <c r="I23" s="1300"/>
    </row>
    <row r="24" spans="2:9" s="317" customFormat="1" ht="13.5" customHeight="1">
      <c r="B24" s="1436" t="s">
        <v>1339</v>
      </c>
      <c r="C24" s="1437"/>
      <c r="D24" s="1398"/>
      <c r="E24" s="1438"/>
      <c r="F24" s="1300" t="s">
        <v>939</v>
      </c>
      <c r="G24" s="1438" t="s">
        <v>2073</v>
      </c>
      <c r="H24" s="1300" t="s">
        <v>1337</v>
      </c>
      <c r="I24" s="1300"/>
    </row>
    <row r="25" spans="2:9" s="317" customFormat="1" ht="8.4499999999999993" customHeight="1">
      <c r="B25" s="1368"/>
      <c r="C25" s="1282"/>
      <c r="E25" s="1383"/>
      <c r="F25" s="1300"/>
      <c r="G25" s="322"/>
      <c r="H25" s="1300"/>
      <c r="I25" s="1300"/>
    </row>
    <row r="26" spans="2:9" s="317" customFormat="1" ht="13.5" customHeight="1">
      <c r="B26" s="1436" t="s">
        <v>1338</v>
      </c>
      <c r="C26" s="1437"/>
      <c r="D26" s="1398"/>
      <c r="E26" s="1439"/>
      <c r="F26" s="1257"/>
      <c r="G26" s="1439"/>
      <c r="H26" s="1300"/>
      <c r="I26" s="1300"/>
    </row>
    <row r="27" spans="2:9" s="317" customFormat="1" ht="12.75" customHeight="1">
      <c r="B27" s="1436" t="s">
        <v>1517</v>
      </c>
      <c r="C27" s="1437"/>
      <c r="D27" s="1398"/>
      <c r="E27" s="1438"/>
      <c r="F27" s="1300" t="s">
        <v>939</v>
      </c>
      <c r="G27" s="1438" t="s">
        <v>2073</v>
      </c>
      <c r="H27" s="1300" t="s">
        <v>1337</v>
      </c>
      <c r="I27" s="1300"/>
    </row>
    <row r="28" spans="2:9" s="317" customFormat="1" ht="12.75" customHeight="1">
      <c r="B28" s="1368"/>
      <c r="C28" s="1282"/>
      <c r="E28" s="1258"/>
    </row>
    <row r="29" spans="2:9" s="317" customFormat="1" ht="12.75" customHeight="1">
      <c r="B29" s="1368" t="s">
        <v>1336</v>
      </c>
      <c r="C29" s="1282"/>
      <c r="D29" s="2603" t="s">
        <v>2232</v>
      </c>
      <c r="E29" s="2603"/>
      <c r="F29" s="2603"/>
      <c r="G29" s="2603"/>
      <c r="H29" s="2603"/>
      <c r="I29" s="2603"/>
    </row>
    <row r="30" spans="2:9" s="317" customFormat="1">
      <c r="B30" s="1368"/>
      <c r="C30" s="322"/>
      <c r="D30" s="1433" t="s">
        <v>1847</v>
      </c>
      <c r="E30" s="1434"/>
      <c r="F30" s="1434"/>
      <c r="G30" s="1434"/>
      <c r="H30" s="1434"/>
      <c r="I30" s="1434"/>
    </row>
    <row r="31" spans="2:9" s="317" customFormat="1" ht="9.9499999999999993" customHeight="1">
      <c r="B31" s="1368"/>
      <c r="E31" s="1258"/>
    </row>
    <row r="32" spans="2:9" s="317" customFormat="1">
      <c r="B32" s="1368" t="s">
        <v>1335</v>
      </c>
      <c r="C32" s="1282"/>
      <c r="E32" s="1258"/>
    </row>
    <row r="33" spans="2:9" ht="13.5" customHeight="1">
      <c r="B33" s="1368" t="s">
        <v>1632</v>
      </c>
      <c r="C33" s="1282"/>
      <c r="E33" s="1438" t="s">
        <v>2073</v>
      </c>
      <c r="F33" s="1300" t="s">
        <v>939</v>
      </c>
      <c r="G33" s="1438"/>
      <c r="H33" s="1300" t="s">
        <v>101</v>
      </c>
    </row>
    <row r="35" spans="2:9">
      <c r="B35" s="1441" t="s">
        <v>1848</v>
      </c>
      <c r="C35" s="1442"/>
      <c r="D35" s="1267"/>
    </row>
    <row r="36" spans="2:9" ht="6" customHeight="1">
      <c r="B36" s="1441"/>
      <c r="C36" s="1442"/>
      <c r="D36" s="1267"/>
    </row>
    <row r="37" spans="2:9" ht="17.25" customHeight="1">
      <c r="B37" s="1443" t="s">
        <v>1849</v>
      </c>
      <c r="C37" s="2604" t="s">
        <v>1850</v>
      </c>
      <c r="D37" s="2605"/>
      <c r="E37" s="2605"/>
      <c r="F37" s="2606"/>
      <c r="G37" s="2604" t="s">
        <v>1673</v>
      </c>
      <c r="H37" s="2605"/>
      <c r="I37" s="2606"/>
    </row>
    <row r="38" spans="2:9" ht="16.5" customHeight="1">
      <c r="B38" s="1444" t="s">
        <v>2218</v>
      </c>
      <c r="C38" s="2592" t="s">
        <v>2219</v>
      </c>
      <c r="D38" s="2593"/>
      <c r="E38" s="2593"/>
      <c r="F38" s="2594"/>
      <c r="G38" s="2607">
        <v>1118229</v>
      </c>
      <c r="H38" s="2608"/>
      <c r="I38" s="2609"/>
    </row>
    <row r="39" spans="2:9" ht="16.5" customHeight="1">
      <c r="B39" s="1444">
        <v>93.6</v>
      </c>
      <c r="C39" s="2592" t="s">
        <v>2233</v>
      </c>
      <c r="D39" s="2593"/>
      <c r="E39" s="2593"/>
      <c r="F39" s="2594"/>
      <c r="G39" s="2595">
        <v>2553746</v>
      </c>
      <c r="H39" s="2595"/>
      <c r="I39" s="2595"/>
    </row>
    <row r="40" spans="2:9" ht="16.5" customHeight="1">
      <c r="B40" s="1444"/>
      <c r="C40" s="2592"/>
      <c r="D40" s="2593"/>
      <c r="E40" s="2593"/>
      <c r="F40" s="2594"/>
      <c r="G40" s="2595"/>
      <c r="H40" s="2595"/>
      <c r="I40" s="2595"/>
    </row>
    <row r="41" spans="2:9" ht="16.5" customHeight="1">
      <c r="B41" s="1444"/>
      <c r="C41" s="2592"/>
      <c r="D41" s="2593"/>
      <c r="E41" s="2593"/>
      <c r="F41" s="2594"/>
      <c r="G41" s="2595"/>
      <c r="H41" s="2595"/>
      <c r="I41" s="2595"/>
    </row>
    <row r="42" spans="2:9" ht="16.5" customHeight="1">
      <c r="B42" s="1444"/>
      <c r="C42" s="2592"/>
      <c r="D42" s="2593"/>
      <c r="E42" s="2593"/>
      <c r="F42" s="2594"/>
      <c r="G42" s="2595"/>
      <c r="H42" s="2595"/>
      <c r="I42" s="2595"/>
    </row>
    <row r="43" spans="2:9" ht="16.5" customHeight="1">
      <c r="B43" s="1444"/>
      <c r="C43" s="2610" t="s">
        <v>1674</v>
      </c>
      <c r="D43" s="2611"/>
      <c r="E43" s="2611"/>
      <c r="F43" s="2612"/>
      <c r="G43" s="2613">
        <f>SUM(G38:I42)</f>
        <v>3671975</v>
      </c>
      <c r="H43" s="2613"/>
      <c r="I43" s="2613"/>
    </row>
    <row r="44" spans="2:9" ht="12.75" customHeight="1"/>
    <row r="45" spans="2:9" ht="12.75" customHeight="1">
      <c r="B45" s="1435" t="s">
        <v>1947</v>
      </c>
      <c r="D45" s="2614">
        <v>7877317</v>
      </c>
      <c r="E45" s="2615"/>
    </row>
    <row r="46" spans="2:9" ht="5.25" customHeight="1">
      <c r="B46" s="1445"/>
      <c r="D46" s="1446"/>
      <c r="E46" s="1447"/>
    </row>
    <row r="47" spans="2:9" ht="12.75" customHeight="1">
      <c r="B47" s="1300" t="s">
        <v>1675</v>
      </c>
      <c r="C47" s="1300"/>
      <c r="D47" s="1448">
        <f>+G43/D45</f>
        <v>0.46614538935020644</v>
      </c>
      <c r="E47" s="1449"/>
      <c r="F47" s="1450"/>
      <c r="I47" s="1451"/>
    </row>
    <row r="48" spans="2:9" ht="9.9499999999999993" customHeight="1"/>
    <row r="49" spans="1:9">
      <c r="B49" s="1368" t="s">
        <v>1334</v>
      </c>
      <c r="C49" s="1282"/>
      <c r="D49" s="1282"/>
      <c r="E49" s="2616">
        <v>750000</v>
      </c>
      <c r="F49" s="2616"/>
      <c r="G49" s="2616"/>
      <c r="H49" s="322"/>
    </row>
    <row r="51" spans="1:9" ht="13.5" customHeight="1">
      <c r="B51" s="1368" t="s">
        <v>1333</v>
      </c>
      <c r="C51" s="1282"/>
      <c r="E51" s="1438"/>
      <c r="F51" s="1300" t="s">
        <v>939</v>
      </c>
      <c r="G51" s="1438" t="s">
        <v>2073</v>
      </c>
      <c r="H51" s="1300" t="s">
        <v>101</v>
      </c>
    </row>
    <row r="52" spans="1:9">
      <c r="B52" s="1360"/>
      <c r="C52" s="1297"/>
      <c r="D52" s="1452"/>
      <c r="E52" s="1453"/>
      <c r="F52" s="1454"/>
      <c r="G52" s="1454"/>
      <c r="H52" s="1454"/>
      <c r="I52" s="1454"/>
    </row>
    <row r="53" spans="1:9" ht="6" customHeight="1">
      <c r="B53" s="1429"/>
      <c r="C53" s="322"/>
      <c r="D53" s="1455"/>
      <c r="E53" s="1456"/>
      <c r="F53" s="1457"/>
      <c r="G53" s="1457"/>
      <c r="H53" s="1457"/>
      <c r="I53" s="1457"/>
    </row>
    <row r="54" spans="1:9" s="1461" customFormat="1" ht="14.25">
      <c r="A54" s="1458"/>
      <c r="B54" s="1459" t="s">
        <v>1851</v>
      </c>
      <c r="C54" s="1460"/>
      <c r="D54" s="1460"/>
    </row>
    <row r="55" spans="1:9" s="1461" customFormat="1" ht="12.75" customHeight="1">
      <c r="A55" s="1458"/>
      <c r="B55" s="1462" t="s">
        <v>1676</v>
      </c>
      <c r="C55" s="1458"/>
      <c r="D55" s="1458"/>
    </row>
    <row r="56" spans="1:9" s="1461" customFormat="1" ht="12.75" customHeight="1">
      <c r="A56" s="1458"/>
      <c r="B56" s="1462" t="s">
        <v>1677</v>
      </c>
      <c r="C56" s="1458"/>
      <c r="D56" s="1458"/>
    </row>
    <row r="57" spans="1:9" s="1461" customFormat="1" ht="3.95" customHeight="1">
      <c r="A57" s="1458"/>
      <c r="B57" s="1462"/>
      <c r="C57" s="1458"/>
      <c r="D57" s="1458"/>
    </row>
    <row r="58" spans="1:9" s="1461" customFormat="1" ht="13.5" customHeight="1">
      <c r="A58" s="1458"/>
      <c r="B58" s="1463" t="s">
        <v>1852</v>
      </c>
      <c r="C58" s="1464"/>
      <c r="D58" s="1464"/>
    </row>
    <row r="59" spans="1:9" s="1461" customFormat="1" ht="3.95" customHeight="1">
      <c r="A59" s="1458"/>
      <c r="B59" s="1463"/>
      <c r="C59" s="1464"/>
      <c r="D59" s="1464"/>
    </row>
    <row r="60" spans="1:9" s="1461" customFormat="1" ht="13.5" customHeight="1">
      <c r="A60" s="1458"/>
      <c r="B60" s="1463" t="s">
        <v>1853</v>
      </c>
      <c r="C60" s="1464"/>
      <c r="D60" s="1464"/>
    </row>
    <row r="61" spans="1:9" s="1461" customFormat="1" ht="3.95" customHeight="1">
      <c r="A61" s="1458"/>
      <c r="B61" s="1463"/>
      <c r="C61" s="1464"/>
      <c r="D61" s="1464"/>
    </row>
    <row r="62" spans="1:9" s="1461" customFormat="1" ht="12.75" customHeight="1">
      <c r="A62" s="1458"/>
      <c r="B62" s="1463" t="s">
        <v>1854</v>
      </c>
      <c r="C62" s="1464"/>
      <c r="D62" s="1464"/>
    </row>
    <row r="63" spans="1:9" s="1461" customFormat="1" ht="13.5" customHeight="1">
      <c r="A63" s="1458"/>
      <c r="B63" s="1462" t="s">
        <v>1678</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A6" sqref="A6:XFD6"/>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96" t="str">
        <f>'Single Audit Cover'!A7</f>
        <v>Evanston CCSD 65</v>
      </c>
      <c r="C1" s="2596"/>
      <c r="D1" s="2596"/>
      <c r="E1" s="2596"/>
      <c r="F1" s="2596"/>
      <c r="G1" s="2596"/>
      <c r="H1" s="2596"/>
      <c r="I1" s="2596"/>
      <c r="J1" s="2596"/>
      <c r="K1" s="2596"/>
      <c r="L1" s="1374"/>
      <c r="M1" s="1374"/>
    </row>
    <row r="2" spans="1:13" ht="12" customHeight="1">
      <c r="B2" s="2598">
        <f>'Single Audit Cover'!E7</f>
        <v>5016065004</v>
      </c>
      <c r="C2" s="2598"/>
      <c r="D2" s="2598"/>
      <c r="E2" s="2598"/>
      <c r="F2" s="2598"/>
      <c r="G2" s="2598"/>
      <c r="H2" s="2598"/>
      <c r="I2" s="2598"/>
      <c r="J2" s="2598"/>
      <c r="K2" s="2598"/>
      <c r="L2" s="1375"/>
      <c r="M2" s="1376"/>
    </row>
    <row r="3" spans="1:13" ht="10.35" customHeight="1">
      <c r="B3" s="2619" t="s">
        <v>1346</v>
      </c>
      <c r="C3" s="2619"/>
      <c r="D3" s="2619"/>
      <c r="E3" s="2619"/>
      <c r="F3" s="2619"/>
      <c r="G3" s="2619"/>
      <c r="H3" s="2619"/>
      <c r="I3" s="2619"/>
      <c r="J3" s="2619"/>
      <c r="K3" s="2619"/>
      <c r="L3" s="1377"/>
      <c r="M3" s="1377"/>
    </row>
    <row r="4" spans="1:13" ht="14.25" customHeight="1">
      <c r="B4" s="2620" t="str">
        <f>'Single Audit Cover'!A4</f>
        <v>Year Ending June 30, 2018</v>
      </c>
      <c r="C4" s="2620"/>
      <c r="D4" s="2620"/>
      <c r="E4" s="2620"/>
      <c r="F4" s="2620"/>
      <c r="G4" s="2620"/>
      <c r="H4" s="2620"/>
      <c r="I4" s="2620"/>
      <c r="J4" s="2620"/>
      <c r="K4" s="2620"/>
      <c r="L4" s="313"/>
      <c r="M4" s="313"/>
    </row>
    <row r="5" spans="1:13" ht="7.5" customHeight="1">
      <c r="B5" s="1260" t="s">
        <v>1230</v>
      </c>
      <c r="C5" s="1260"/>
    </row>
    <row r="6" spans="1:13" ht="7.5" customHeight="1">
      <c r="B6" s="1378"/>
      <c r="C6" s="1378"/>
      <c r="D6" s="1379"/>
      <c r="E6" s="1379"/>
      <c r="F6" s="1379"/>
      <c r="G6" s="1380"/>
      <c r="H6" s="1379"/>
      <c r="I6" s="1380"/>
      <c r="J6" s="1379"/>
      <c r="K6" s="1379"/>
      <c r="L6" s="1381"/>
    </row>
    <row r="7" spans="1:13" ht="12.75" customHeight="1">
      <c r="A7" s="1282"/>
      <c r="B7" s="2620" t="s">
        <v>1362</v>
      </c>
      <c r="C7" s="2620"/>
      <c r="D7" s="2621"/>
      <c r="E7" s="2621"/>
      <c r="F7" s="2621"/>
      <c r="G7" s="2621"/>
      <c r="H7" s="2621"/>
      <c r="I7" s="2621"/>
      <c r="J7" s="2621"/>
      <c r="K7" s="2621"/>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1841</v>
      </c>
      <c r="C10" s="1385" t="s">
        <v>1948</v>
      </c>
      <c r="D10" s="1386">
        <v>1</v>
      </c>
      <c r="E10" s="322"/>
      <c r="F10" s="1387" t="s">
        <v>1361</v>
      </c>
      <c r="G10" s="1388"/>
      <c r="H10" s="1389" t="s">
        <v>1360</v>
      </c>
      <c r="I10" s="1388" t="s">
        <v>2073</v>
      </c>
      <c r="J10" s="1390" t="s">
        <v>1359</v>
      </c>
      <c r="K10" s="322"/>
      <c r="L10" s="1381"/>
    </row>
    <row r="11" spans="1:13" ht="13.5" customHeight="1">
      <c r="B11" s="322"/>
      <c r="C11" s="322"/>
      <c r="D11" s="322"/>
      <c r="E11" s="322"/>
      <c r="F11" s="322"/>
      <c r="G11" s="1383"/>
      <c r="H11" s="322"/>
      <c r="I11" s="1391" t="s">
        <v>1358</v>
      </c>
      <c r="J11" s="322"/>
      <c r="K11" s="1392">
        <v>2016</v>
      </c>
      <c r="L11" s="1381"/>
    </row>
    <row r="12" spans="1:13" ht="13.5" customHeight="1">
      <c r="B12" s="1294"/>
      <c r="C12" s="1294"/>
      <c r="D12" s="322"/>
      <c r="E12" s="322"/>
      <c r="F12" s="322"/>
      <c r="G12" s="1383"/>
      <c r="H12" s="322"/>
      <c r="I12" s="1383"/>
      <c r="J12" s="322"/>
      <c r="L12" s="1381"/>
    </row>
    <row r="13" spans="1:13" s="1282" customFormat="1" ht="13.5" customHeight="1">
      <c r="B13" s="1393" t="s">
        <v>1357</v>
      </c>
      <c r="C13" s="1393"/>
      <c r="D13" s="1394"/>
      <c r="E13" s="1394"/>
      <c r="F13" s="1394"/>
      <c r="G13" s="1395"/>
      <c r="H13" s="1394"/>
      <c r="I13" s="1395"/>
      <c r="J13" s="1394"/>
      <c r="K13" s="1394"/>
      <c r="L13" s="1396"/>
    </row>
    <row r="14" spans="1:13" ht="45.75" customHeight="1">
      <c r="B14" s="2618" t="s">
        <v>2234</v>
      </c>
      <c r="C14" s="2618"/>
      <c r="D14" s="2618"/>
      <c r="E14" s="2618"/>
      <c r="F14" s="2618"/>
      <c r="G14" s="2618"/>
      <c r="H14" s="2618"/>
      <c r="I14" s="2618"/>
      <c r="J14" s="2618"/>
      <c r="K14" s="2618"/>
      <c r="L14" s="1397"/>
    </row>
    <row r="15" spans="1:13" ht="4.5" customHeight="1">
      <c r="B15" s="1398"/>
      <c r="C15" s="1398"/>
      <c r="D15" s="1399"/>
      <c r="E15" s="1399"/>
      <c r="F15" s="1399"/>
      <c r="H15" s="1399"/>
      <c r="J15" s="1399"/>
      <c r="K15" s="1399"/>
      <c r="L15" s="1397"/>
    </row>
    <row r="16" spans="1:13" s="1282" customFormat="1" ht="13.5" customHeight="1">
      <c r="B16" s="1393" t="s">
        <v>1356</v>
      </c>
      <c r="C16" s="1393"/>
      <c r="D16" s="1394"/>
      <c r="E16" s="1394"/>
      <c r="F16" s="1394"/>
      <c r="G16" s="1395"/>
      <c r="H16" s="1394"/>
      <c r="I16" s="1395"/>
      <c r="J16" s="1394"/>
      <c r="K16" s="1394"/>
      <c r="L16" s="1396"/>
    </row>
    <row r="17" spans="2:12" ht="45.75" customHeight="1">
      <c r="B17" s="2618" t="s">
        <v>2237</v>
      </c>
      <c r="C17" s="2618"/>
      <c r="D17" s="2618"/>
      <c r="E17" s="2618"/>
      <c r="F17" s="2618"/>
      <c r="G17" s="2618"/>
      <c r="H17" s="2618"/>
      <c r="I17" s="2618"/>
      <c r="J17" s="2618"/>
      <c r="K17" s="2618"/>
      <c r="L17" s="1381"/>
    </row>
    <row r="18" spans="2:12" ht="4.5" customHeight="1">
      <c r="B18" s="1398"/>
      <c r="C18" s="1398"/>
      <c r="L18" s="1381"/>
    </row>
    <row r="19" spans="2:12" s="1282" customFormat="1" ht="13.5" customHeight="1">
      <c r="B19" s="1393" t="s">
        <v>1842</v>
      </c>
      <c r="C19" s="1393"/>
      <c r="D19" s="1394"/>
      <c r="E19" s="1394"/>
      <c r="F19" s="1394"/>
      <c r="G19" s="1395"/>
      <c r="H19" s="1394"/>
      <c r="I19" s="1395"/>
      <c r="J19" s="1394"/>
      <c r="K19" s="1394"/>
      <c r="L19" s="1396"/>
    </row>
    <row r="20" spans="2:12" ht="45.75" customHeight="1">
      <c r="B20" s="2622" t="s">
        <v>2235</v>
      </c>
      <c r="C20" s="2622"/>
      <c r="D20" s="2618"/>
      <c r="E20" s="2618"/>
      <c r="F20" s="2618"/>
      <c r="G20" s="2618"/>
      <c r="H20" s="2618"/>
      <c r="I20" s="2618"/>
      <c r="J20" s="2618"/>
      <c r="K20" s="2618"/>
      <c r="L20" s="1381"/>
    </row>
    <row r="21" spans="2:12" ht="4.5" customHeight="1">
      <c r="B21" s="1400"/>
      <c r="C21" s="1400"/>
      <c r="L21" s="1381"/>
    </row>
    <row r="22" spans="2:12" ht="13.5" customHeight="1">
      <c r="B22" s="1393" t="s">
        <v>1355</v>
      </c>
      <c r="C22" s="1393"/>
      <c r="D22" s="1379"/>
      <c r="E22" s="1379"/>
      <c r="F22" s="1379"/>
      <c r="G22" s="1380"/>
      <c r="H22" s="1379"/>
      <c r="I22" s="1380"/>
      <c r="J22" s="1379"/>
      <c r="K22" s="1379"/>
      <c r="L22" s="1381"/>
    </row>
    <row r="23" spans="2:12" ht="45" customHeight="1">
      <c r="B23" s="2618" t="s">
        <v>2238</v>
      </c>
      <c r="C23" s="2618"/>
      <c r="D23" s="2618"/>
      <c r="E23" s="2618"/>
      <c r="F23" s="2618"/>
      <c r="G23" s="2618"/>
      <c r="H23" s="2618"/>
      <c r="I23" s="2618"/>
      <c r="J23" s="2618"/>
      <c r="K23" s="2618"/>
      <c r="L23" s="1381"/>
    </row>
    <row r="24" spans="2:12" ht="4.5" customHeight="1">
      <c r="B24" s="1398"/>
      <c r="C24" s="1398"/>
      <c r="L24" s="1381"/>
    </row>
    <row r="25" spans="2:12" ht="13.5" customHeight="1">
      <c r="B25" s="1393" t="s">
        <v>1354</v>
      </c>
      <c r="C25" s="1393"/>
      <c r="D25" s="1379"/>
      <c r="E25" s="1379"/>
      <c r="F25" s="1379"/>
      <c r="G25" s="1380"/>
      <c r="H25" s="1379"/>
      <c r="I25" s="1380"/>
      <c r="J25" s="1379"/>
      <c r="K25" s="1379"/>
      <c r="L25" s="1381"/>
    </row>
    <row r="26" spans="2:12" ht="45.75" customHeight="1">
      <c r="B26" s="2618" t="s">
        <v>2239</v>
      </c>
      <c r="C26" s="2618"/>
      <c r="D26" s="2618"/>
      <c r="E26" s="2618"/>
      <c r="F26" s="2618"/>
      <c r="G26" s="2618"/>
      <c r="H26" s="2618"/>
      <c r="I26" s="2618"/>
      <c r="J26" s="2618"/>
      <c r="K26" s="2618"/>
      <c r="L26" s="1381"/>
    </row>
    <row r="27" spans="2:12" ht="4.5" customHeight="1">
      <c r="B27" s="1398"/>
      <c r="C27" s="1398"/>
      <c r="L27" s="1381"/>
    </row>
    <row r="28" spans="2:12" ht="13.5" customHeight="1">
      <c r="B28" s="1401" t="s">
        <v>1353</v>
      </c>
      <c r="C28" s="1401"/>
      <c r="D28" s="1379"/>
      <c r="E28" s="1379"/>
      <c r="F28" s="1379"/>
      <c r="G28" s="1380"/>
      <c r="H28" s="1379"/>
      <c r="I28" s="1380"/>
      <c r="J28" s="1379"/>
      <c r="K28" s="1379"/>
      <c r="L28" s="1381"/>
    </row>
    <row r="29" spans="2:12" ht="45.75" customHeight="1">
      <c r="B29" s="2617" t="s">
        <v>2240</v>
      </c>
      <c r="C29" s="2617"/>
      <c r="D29" s="2618"/>
      <c r="E29" s="2618"/>
      <c r="F29" s="2618"/>
      <c r="G29" s="2618"/>
      <c r="H29" s="2618"/>
      <c r="I29" s="2618"/>
      <c r="J29" s="2618"/>
      <c r="K29" s="2618"/>
      <c r="L29" s="1381"/>
    </row>
    <row r="30" spans="2:12" ht="4.5" customHeight="1">
      <c r="B30" s="1402"/>
      <c r="C30" s="1402"/>
      <c r="D30" s="322"/>
      <c r="E30" s="322"/>
      <c r="F30" s="322"/>
      <c r="G30" s="1383"/>
      <c r="H30" s="322"/>
      <c r="I30" s="1383"/>
      <c r="J30" s="322"/>
      <c r="K30" s="322"/>
      <c r="L30" s="1381"/>
    </row>
    <row r="31" spans="2:12" s="322" customFormat="1" ht="13.5" customHeight="1">
      <c r="B31" s="1403" t="s">
        <v>1843</v>
      </c>
      <c r="C31" s="1403"/>
      <c r="D31" s="1378"/>
      <c r="E31" s="1379"/>
      <c r="F31" s="1379"/>
      <c r="G31" s="1380"/>
      <c r="H31" s="1379"/>
      <c r="I31" s="1380"/>
      <c r="J31" s="1379"/>
      <c r="K31" s="1379"/>
      <c r="L31" s="1381"/>
    </row>
    <row r="32" spans="2:12" s="322" customFormat="1" ht="44.25" customHeight="1">
      <c r="B32" s="2617"/>
      <c r="C32" s="2617"/>
      <c r="D32" s="2618"/>
      <c r="E32" s="2618"/>
      <c r="F32" s="2618"/>
      <c r="G32" s="2618"/>
      <c r="H32" s="2618"/>
      <c r="I32" s="2618"/>
      <c r="J32" s="2618"/>
      <c r="K32" s="2618"/>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1844</v>
      </c>
      <c r="C35" s="1419"/>
      <c r="D35" s="322"/>
      <c r="E35" s="322"/>
      <c r="F35" s="322"/>
      <c r="L35" s="1381"/>
    </row>
    <row r="36" spans="1:13" ht="9.6" customHeight="1">
      <c r="B36" s="1300" t="s">
        <v>1949</v>
      </c>
      <c r="C36" s="1300"/>
      <c r="L36" s="1381"/>
    </row>
    <row r="37" spans="1:13" ht="9.6" customHeight="1">
      <c r="B37" s="1300" t="s">
        <v>1950</v>
      </c>
      <c r="C37" s="1300"/>
    </row>
    <row r="38" spans="1:13" ht="11.85" customHeight="1">
      <c r="B38" s="1420" t="s">
        <v>1845</v>
      </c>
      <c r="C38" s="1420"/>
    </row>
    <row r="39" spans="1:13" ht="9.6" customHeight="1">
      <c r="B39" s="1300" t="s">
        <v>1347</v>
      </c>
      <c r="C39" s="1300"/>
      <c r="M39" s="1421"/>
    </row>
    <row r="40" spans="1:13" ht="12.6" customHeight="1">
      <c r="B40" s="1420" t="s">
        <v>1846</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6" sqref="A6:XFD6"/>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23" t="str">
        <f>'Single Audit Cover'!A7</f>
        <v>Evanston CCSD 65</v>
      </c>
      <c r="C1" s="2623"/>
      <c r="D1" s="2623"/>
      <c r="E1" s="2623"/>
      <c r="F1" s="2623"/>
      <c r="G1" s="2623"/>
      <c r="H1" s="2623"/>
      <c r="I1" s="2623"/>
      <c r="J1" s="2623"/>
      <c r="K1" s="2623"/>
      <c r="L1" s="1465"/>
    </row>
    <row r="2" spans="1:12" ht="12.75" customHeight="1">
      <c r="B2" s="2624">
        <f>'Single Audit Cover'!E7</f>
        <v>5016065004</v>
      </c>
      <c r="C2" s="2624"/>
      <c r="D2" s="2624"/>
      <c r="E2" s="2624"/>
      <c r="F2" s="2624"/>
      <c r="G2" s="2624"/>
      <c r="H2" s="2624"/>
      <c r="I2" s="2624"/>
      <c r="J2" s="2624"/>
      <c r="K2" s="2624"/>
      <c r="L2" s="1466"/>
    </row>
    <row r="3" spans="1:12" ht="12.75" customHeight="1">
      <c r="B3" s="2619" t="s">
        <v>1346</v>
      </c>
      <c r="C3" s="2619"/>
      <c r="D3" s="2619"/>
      <c r="E3" s="2619"/>
      <c r="F3" s="2619"/>
      <c r="G3" s="2619"/>
      <c r="H3" s="2619"/>
      <c r="I3" s="2619"/>
      <c r="J3" s="2619"/>
      <c r="K3" s="2619"/>
      <c r="L3" s="1377"/>
    </row>
    <row r="4" spans="1:12" ht="12.75" customHeight="1">
      <c r="B4" s="2619" t="str">
        <f>'Single Audit Cover'!A4</f>
        <v>Year Ending June 30, 2018</v>
      </c>
      <c r="C4" s="2619"/>
      <c r="D4" s="2619"/>
      <c r="E4" s="2619"/>
      <c r="F4" s="2619"/>
      <c r="G4" s="2619"/>
      <c r="H4" s="2619"/>
      <c r="I4" s="2619"/>
      <c r="J4" s="2619"/>
      <c r="K4" s="2619"/>
      <c r="L4" s="1377"/>
    </row>
    <row r="5" spans="1:12" ht="5.25" customHeight="1">
      <c r="B5" s="1260" t="s">
        <v>1230</v>
      </c>
      <c r="C5" s="1260"/>
      <c r="L5" s="322"/>
    </row>
    <row r="6" spans="1:12" ht="30.75" customHeight="1">
      <c r="A6" s="322"/>
      <c r="B6" s="2625" t="s">
        <v>1374</v>
      </c>
      <c r="C6" s="2625"/>
      <c r="D6" s="2625"/>
      <c r="E6" s="2625"/>
      <c r="F6" s="2625"/>
      <c r="G6" s="2625"/>
      <c r="H6" s="2625"/>
      <c r="I6" s="2625"/>
      <c r="J6" s="2625"/>
      <c r="K6" s="2625"/>
      <c r="L6" s="322"/>
    </row>
    <row r="7" spans="1:12" ht="4.5" customHeight="1">
      <c r="B7" s="1379"/>
      <c r="C7" s="1379"/>
      <c r="D7" s="1379"/>
      <c r="E7" s="1379"/>
      <c r="F7" s="1379"/>
      <c r="G7" s="1380"/>
      <c r="H7" s="1379"/>
      <c r="I7" s="1380"/>
      <c r="J7" s="1379"/>
      <c r="K7" s="1379"/>
      <c r="L7" s="322"/>
    </row>
    <row r="8" spans="1:12" ht="13.5" customHeight="1">
      <c r="B8" s="1387" t="s">
        <v>1855</v>
      </c>
      <c r="C8" s="1467" t="s">
        <v>1948</v>
      </c>
      <c r="D8" s="1468" t="s">
        <v>2111</v>
      </c>
      <c r="E8" s="322"/>
      <c r="F8" s="1384" t="s">
        <v>1361</v>
      </c>
      <c r="G8" s="1469"/>
      <c r="H8" s="1470" t="s">
        <v>1373</v>
      </c>
      <c r="I8" s="1469"/>
      <c r="J8" s="1471" t="s">
        <v>1372</v>
      </c>
      <c r="L8" s="322"/>
    </row>
    <row r="9" spans="1:12" ht="13.5" customHeight="1">
      <c r="D9" s="322"/>
      <c r="E9" s="322"/>
      <c r="F9" s="322"/>
      <c r="G9" s="1383"/>
      <c r="H9" s="322"/>
      <c r="I9" s="1472" t="s">
        <v>1358</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1371</v>
      </c>
      <c r="C12" s="1384"/>
      <c r="D12" s="304"/>
      <c r="E12" s="322"/>
      <c r="F12" s="2603"/>
      <c r="G12" s="2603"/>
      <c r="H12" s="2603"/>
      <c r="I12" s="2603"/>
      <c r="J12" s="2603"/>
      <c r="K12" s="2603"/>
      <c r="L12" s="322"/>
    </row>
    <row r="13" spans="1:12" ht="9.6" customHeight="1">
      <c r="B13" s="1257"/>
      <c r="C13" s="1257"/>
      <c r="D13" s="304"/>
      <c r="E13" s="322"/>
      <c r="F13" s="322"/>
      <c r="G13" s="1383"/>
      <c r="H13" s="322"/>
      <c r="I13" s="1383"/>
      <c r="J13" s="322"/>
      <c r="K13" s="1432"/>
      <c r="L13" s="322"/>
    </row>
    <row r="14" spans="1:12" ht="13.5" customHeight="1">
      <c r="B14" s="1387" t="s">
        <v>1370</v>
      </c>
      <c r="C14" s="1387"/>
      <c r="D14" s="2626"/>
      <c r="E14" s="2626"/>
      <c r="F14" s="2626"/>
      <c r="H14" s="1475" t="s">
        <v>1369</v>
      </c>
      <c r="I14" s="2627"/>
      <c r="J14" s="2627"/>
      <c r="K14" s="2627"/>
      <c r="L14" s="322"/>
    </row>
    <row r="15" spans="1:12" ht="9.4" customHeight="1">
      <c r="B15" s="1387"/>
      <c r="C15" s="1387"/>
      <c r="D15" s="1373"/>
      <c r="E15" s="1260"/>
      <c r="F15" s="1260"/>
      <c r="G15" s="1286"/>
      <c r="H15" s="1260"/>
      <c r="I15" s="1476"/>
      <c r="J15" s="1294"/>
      <c r="K15" s="1291"/>
      <c r="L15" s="322"/>
    </row>
    <row r="16" spans="1:12" ht="13.5" customHeight="1">
      <c r="B16" s="1387" t="s">
        <v>1368</v>
      </c>
      <c r="C16" s="1387"/>
      <c r="D16" s="2627"/>
      <c r="E16" s="2627"/>
      <c r="F16" s="2627"/>
      <c r="G16" s="2627"/>
      <c r="H16" s="2627"/>
      <c r="I16" s="2627"/>
      <c r="J16" s="2627"/>
      <c r="K16" s="2627"/>
      <c r="L16" s="322"/>
    </row>
    <row r="17" spans="2:12" ht="13.5" customHeight="1">
      <c r="B17" s="1387" t="s">
        <v>1367</v>
      </c>
      <c r="C17" s="1387"/>
      <c r="D17" s="2628"/>
      <c r="E17" s="2628"/>
      <c r="F17" s="2628"/>
      <c r="G17" s="2628"/>
      <c r="H17" s="2628"/>
      <c r="I17" s="2628"/>
      <c r="J17" s="2628"/>
      <c r="K17" s="2628"/>
      <c r="L17" s="322"/>
    </row>
    <row r="18" spans="2:12" ht="9.4" customHeight="1">
      <c r="B18" s="1427"/>
      <c r="C18" s="1427"/>
      <c r="D18" s="1427"/>
      <c r="E18" s="1427"/>
      <c r="F18" s="1427"/>
      <c r="G18" s="1428"/>
      <c r="H18" s="1427"/>
      <c r="I18" s="1428"/>
      <c r="J18" s="1427"/>
      <c r="K18" s="1427"/>
      <c r="L18" s="322"/>
    </row>
    <row r="19" spans="2:12" ht="13.5" customHeight="1">
      <c r="B19" s="1477" t="s">
        <v>1366</v>
      </c>
      <c r="C19" s="1477"/>
      <c r="D19" s="328"/>
      <c r="E19" s="328"/>
      <c r="F19" s="328"/>
      <c r="G19" s="1478"/>
      <c r="H19" s="328"/>
      <c r="I19" s="1478"/>
      <c r="J19" s="322"/>
      <c r="K19" s="322"/>
      <c r="L19" s="322"/>
    </row>
    <row r="20" spans="2:12" ht="35.25" customHeight="1">
      <c r="B20" s="2618"/>
      <c r="C20" s="2618"/>
      <c r="D20" s="2618"/>
      <c r="E20" s="2618"/>
      <c r="F20" s="2618"/>
      <c r="G20" s="2618"/>
      <c r="H20" s="2618"/>
      <c r="I20" s="2618"/>
      <c r="J20" s="2618"/>
      <c r="K20" s="2618"/>
      <c r="L20" s="1432"/>
    </row>
    <row r="21" spans="2:12" ht="4.5" customHeight="1">
      <c r="B21" s="1479"/>
      <c r="C21" s="1479"/>
      <c r="D21" s="1480"/>
      <c r="E21" s="1480"/>
      <c r="F21" s="1480"/>
      <c r="G21" s="1428"/>
      <c r="H21" s="1480"/>
      <c r="I21" s="1428"/>
      <c r="J21" s="1480"/>
      <c r="K21" s="1480"/>
      <c r="L21" s="1432"/>
    </row>
    <row r="22" spans="2:12" ht="13.35" customHeight="1">
      <c r="B22" s="1477" t="s">
        <v>1856</v>
      </c>
      <c r="C22" s="1477"/>
      <c r="D22" s="322"/>
      <c r="E22" s="322"/>
      <c r="F22" s="322"/>
      <c r="G22" s="1383"/>
      <c r="H22" s="322"/>
      <c r="I22" s="1383"/>
      <c r="J22" s="322"/>
      <c r="K22" s="322"/>
      <c r="L22" s="322"/>
    </row>
    <row r="23" spans="2:12" ht="37.5" customHeight="1">
      <c r="B23" s="2618"/>
      <c r="C23" s="2618"/>
      <c r="D23" s="2618"/>
      <c r="E23" s="2618"/>
      <c r="F23" s="2618"/>
      <c r="G23" s="2618"/>
      <c r="H23" s="2618"/>
      <c r="I23" s="2618"/>
      <c r="J23" s="2618"/>
      <c r="K23" s="2618"/>
      <c r="L23" s="322"/>
    </row>
    <row r="24" spans="2:12" ht="4.5" customHeight="1">
      <c r="B24" s="1479"/>
      <c r="C24" s="1479"/>
      <c r="D24" s="1427"/>
      <c r="E24" s="1427"/>
      <c r="F24" s="1427"/>
      <c r="G24" s="1428"/>
      <c r="H24" s="1427"/>
      <c r="I24" s="1428"/>
      <c r="J24" s="1427"/>
      <c r="K24" s="1427"/>
      <c r="L24" s="322"/>
    </row>
    <row r="25" spans="2:12" ht="13.5" customHeight="1">
      <c r="B25" s="1477" t="s">
        <v>1857</v>
      </c>
      <c r="C25" s="1477"/>
      <c r="D25" s="322"/>
      <c r="E25" s="322"/>
      <c r="F25" s="322"/>
      <c r="G25" s="1383"/>
      <c r="H25" s="322"/>
      <c r="I25" s="1383"/>
      <c r="J25" s="322"/>
      <c r="K25" s="322"/>
      <c r="L25" s="322"/>
    </row>
    <row r="26" spans="2:12" ht="37.5" customHeight="1">
      <c r="B26" s="2618"/>
      <c r="C26" s="2618"/>
      <c r="D26" s="2618"/>
      <c r="E26" s="2618"/>
      <c r="F26" s="2618"/>
      <c r="G26" s="2618"/>
      <c r="H26" s="2618"/>
      <c r="I26" s="2618"/>
      <c r="J26" s="2618"/>
      <c r="K26" s="2618"/>
      <c r="L26" s="322"/>
    </row>
    <row r="27" spans="2:12" ht="4.5" customHeight="1">
      <c r="B27" s="1481"/>
      <c r="C27" s="1481"/>
      <c r="D27" s="1481"/>
      <c r="E27" s="1427"/>
      <c r="F27" s="1427"/>
      <c r="G27" s="1428"/>
      <c r="H27" s="1427"/>
      <c r="I27" s="1428"/>
      <c r="J27" s="1427"/>
      <c r="K27" s="1427"/>
      <c r="L27" s="322"/>
    </row>
    <row r="28" spans="2:12" ht="13.5" customHeight="1">
      <c r="B28" s="1477" t="s">
        <v>1858</v>
      </c>
      <c r="C28" s="1477"/>
      <c r="D28" s="322"/>
      <c r="E28" s="322"/>
      <c r="F28" s="322"/>
      <c r="G28" s="1383"/>
      <c r="H28" s="322"/>
      <c r="I28" s="1383"/>
      <c r="J28" s="322"/>
      <c r="K28" s="322"/>
      <c r="L28" s="322"/>
    </row>
    <row r="29" spans="2:12" ht="37.5" customHeight="1">
      <c r="B29" s="2618"/>
      <c r="C29" s="2618"/>
      <c r="D29" s="2618"/>
      <c r="E29" s="2618"/>
      <c r="F29" s="2618"/>
      <c r="G29" s="2618"/>
      <c r="H29" s="2618"/>
      <c r="I29" s="2618"/>
      <c r="J29" s="2618"/>
      <c r="K29" s="2618"/>
      <c r="L29" s="322"/>
    </row>
    <row r="30" spans="2:12" ht="4.5" customHeight="1">
      <c r="B30" s="1479"/>
      <c r="C30" s="1479"/>
      <c r="D30" s="1427"/>
      <c r="E30" s="1427"/>
      <c r="F30" s="1427"/>
      <c r="G30" s="1428"/>
      <c r="H30" s="1427"/>
      <c r="I30" s="1428"/>
      <c r="J30" s="1427"/>
      <c r="K30" s="1427"/>
      <c r="L30" s="322"/>
    </row>
    <row r="31" spans="2:12" ht="13.5" customHeight="1">
      <c r="B31" s="1477" t="s">
        <v>1365</v>
      </c>
      <c r="C31" s="1477"/>
      <c r="D31" s="322"/>
      <c r="E31" s="322"/>
      <c r="F31" s="322"/>
      <c r="G31" s="1383"/>
      <c r="H31" s="322"/>
      <c r="I31" s="1383"/>
      <c r="J31" s="322"/>
      <c r="K31" s="322"/>
      <c r="L31" s="322"/>
    </row>
    <row r="32" spans="2:12" ht="37.5" customHeight="1">
      <c r="B32" s="2618"/>
      <c r="C32" s="2618"/>
      <c r="D32" s="2618"/>
      <c r="E32" s="2618"/>
      <c r="F32" s="2618"/>
      <c r="G32" s="2618"/>
      <c r="H32" s="2618"/>
      <c r="I32" s="2618"/>
      <c r="J32" s="2618"/>
      <c r="K32" s="2618"/>
      <c r="L32" s="322"/>
    </row>
    <row r="33" spans="2:12" ht="4.5" customHeight="1">
      <c r="B33" s="1479"/>
      <c r="C33" s="1479"/>
      <c r="D33" s="1427"/>
      <c r="E33" s="1427"/>
      <c r="F33" s="1427"/>
      <c r="G33" s="1428"/>
      <c r="H33" s="1427"/>
      <c r="I33" s="1428"/>
      <c r="J33" s="1427"/>
      <c r="K33" s="1427"/>
      <c r="L33" s="322"/>
    </row>
    <row r="34" spans="2:12" ht="13.5" customHeight="1">
      <c r="B34" s="1384" t="s">
        <v>1364</v>
      </c>
      <c r="C34" s="1384"/>
      <c r="D34" s="322"/>
      <c r="E34" s="322"/>
      <c r="F34" s="322"/>
      <c r="G34" s="1383"/>
      <c r="H34" s="322"/>
      <c r="I34" s="1383"/>
      <c r="J34" s="322"/>
      <c r="K34" s="322"/>
      <c r="L34" s="322"/>
    </row>
    <row r="35" spans="2:12" ht="37.5" customHeight="1">
      <c r="B35" s="2618"/>
      <c r="C35" s="2618"/>
      <c r="D35" s="2618"/>
      <c r="E35" s="2618"/>
      <c r="F35" s="2618"/>
      <c r="G35" s="2618"/>
      <c r="H35" s="2618"/>
      <c r="I35" s="2618"/>
      <c r="J35" s="2618"/>
      <c r="K35" s="2618"/>
      <c r="L35" s="322"/>
    </row>
    <row r="36" spans="2:12" ht="4.5" customHeight="1">
      <c r="B36" s="1479"/>
      <c r="C36" s="1479"/>
      <c r="D36" s="1427"/>
      <c r="E36" s="1427"/>
      <c r="F36" s="1427"/>
      <c r="G36" s="1428"/>
      <c r="H36" s="1427"/>
      <c r="I36" s="1428"/>
      <c r="J36" s="1427"/>
      <c r="K36" s="1427"/>
      <c r="L36" s="322"/>
    </row>
    <row r="37" spans="2:12" ht="13.5" customHeight="1">
      <c r="B37" s="1384" t="s">
        <v>1363</v>
      </c>
      <c r="C37" s="1384"/>
      <c r="D37" s="322"/>
      <c r="E37" s="322"/>
      <c r="F37" s="322"/>
      <c r="G37" s="1383"/>
      <c r="H37" s="322"/>
      <c r="I37" s="1383"/>
      <c r="J37" s="322"/>
      <c r="K37" s="322"/>
      <c r="L37" s="322"/>
    </row>
    <row r="38" spans="2:12" ht="35.25" customHeight="1">
      <c r="B38" s="2618"/>
      <c r="C38" s="2618"/>
      <c r="D38" s="2618"/>
      <c r="E38" s="2618"/>
      <c r="F38" s="2618"/>
      <c r="G38" s="2618"/>
      <c r="H38" s="2618"/>
      <c r="I38" s="2618"/>
      <c r="J38" s="2618"/>
      <c r="K38" s="2618"/>
      <c r="L38" s="322"/>
    </row>
    <row r="39" spans="2:12" ht="4.5" customHeight="1">
      <c r="B39" s="1402"/>
      <c r="C39" s="1402"/>
      <c r="D39" s="322"/>
      <c r="E39" s="322"/>
      <c r="F39" s="322"/>
      <c r="G39" s="1383"/>
      <c r="H39" s="322"/>
      <c r="I39" s="1383"/>
      <c r="J39" s="322"/>
      <c r="K39" s="322"/>
      <c r="L39" s="322"/>
    </row>
    <row r="40" spans="2:12" s="322" customFormat="1" ht="13.5" customHeight="1">
      <c r="B40" s="1403" t="s">
        <v>1859</v>
      </c>
      <c r="C40" s="1403"/>
      <c r="D40" s="1378"/>
      <c r="E40" s="1379"/>
      <c r="F40" s="1379"/>
      <c r="G40" s="1380"/>
      <c r="H40" s="1379"/>
      <c r="I40" s="1380"/>
      <c r="J40" s="1379"/>
      <c r="K40" s="1379"/>
    </row>
    <row r="41" spans="2:12" s="322" customFormat="1" ht="33.75" customHeight="1">
      <c r="B41" s="2618"/>
      <c r="C41" s="2618"/>
      <c r="D41" s="2618"/>
      <c r="E41" s="2618"/>
      <c r="F41" s="2618"/>
      <c r="G41" s="2618"/>
      <c r="H41" s="2618"/>
      <c r="I41" s="2618"/>
      <c r="J41" s="2618"/>
      <c r="K41" s="2618"/>
    </row>
    <row r="42" spans="2:12" s="322" customFormat="1" ht="4.5" customHeight="1">
      <c r="B42" s="1402"/>
      <c r="C42" s="1402"/>
      <c r="G42" s="1383"/>
      <c r="I42" s="1383"/>
    </row>
    <row r="43" spans="2:12" s="322" customFormat="1" ht="13.5" customHeight="1">
      <c r="B43" s="1482" t="s">
        <v>1352</v>
      </c>
      <c r="C43" s="1483"/>
      <c r="D43" s="1404"/>
      <c r="E43" s="1404"/>
      <c r="F43" s="1404"/>
      <c r="G43" s="1405"/>
      <c r="H43" s="1404"/>
      <c r="I43" s="1405"/>
      <c r="J43" s="1404"/>
      <c r="K43" s="1406"/>
      <c r="L43" s="1484"/>
    </row>
    <row r="44" spans="2:12" s="322" customFormat="1" ht="13.5" customHeight="1">
      <c r="B44" s="1407" t="s">
        <v>1351</v>
      </c>
      <c r="C44" s="1408"/>
      <c r="D44" s="1485"/>
      <c r="E44" s="1409"/>
      <c r="F44" s="1413" t="s">
        <v>1350</v>
      </c>
      <c r="G44" s="1411"/>
      <c r="H44" s="1410"/>
      <c r="I44" s="1411"/>
      <c r="J44" s="1486"/>
      <c r="K44" s="1487"/>
      <c r="L44" s="1484"/>
    </row>
    <row r="45" spans="2:12" s="322" customFormat="1" ht="13.5" customHeight="1">
      <c r="B45" s="1407" t="s">
        <v>1349</v>
      </c>
      <c r="C45" s="1408"/>
      <c r="D45" s="1486"/>
      <c r="E45" s="1410"/>
      <c r="F45" s="1413" t="s">
        <v>1348</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1860</v>
      </c>
      <c r="C48" s="1419"/>
      <c r="D48" s="322"/>
      <c r="E48" s="322"/>
      <c r="F48" s="322"/>
    </row>
    <row r="49" spans="2:3" s="317" customFormat="1" ht="10.5" customHeight="1">
      <c r="B49" s="1420" t="s">
        <v>1861</v>
      </c>
      <c r="C49" s="1420"/>
    </row>
    <row r="50" spans="2:3" s="317" customFormat="1" ht="11.1" customHeight="1">
      <c r="B50" s="1420" t="s">
        <v>1862</v>
      </c>
      <c r="C50" s="1420"/>
    </row>
    <row r="51" spans="2:3" s="317" customFormat="1" ht="11.1" customHeight="1">
      <c r="B51" s="1420" t="s">
        <v>1863</v>
      </c>
      <c r="C51" s="1420"/>
    </row>
    <row r="52" spans="2:3" s="317" customFormat="1" ht="11.1" customHeight="1">
      <c r="B52" s="1420" t="s">
        <v>1864</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6" sqref="A6:XFD6"/>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c r="B1" s="2596" t="str">
        <f>'Single Audit Cover'!A7</f>
        <v>Evanston CCSD 65</v>
      </c>
      <c r="C1" s="2596"/>
      <c r="D1" s="2596"/>
      <c r="E1" s="1491"/>
    </row>
    <row r="2" spans="2:5" s="1282" customFormat="1" ht="12.75" customHeight="1">
      <c r="B2" s="2598">
        <f>'Single Audit Cover'!E7</f>
        <v>5016065004</v>
      </c>
      <c r="C2" s="2598"/>
      <c r="D2" s="2598"/>
      <c r="E2" s="1492"/>
    </row>
    <row r="3" spans="2:5" ht="12.75" customHeight="1">
      <c r="B3" s="2619" t="s">
        <v>1865</v>
      </c>
      <c r="C3" s="2619"/>
      <c r="D3" s="2619"/>
      <c r="E3" s="1274"/>
    </row>
    <row r="4" spans="2:5" s="1282" customFormat="1" ht="12.75" customHeight="1">
      <c r="B4" s="2629" t="str">
        <f>'Single Audit Cover'!A4</f>
        <v>Year Ending June 30, 2018</v>
      </c>
      <c r="C4" s="2629"/>
      <c r="D4" s="2629"/>
      <c r="E4" s="1493"/>
    </row>
    <row r="5" spans="2:5" s="1282" customFormat="1" ht="40.15" customHeight="1">
      <c r="B5" s="1494" t="s">
        <v>1866</v>
      </c>
      <c r="C5" s="328"/>
      <c r="D5" s="328"/>
      <c r="E5" s="328"/>
    </row>
    <row r="6" spans="2:5" s="1282" customFormat="1" ht="13.5" customHeight="1">
      <c r="B6" s="1495" t="s">
        <v>1381</v>
      </c>
      <c r="C6" s="1495" t="s">
        <v>1380</v>
      </c>
      <c r="D6" s="1495" t="s">
        <v>1867</v>
      </c>
    </row>
    <row r="7" spans="2:5" ht="13.5" customHeight="1">
      <c r="B7" s="1496" t="s">
        <v>2242</v>
      </c>
      <c r="C7" s="324" t="s">
        <v>2236</v>
      </c>
      <c r="D7" s="324" t="s">
        <v>2241</v>
      </c>
      <c r="E7" s="324"/>
    </row>
    <row r="8" spans="2:5" ht="13.5" customHeight="1">
      <c r="B8" s="1496"/>
      <c r="C8" s="324"/>
      <c r="D8" s="324"/>
      <c r="E8" s="324"/>
    </row>
    <row r="9" spans="2:5" ht="13.5" customHeight="1">
      <c r="B9" s="1497"/>
      <c r="C9" s="323"/>
      <c r="D9" s="323"/>
      <c r="E9" s="323"/>
    </row>
    <row r="10" spans="2:5" ht="13.5" customHeight="1">
      <c r="B10" s="1496" t="s">
        <v>2243</v>
      </c>
      <c r="C10" s="323" t="s">
        <v>2244</v>
      </c>
      <c r="D10" s="323" t="s">
        <v>2241</v>
      </c>
      <c r="E10" s="323"/>
    </row>
    <row r="11" spans="2:5" ht="13.5" customHeight="1">
      <c r="B11" s="1496"/>
      <c r="C11" s="323"/>
      <c r="D11" s="323"/>
      <c r="E11" s="323"/>
    </row>
    <row r="12" spans="2:5" ht="13.5" customHeight="1">
      <c r="B12" s="1496"/>
      <c r="C12" s="323"/>
      <c r="D12" s="323"/>
      <c r="E12" s="323"/>
    </row>
    <row r="13" spans="2:5" ht="13.5" customHeight="1">
      <c r="B13" s="1496"/>
      <c r="C13" s="323"/>
      <c r="D13" s="323"/>
      <c r="E13" s="323"/>
    </row>
    <row r="14" spans="2:5" ht="13.5" customHeight="1">
      <c r="B14" s="1496"/>
      <c r="C14" s="323"/>
      <c r="D14" s="323"/>
      <c r="E14" s="323"/>
    </row>
    <row r="15" spans="2:5" ht="13.5" customHeight="1">
      <c r="B15" s="1496"/>
      <c r="C15" s="323"/>
      <c r="D15" s="323"/>
      <c r="E15" s="323"/>
    </row>
    <row r="16" spans="2:5" ht="13.5" customHeight="1">
      <c r="B16" s="1496"/>
      <c r="C16" s="323"/>
      <c r="D16" s="323"/>
      <c r="E16" s="323"/>
    </row>
    <row r="17" spans="2:5" ht="13.5" customHeight="1">
      <c r="B17" s="1496"/>
      <c r="C17" s="323"/>
      <c r="D17" s="323"/>
      <c r="E17" s="323"/>
    </row>
    <row r="18" spans="2:5" ht="13.5" customHeight="1">
      <c r="B18" s="1496"/>
      <c r="C18" s="323"/>
      <c r="D18" s="323"/>
      <c r="E18" s="323"/>
    </row>
    <row r="19" spans="2:5" ht="13.5" customHeight="1">
      <c r="B19" s="1496"/>
      <c r="C19" s="323"/>
      <c r="D19" s="323"/>
      <c r="E19" s="323"/>
    </row>
    <row r="20" spans="2:5" ht="13.5" customHeight="1">
      <c r="B20" s="1496"/>
      <c r="C20" s="323"/>
      <c r="D20" s="323"/>
      <c r="E20" s="323"/>
    </row>
    <row r="21" spans="2:5" ht="13.5" customHeight="1">
      <c r="B21" s="1496"/>
      <c r="C21" s="323"/>
      <c r="D21" s="323"/>
      <c r="E21" s="323"/>
    </row>
    <row r="22" spans="2:5" ht="13.5" customHeight="1">
      <c r="B22" s="1496"/>
      <c r="C22" s="323"/>
      <c r="D22" s="323"/>
      <c r="E22" s="323"/>
    </row>
    <row r="23" spans="2:5" ht="13.5" customHeight="1">
      <c r="B23" s="1496"/>
      <c r="C23" s="323"/>
      <c r="D23" s="323"/>
      <c r="E23" s="323"/>
    </row>
    <row r="24" spans="2:5" ht="13.5" customHeight="1">
      <c r="B24" s="1496"/>
      <c r="C24" s="323"/>
      <c r="D24" s="323"/>
      <c r="E24" s="323"/>
    </row>
    <row r="25" spans="2:5" ht="13.5" customHeight="1">
      <c r="B25" s="1496"/>
      <c r="C25" s="323"/>
      <c r="D25" s="323"/>
      <c r="E25" s="323"/>
    </row>
    <row r="26" spans="2:5" ht="13.5" customHeight="1">
      <c r="B26" s="1496"/>
      <c r="C26" s="323"/>
      <c r="D26" s="323"/>
      <c r="E26" s="323"/>
    </row>
    <row r="27" spans="2:5" ht="13.5" customHeight="1">
      <c r="B27" s="1496"/>
      <c r="C27" s="323"/>
      <c r="D27" s="323"/>
      <c r="E27" s="323"/>
    </row>
    <row r="28" spans="2:5" ht="13.5" customHeight="1">
      <c r="B28" s="1496"/>
      <c r="C28" s="323"/>
      <c r="D28" s="323"/>
      <c r="E28" s="323"/>
    </row>
    <row r="29" spans="2:5" ht="13.5" customHeight="1">
      <c r="B29" s="1496"/>
      <c r="C29" s="323"/>
      <c r="D29" s="323"/>
      <c r="E29" s="323"/>
    </row>
    <row r="30" spans="2:5" ht="13.5" customHeight="1">
      <c r="B30" s="1496"/>
      <c r="C30" s="323"/>
      <c r="D30" s="323"/>
      <c r="E30" s="323"/>
    </row>
    <row r="31" spans="2:5" ht="13.5" customHeight="1">
      <c r="B31" s="1496"/>
      <c r="C31" s="323"/>
      <c r="D31" s="323"/>
      <c r="E31" s="323"/>
    </row>
    <row r="32" spans="2:5" ht="13.5" customHeight="1">
      <c r="B32" s="1498"/>
      <c r="C32" s="323"/>
      <c r="D32" s="323"/>
      <c r="E32" s="323"/>
    </row>
    <row r="33" spans="2:5" ht="13.5" customHeight="1">
      <c r="B33" s="1499"/>
      <c r="C33" s="323"/>
      <c r="D33" s="323"/>
      <c r="E33" s="323"/>
    </row>
    <row r="34" spans="2:5" ht="13.5" customHeight="1">
      <c r="B34" s="1500"/>
      <c r="C34" s="323"/>
      <c r="D34" s="323"/>
      <c r="E34" s="323"/>
    </row>
    <row r="35" spans="2:5" ht="13.5" customHeight="1">
      <c r="B35" s="1499"/>
      <c r="C35" s="323"/>
      <c r="D35" s="323"/>
      <c r="E35" s="323"/>
    </row>
    <row r="36" spans="2:5" ht="13.5" customHeight="1">
      <c r="B36" s="1500"/>
      <c r="C36" s="323"/>
      <c r="D36" s="323"/>
      <c r="E36" s="323"/>
    </row>
    <row r="37" spans="2:5" ht="13.5" customHeight="1">
      <c r="B37" s="1500"/>
      <c r="C37" s="323"/>
      <c r="D37" s="323"/>
      <c r="E37" s="323"/>
    </row>
    <row r="38" spans="2:5" ht="13.5" customHeight="1">
      <c r="B38" s="1499"/>
      <c r="C38" s="323"/>
      <c r="D38" s="323"/>
      <c r="E38" s="323"/>
    </row>
    <row r="39" spans="2:5" ht="13.5" customHeight="1">
      <c r="B39" s="1500"/>
      <c r="C39" s="323"/>
      <c r="D39" s="323"/>
      <c r="E39" s="323"/>
    </row>
    <row r="40" spans="2:5" ht="13.5" customHeight="1">
      <c r="B40" s="1499"/>
      <c r="C40" s="323"/>
      <c r="D40" s="323"/>
      <c r="E40" s="323"/>
    </row>
    <row r="41" spans="2:5" ht="13.5" customHeight="1">
      <c r="B41" s="1501"/>
      <c r="C41" s="323"/>
      <c r="D41" s="323"/>
      <c r="E41" s="323"/>
    </row>
    <row r="42" spans="2:5" ht="13.5" customHeight="1">
      <c r="B42" s="1502"/>
      <c r="C42" s="323"/>
      <c r="D42" s="323"/>
      <c r="E42" s="323"/>
    </row>
    <row r="43" spans="2:5" ht="12.75" customHeight="1">
      <c r="B43" s="1503"/>
      <c r="C43" s="1504"/>
      <c r="D43" s="1504"/>
      <c r="E43" s="323"/>
    </row>
    <row r="44" spans="2:5" ht="12.2" customHeight="1">
      <c r="B44" s="1257" t="s">
        <v>1379</v>
      </c>
      <c r="C44" s="322"/>
    </row>
    <row r="45" spans="2:5" ht="12.2" customHeight="1">
      <c r="B45" s="1505" t="s">
        <v>1868</v>
      </c>
    </row>
    <row r="46" spans="2:5" ht="12.2" customHeight="1">
      <c r="B46" s="1505" t="s">
        <v>1869</v>
      </c>
    </row>
    <row r="47" spans="2:5" ht="12.2" customHeight="1">
      <c r="B47" s="1506" t="s">
        <v>1378</v>
      </c>
    </row>
    <row r="48" spans="2:5" ht="12.2" customHeight="1">
      <c r="B48" s="1506" t="s">
        <v>1377</v>
      </c>
    </row>
    <row r="49" spans="2:5" ht="12.2" customHeight="1">
      <c r="B49" s="1506" t="s">
        <v>1376</v>
      </c>
    </row>
    <row r="50" spans="2:5" ht="12.2" customHeight="1">
      <c r="B50" s="1506" t="s">
        <v>1375</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9"/>
    </row>
    <row r="68" spans="2:2">
      <c r="B68" s="1300"/>
    </row>
    <row r="69" spans="2:2">
      <c r="B69" s="1300"/>
    </row>
    <row r="70" spans="2:2">
      <c r="B70" s="1420"/>
    </row>
    <row r="71" spans="2:2">
      <c r="B71" s="1420"/>
    </row>
    <row r="72" spans="2:2">
      <c r="B72" s="1420"/>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2.xml><?xml version="1.0" encoding="utf-8"?>
<ds:datastoreItem xmlns:ds="http://schemas.openxmlformats.org/officeDocument/2006/customXml" ds:itemID="{74FC8732-B5A4-4FA0-A043-A5337E94E6A4}">
  <ds:schemaRefs>
    <ds:schemaRef ds:uri="http://www.w3.org/XML/1998/namespace"/>
    <ds:schemaRef ds:uri="http://purl.org/dc/terms/"/>
    <ds:schemaRef ds:uri="http://schemas.microsoft.com/sharepoint/v3"/>
    <ds:schemaRef ds:uri="6ce3111e-7420-4802-b50a-75d4e9a0b980"/>
    <ds:schemaRef ds:uri="d21dc803-237d-4c68-8692-8d731fd29118"/>
    <ds:schemaRef ds:uri="http://purl.org/dc/dcmitype/"/>
    <ds:schemaRef ds:uri="http://schemas.microsoft.com/office/2006/metadata/properties"/>
    <ds:schemaRef ds:uri="http://schemas.microsoft.com/office/2006/documentManagement/types"/>
    <ds:schemaRef ds:uri="4d435f69-8686-490b-bd6d-b153bf22ab50"/>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2018 SEFA</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OLSON RICHARD</cp:lastModifiedBy>
  <cp:lastPrinted>2018-07-31T16:34:21Z</cp:lastPrinted>
  <dcterms:created xsi:type="dcterms:W3CDTF">2003-10-29T19:06:34Z</dcterms:created>
  <dcterms:modified xsi:type="dcterms:W3CDTF">2019-02-27T15:52:46Z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