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42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c r="B5123" i="106"/>
  <c r="D5123" i="106" s="1"/>
  <c r="B5124" i="106"/>
  <c r="D5124" i="106"/>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G27"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27" i="34"/>
  <c r="B5847" i="106"/>
  <c r="D5847" i="106" s="1"/>
  <c r="B5752" i="106"/>
  <c r="D5752" i="106" s="1"/>
  <c r="B5599" i="106"/>
  <c r="D5599" i="106" s="1"/>
  <c r="H173" i="5"/>
  <c r="B5906" i="106" s="1"/>
  <c r="D5906" i="106" s="1"/>
  <c r="D109" i="5"/>
  <c r="B5356" i="106" s="1"/>
  <c r="D5356" i="106" s="1"/>
  <c r="F106" i="34"/>
  <c r="D17" i="7"/>
  <c r="B4104" i="106" s="1"/>
  <c r="D4104" i="106" s="1"/>
  <c r="D12" i="7"/>
  <c r="B1769" i="106" s="1"/>
  <c r="D1769" i="106" s="1"/>
  <c r="D11" i="7"/>
  <c r="B1768" i="106" s="1"/>
  <c r="D1768" i="106" s="1"/>
  <c r="D15" i="7"/>
  <c r="B1772" i="106" s="1"/>
  <c r="D1772" i="106" s="1"/>
  <c r="K173" i="5" l="1"/>
  <c r="K6" i="4" s="1"/>
  <c r="B3570" i="106" s="1"/>
  <c r="D3570" i="106" s="1"/>
  <c r="G172" i="5"/>
  <c r="H6" i="4"/>
  <c r="B2656" i="106" s="1"/>
  <c r="D2656" i="106" s="1"/>
  <c r="H109" i="5"/>
  <c r="F130" i="34"/>
  <c r="D5" i="4"/>
  <c r="B3406" i="106" s="1"/>
  <c r="D3406" i="106" s="1"/>
  <c r="I173" i="5"/>
  <c r="B4216" i="106" s="1"/>
  <c r="D4216" i="106" s="1"/>
  <c r="L312" i="29"/>
  <c r="D7245" i="106"/>
  <c r="I342" i="29"/>
  <c r="B7222" i="106" s="1"/>
  <c r="D7222" i="106" s="1"/>
  <c r="B1746" i="106"/>
  <c r="D1746" i="106" s="1"/>
  <c r="K274" i="5"/>
  <c r="B7041" i="106"/>
  <c r="D7041" i="106" s="1"/>
  <c r="E109" i="5"/>
  <c r="E4" i="4" s="1"/>
  <c r="B2630" i="106" s="1"/>
  <c r="D2630" i="106" s="1"/>
  <c r="H365" i="29"/>
  <c r="K76" i="4"/>
  <c r="B3586" i="106" s="1"/>
  <c r="D3586" i="106" s="1"/>
  <c r="F21" i="8"/>
  <c r="K24" i="12"/>
  <c r="B3649" i="106"/>
  <c r="D3649" i="106" s="1"/>
  <c r="G367" i="29"/>
  <c r="D6103" i="106"/>
  <c r="K350" i="29"/>
  <c r="B3621" i="106"/>
  <c r="D3621" i="106" s="1"/>
  <c r="C367" i="29"/>
  <c r="L13" i="11"/>
  <c r="B2060" i="106" s="1"/>
  <c r="D2060" i="106" s="1"/>
  <c r="N22" i="3"/>
  <c r="B283" i="106" s="1"/>
  <c r="D283" i="106" s="1"/>
  <c r="F19" i="7"/>
  <c r="B1807" i="106" s="1"/>
  <c r="D1807" i="106" s="1"/>
  <c r="L342" i="29"/>
  <c r="B1410" i="106"/>
  <c r="D1410" i="106" s="1"/>
  <c r="B1329" i="106"/>
  <c r="D1329" i="106" s="1"/>
  <c r="F61" i="34"/>
  <c r="E28" i="108"/>
  <c r="F28" i="108"/>
  <c r="F41" i="108" s="1"/>
  <c r="G43" i="108" s="1"/>
  <c r="E30" i="108"/>
  <c r="G30" i="108"/>
  <c r="G4" i="4"/>
  <c r="B2603" i="106" s="1"/>
  <c r="D2603" i="106" s="1"/>
  <c r="D7" i="7"/>
  <c r="B1763" i="106" s="1"/>
  <c r="D1763" i="106" s="1"/>
  <c r="D4" i="4"/>
  <c r="B2564" i="106" s="1"/>
  <c r="D2564" i="106" s="1"/>
  <c r="F111" i="34"/>
  <c r="C172" i="5"/>
  <c r="B5214" i="106" s="1"/>
  <c r="D5214" i="106" s="1"/>
  <c r="C109" i="5"/>
  <c r="B5121" i="106" s="1"/>
  <c r="D5121" i="106" s="1"/>
  <c r="F94" i="34"/>
  <c r="D54"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3447" i="106"/>
  <c r="D3447" i="106" s="1"/>
  <c r="D19" i="7"/>
  <c r="B1775" i="106" s="1"/>
  <c r="D1775" i="106" s="1"/>
  <c r="B7270" i="106"/>
  <c r="K367" i="29" l="1"/>
  <c r="D7253" i="106"/>
  <c r="B6025" i="106"/>
  <c r="D6025" i="106" s="1"/>
  <c r="H4" i="4"/>
  <c r="D7254" i="106"/>
  <c r="D7250" i="106"/>
  <c r="H367" i="29"/>
  <c r="B3660" i="106" s="1"/>
  <c r="D3660" i="106" s="1"/>
  <c r="B7242" i="106"/>
  <c r="D7242" i="106" s="1"/>
  <c r="B3670" i="106"/>
  <c r="D3670" i="106" s="1"/>
  <c r="K352" i="29"/>
  <c r="B7733" i="106"/>
  <c r="D7733" i="106" s="1"/>
  <c r="K26" i="12"/>
  <c r="B7743" i="106" s="1"/>
  <c r="D7743" i="106" s="1"/>
  <c r="G173" i="5"/>
  <c r="B5770" i="106"/>
  <c r="D5770" i="106" s="1"/>
  <c r="D7256" i="106"/>
  <c r="D7251" i="106"/>
  <c r="B1879" i="106"/>
  <c r="D1879" i="106" s="1"/>
  <c r="H22" i="37"/>
  <c r="L16" i="11"/>
  <c r="B2061" i="106" s="1"/>
  <c r="D2061" i="106" s="1"/>
  <c r="K342" i="29"/>
  <c r="F13" i="34" s="1"/>
  <c r="B1317" i="106"/>
  <c r="D1317" i="106" s="1"/>
  <c r="L114" i="29"/>
  <c r="C114" i="29"/>
  <c r="B757" i="106" s="1"/>
  <c r="D757"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5778" i="106" l="1"/>
  <c r="D5778" i="106" s="1"/>
  <c r="G6" i="4"/>
  <c r="B2604" i="106" s="1"/>
  <c r="D2604" i="106" s="1"/>
  <c r="B2655" i="106"/>
  <c r="D2655" i="106" s="1"/>
  <c r="H8" i="4"/>
  <c r="K13" i="4"/>
  <c r="B3572" i="106" s="1"/>
  <c r="D3572" i="106" s="1"/>
  <c r="B3672" i="106"/>
  <c r="D3672" i="106" s="1"/>
  <c r="B7224" i="106"/>
  <c r="D7224" i="106" s="1"/>
  <c r="J17" i="4"/>
  <c r="B6227" i="106" s="1"/>
  <c r="D6227"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B2658" i="106"/>
  <c r="D2658" i="106" s="1"/>
  <c r="H10" i="4"/>
  <c r="B4127" i="106" s="1"/>
  <c r="D4127" i="106" s="1"/>
  <c r="K17" i="4"/>
  <c r="J20" i="4"/>
  <c r="J78" i="4" s="1"/>
  <c r="J19" i="4"/>
  <c r="B6229" i="106" s="1"/>
  <c r="D6229"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<sst xmlns="http://schemas.openxmlformats.org/spreadsheetml/2006/main" count="5036" uniqueCount="2108">
  <si>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</si>
  <si>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</si>
  <si>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</si>
  <si>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</si>
  <si>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</si>
  <si>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</si>
  <si>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</si>
  <si>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</si>
  <si>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</si>
  <si>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</si>
  <si>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</si>
  <si>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</si>
  <si>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</si>
  <si>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</si>
  <si>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</si>
  <si>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</si>
  <si>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</si>
  <si>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</si>
  <si>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</si>
  <si>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</si>
  <si>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</si>
  <si>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</si>
  <si>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</si>
  <si>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</si>
  <si>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</si>
  <si>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</si>
  <si>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</si>
  <si>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</si>
  <si>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</si>
  <si>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</si>
  <si>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</si>
  <si>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</si>
  <si>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</si>
  <si>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</si>
  <si>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</si>
  <si>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</si>
  <si>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</si>
  <si>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</si>
  <si>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</si>
  <si>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</si>
  <si>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</si>
  <si>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</si>
  <si>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</si>
  <si>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</si>
  <si>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</si>
  <si>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</si>
  <si>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</si>
  <si>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</si>
  <si>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</si>
  <si>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</si>
  <si>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</si>
  <si>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</si>
  <si>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</si>
  <si>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</si>
  <si>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</si>
  <si>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</si>
  <si>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</si>
  <si>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</si>
  <si>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</si>
  <si>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</si>
  <si>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</si>
  <si>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</si>
  <si>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</si>
  <si>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</si>
  <si>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</si>
  <si>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</si>
  <si>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</si>
  <si>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</si>
  <si>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</si>
  <si>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</si>
  <si>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</si>
  <si>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</si>
  <si>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</si>
  <si>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</si>
  <si>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</si>
  <si>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</si>
  <si>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</si>
  <si>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</si>
  <si>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</si>
  <si>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</si>
  <si>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</si>
  <si>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</si>
  <si>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</si>
  <si>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</si>
  <si>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</si>
  <si>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</si>
  <si>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</si>
  <si>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</si>
  <si>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</si>
  <si>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</si>
  <si>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</si>
  <si>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</si>
  <si>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</si>
  <si>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</si>
  <si>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</si>
  <si>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</si>
  <si>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</si>
  <si>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</si>
  <si>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</si>
  <si>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</si>
  <si>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</si>
  <si>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</si>
  <si>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</si>
  <si>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</si>
  <si>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</si>
  <si>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</si>
  <si>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</si>
  <si>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</si>
  <si>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</si>
  <si>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</si>
  <si>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</si>
  <si>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</si>
  <si>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</si>
  <si>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</si>
  <si>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</si>
  <si>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</si>
  <si>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</si>
  <si>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</si>
  <si>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</si>
  <si>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</si>
  <si>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</si>
  <si>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</si>
  <si>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</si>
  <si>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</si>
  <si>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</si>
  <si>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</si>
  <si>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</si>
  <si>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</si>
  <si>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</si>
  <si>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</si>
  <si>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</si>
  <si>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</si>
  <si>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</si>
  <si>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</si>
  <si>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</si>
  <si>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</si>
  <si>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</si>
  <si>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</si>
  <si>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</si>
  <si>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</si>
  <si>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</si>
  <si>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</si>
  <si>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</si>
  <si>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</si>
  <si>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</si>
  <si>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</si>
  <si>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</si>
  <si>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</si>
  <si>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</si>
  <si>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</si>
  <si>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</si>
  <si>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</si>
  <si>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</si>
  <si>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</si>
  <si>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</si>
  <si>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</si>
  <si>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</si>
  <si>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</si>
  <si>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</si>
  <si>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</si>
  <si>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</si>
  <si>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</si>
  <si>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</si>
  <si>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</si>
  <si>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</si>
  <si>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</si>
  <si>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</si>
  <si>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</si>
  <si>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</si>
  <si>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</si>
  <si>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</si>
  <si>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</si>
  <si>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</si>
  <si>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</si>
  <si>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</si>
  <si>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</si>
  <si>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</si>
  <si>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</si>
  <si>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</si>
  <si>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</si>
  <si>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</si>
  <si>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</si>
  <si>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</si>
  <si>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</si>
  <si>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</si>
  <si>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</si>
  <si>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</si>
  <si>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</si>
  <si>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</si>
  <si>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</si>
  <si>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</si>
  <si>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</si>
  <si>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</si>
  <si>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</si>
  <si>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</si>
  <si>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</si>
  <si>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</si>
  <si>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</si>
  <si>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</si>
  <si>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</si>
  <si>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</si>
  <si>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</si>
  <si>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</si>
  <si>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</si>
  <si>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</si>
  <si>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</si>
  <si>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</si>
  <si>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</si>
  <si>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</si>
  <si>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</si>
  <si>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</si>
  <si>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</si>
  <si>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</si>
  <si>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</si>
  <si>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</si>
  <si>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</si>
  <si>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</si>
  <si>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</si>
  <si>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</si>
  <si>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</si>
  <si>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</si>
  <si>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</si>
  <si>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</si>
  <si>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</si>
  <si>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</si>
  <si>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</si>
  <si>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</si>
  <si>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</si>
  <si>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</si>
  <si>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</si>
  <si>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</si>
  <si>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</si>
  <si>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</si>
  <si>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</si>
  <si>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</si>
  <si>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</si>
  <si>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</si>
  <si>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</si>
  <si>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</si>
  <si>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</si>
  <si>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</si>
  <si>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</si>
  <si>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</si>
  <si>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</si>
  <si>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</si>
  <si>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</si>
  <si>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</si>
  <si>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</si>
  <si>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</si>
  <si>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</si>
  <si>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</si>
  <si>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</si>
  <si>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</si>
  <si>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</si>
  <si>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</si>
  <si>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</si>
  <si>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</si>
  <si>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</si>
  <si>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</si>
  <si>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</si>
  <si>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</si>
  <si>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</si>
  <si>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</si>
  <si>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</si>
  <si>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</si>
  <si>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</si>
  <si>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</si>
  <si>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</si>
  <si>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</si>
  <si>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</si>
  <si>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</si>
  <si>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</si>
  <si>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</si>
  <si>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</si>
  <si>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</si>
  <si>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</si>
  <si>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</si>
  <si>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</si>
  <si>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</si>
  <si>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</si>
  <si>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</si>
  <si>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</si>
  <si>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</si>
  <si>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</si>
  <si>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</si>
  <si>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</si>
  <si>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</si>
  <si>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</si>
  <si>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</si>
  <si>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</si>
  <si>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</si>
  <si>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</si>
  <si>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</si>
  <si>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</si>
  <si>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</si>
  <si>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</si>
  <si>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</si>
  <si>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</si>
  <si>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</si>
  <si>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</si>
  <si>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</si>
  <si>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</si>
  <si>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</si>
  <si>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</si>
  <si>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</si>
  <si>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</si>
  <si>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</si>
  <si>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</si>
  <si>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</si>
  <si>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</si>
  <si>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</si>
  <si>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</si>
  <si>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</si>
  <si>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</si>
  <si>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</si>
  <si>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</si>
  <si>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</si>
  <si>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</si>
  <si>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</si>
  <si>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</si>
  <si>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</si>
  <si>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</si>
  <si>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</si>
  <si>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</si>
  <si>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</si>
  <si>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</si>
  <si>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</si>
  <si>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</si>
  <si>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</si>
  <si>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</si>
  <si>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</si>
  <si>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</si>
  <si>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</si>
  <si>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</si>
  <si>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</si>
  <si>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</si>
  <si>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</si>
  <si>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</si>
  <si>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</si>
  <si>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</si>
  <si>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</si>
  <si>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</si>
  <si>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</si>
  <si>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</si>
  <si>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</si>
  <si>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</si>
  <si>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</si>
  <si>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</si>
  <si>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</si>
  <si>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</si>
  <si>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</si>
  <si>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</si>
  <si>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</si>
  <si>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</si>
  <si>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</si>
  <si>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</si>
  <si>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</si>
  <si>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</si>
  <si>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</si>
  <si>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</si>
  <si>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</si>
  <si>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</si>
  <si>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</si>
  <si>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</si>
  <si>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</si>
  <si>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</si>
  <si>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</si>
  <si>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</si>
  <si>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</si>
  <si>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</si>
  <si>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</si>
  <si>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</si>
  <si>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</si>
  <si>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</si>
  <si>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</si>
  <si>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</si>
  <si>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</si>
  <si>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</si>
  <si>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</si>
  <si>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</si>
  <si>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</si>
  <si>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</si>
  <si>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</si>
  <si>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</si>
  <si>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</si>
  <si>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</si>
  <si>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</si>
  <si>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</si>
  <si>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</si>
  <si>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</si>
  <si>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</si>
  <si>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</si>
  <si>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</si>
  <si>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</si>
  <si>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</si>
  <si>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</si>
  <si>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</si>
  <si>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</si>
  <si>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</si>
  <si>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</si>
  <si>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</si>
  <si>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</si>
  <si>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</si>
  <si>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</si>
  <si>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</si>
  <si>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</si>
  <si>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</si>
  <si>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</si>
  <si>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</si>
  <si>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</si>
  <si>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</si>
  <si>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</si>
  <si>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</si>
  <si>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</si>
  <si>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</si>
  <si>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</si>
  <si>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</si>
  <si>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</si>
  <si>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</si>
  <si>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</si>
  <si>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</si>
  <si>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</si>
  <si>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</si>
  <si>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</si>
  <si>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</si>
  <si>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</si>
  <si>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</si>
  <si>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</si>
  <si>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</si>
  <si>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</si>
  <si>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</si>
  <si>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</si>
  <si>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</si>
  <si>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</si>
  <si>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</si>
  <si>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</si>
  <si>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</si>
  <si>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</si>
  <si>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</si>
  <si>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</si>
  <si>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</si>
  <si>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</si>
  <si>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</si>
  <si>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</si>
  <si>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</si>
  <si>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</si>
  <si>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</si>
  <si>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</si>
  <si>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</si>
  <si>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</si>
  <si>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</si>
  <si>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</si>
  <si>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</si>
  <si>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</si>
  <si>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</si>
  <si>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</si>
  <si>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</si>
  <si>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</si>
  <si>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</si>
  <si>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</si>
  <si>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</si>
  <si>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</si>
  <si>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</si>
  <si>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</si>
  <si>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</si>
  <si>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</si>
  <si>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</si>
  <si>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</si>
  <si>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</si>
  <si>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</si>
  <si>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</si>
  <si>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</si>
  <si>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</si>
  <si>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</si>
  <si>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</si>
  <si>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</si>
  <si>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</si>
  <si>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</si>
  <si>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</si>
  <si>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</si>
  <si>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</si>
  <si>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</si>
  <si>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</si>
  <si>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</si>
  <si>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</si>
  <si>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</si>
  <si>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</si>
  <si>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</si>
  <si>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</si>
  <si>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</si>
  <si>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</si>
  <si>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</si>
  <si>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</si>
  <si>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</si>
  <si>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</si>
  <si>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</si>
  <si>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</si>
  <si>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</si>
  <si>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</si>
  <si>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</si>
  <si>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</si>
  <si>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</si>
  <si>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</si>
  <si>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</si>
  <si>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</si>
  <si>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</si>
  <si>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</si>
  <si>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</si>
  <si>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</si>
  <si>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</si>
  <si>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</si>
  <si>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</si>
  <si>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</si>
  <si>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</si>
  <si>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</si>
  <si>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</si>
  <si>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</si>
  <si>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</si>
  <si>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</si>
  <si>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</si>
  <si>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</si>
  <si>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</si>
  <si>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</si>
  <si>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</si>
  <si>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</si>
  <si>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</si>
  <si>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</si>
  <si>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</si>
  <si>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</si>
  <si>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</si>
  <si>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</si>
  <si>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</si>
  <si>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</si>
  <si>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</si>
  <si>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</si>
  <si>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</si>
  <si>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</si>
  <si>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</si>
  <si>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</si>
  <si>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</si>
  <si>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</si>
  <si>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</si>
  <si>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</si>
  <si>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</si>
  <si>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</si>
  <si>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</si>
  <si>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</si>
  <si>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</si>
  <si>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</si>
  <si>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</si>
  <si>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</si>
  <si>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</si>
  <si>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</si>
  <si>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</si>
  <si>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</si>
  <si>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</si>
  <si>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</si>
  <si>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</si>
  <si>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</si>
  <si>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</si>
  <si>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</si>
  <si>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</si>
  <si>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</si>
  <si>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</si>
  <si>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</si>
  <si>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</si>
  <si>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</si>
  <si>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</si>
  <si>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</si>
  <si>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</si>
  <si>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</si>
  <si>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</si>
  <si>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</si>
  <si>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</si>
  <si>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</si>
  <si>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</si>
  <si>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</si>
  <si>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</si>
  <si>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</si>
  <si>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</si>
  <si>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</si>
  <si>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</si>
  <si>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</si>
  <si>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</si>
  <si>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</si>
  <si>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</si>
  <si>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</si>
  <si>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</si>
  <si>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</si>
  <si>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</si>
  <si>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</si>
  <si>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</si>
  <si>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</si>
  <si>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</si>
  <si>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</si>
  <si>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</si>
  <si>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</si>
  <si>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</si>
  <si>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</si>
  <si>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</si>
  <si>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</si>
  <si>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</si>
  <si>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</si>
  <si>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</si>
  <si>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</si>
  <si>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</si>
  <si>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</si>
  <si>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</si>
  <si>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</si>
  <si>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</si>
  <si>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</si>
  <si>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</si>
  <si>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</si>
  <si>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</si>
  <si>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</si>
  <si>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</si>
  <si>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</si>
  <si>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</si>
  <si>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</si>
  <si>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</si>
  <si>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</si>
  <si>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</si>
  <si>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</si>
  <si>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</si>
  <si>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</si>
  <si>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</si>
  <si>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</si>
  <si>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</si>
  <si>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</si>
  <si>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</si>
  <si>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</si>
  <si>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</si>
  <si>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</si>
  <si>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</si>
  <si>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</si>
  <si>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</si>
  <si>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</si>
  <si>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</si>
  <si>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</si>
  <si>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</si>
  <si>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</si>
  <si>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</si>
  <si>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</si>
  <si>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</si>
  <si>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</si>
  <si>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</si>
  <si>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</si>
  <si>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</si>
  <si>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</si>
  <si>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</si>
  <si>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</si>
  <si>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</si>
  <si>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</si>
  <si>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</si>
  <si>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</si>
  <si>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</si>
  <si>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</si>
  <si>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</si>
  <si>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</si>
  <si>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</si>
  <si>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</si>
  <si>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</si>
  <si>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</si>
  <si>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</si>
  <si>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</si>
  <si>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</si>
  <si>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</si>
  <si>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</si>
  <si>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</si>
  <si>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</si>
  <si>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</si>
  <si>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</si>
  <si>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</si>
  <si>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</si>
  <si>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</si>
  <si>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</si>
  <si>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</si>
  <si>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</si>
  <si>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</si>
  <si>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</si>
  <si>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</si>
  <si>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</si>
  <si>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</si>
  <si>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</si>
  <si>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</si>
  <si>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</si>
  <si>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</si>
  <si>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</si>
  <si>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</si>
  <si>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</si>
  <si>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</si>
  <si>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</si>
  <si>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</si>
  <si>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</si>
  <si>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</si>
  <si>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</si>
  <si>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</si>
  <si>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</si>
  <si>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</si>
  <si>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</si>
  <si>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</si>
  <si>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</si>
  <si>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</si>
  <si>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</si>
  <si>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</si>
  <si>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</si>
  <si>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</si>
  <si>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</si>
  <si>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</si>
  <si>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</si>
  <si>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</si>
  <si>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</si>
  <si>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</si>
  <si>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</si>
  <si>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</si>
  <si>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</si>
  <si>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</si>
  <si>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</si>
  <si>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</si>
  <si>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</si>
  <si>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</si>
  <si>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</si>
  <si>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</si>
  <si>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</si>
  <si>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</si>
  <si>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</si>
  <si>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</si>
  <si>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</si>
  <si>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</si>
  <si>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</si>
  <si>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</si>
  <si>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</si>
  <si>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</si>
  <si>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</si>
  <si>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</si>
  <si>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</si>
  <si>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</si>
  <si>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</si>
  <si>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</si>
  <si>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</si>
  <si>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</si>
  <si>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</si>
  <si>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</si>
  <si>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</si>
  <si>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</si>
  <si>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</si>
  <si>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</si>
  <si>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</si>
  <si>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</si>
  <si>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</si>
  <si>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</si>
  <si>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</si>
  <si>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</si>
  <si>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</si>
  <si>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</si>
  <si>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</si>
  <si>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</si>
  <si>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</si>
  <si>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</si>
  <si>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</si>
  <si>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</si>
  <si>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</si>
  <si>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</si>
  <si>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</si>
  <si>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</si>
  <si>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</si>
  <si>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</si>
  <si>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</si>
  <si>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</si>
  <si>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</si>
  <si>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</si>
  <si>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</si>
  <si>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</si>
  <si>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</si>
  <si>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</si>
  <si>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</si>
  <si>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</si>
  <si>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</si>
  <si>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</si>
  <si>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</si>
  <si>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</si>
  <si>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</si>
  <si>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</si>
  <si>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</si>
  <si>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</si>
  <si>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</si>
  <si>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</si>
  <si>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</si>
  <si>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</si>
  <si>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</si>
  <si>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</si>
  <si>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</si>
  <si>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</si>
  <si>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</si>
  <si>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</si>
  <si>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</si>
  <si>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</si>
  <si>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</si>
  <si>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</si>
  <si>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</si>
  <si>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</si>
  <si>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</si>
  <si>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</si>
  <si>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</si>
  <si>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</si>
  <si>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</si>
  <si>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</si>
  <si>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</si>
  <si>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</si>
  <si>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</si>
  <si>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</si>
  <si>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</si>
  <si>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</si>
  <si>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</si>
  <si>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</si>
  <si>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</si>
  <si>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</si>
  <si>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</si>
  <si>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</si>
  <si>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</si>
  <si>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</si>
  <si>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</si>
  <si>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</si>
  <si>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</si>
  <si>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</si>
  <si>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</si>
  <si>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</si>
  <si>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</si>
  <si>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</si>
  <si>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</si>
  <si>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</si>
  <si>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</si>
  <si>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</si>
  <si>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</si>
  <si>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</si>
  <si>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</si>
  <si>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</si>
  <si>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</si>
  <si>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</si>
  <si>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</si>
  <si>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</si>
  <si>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</si>
  <si>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</si>
  <si>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</si>
  <si>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</si>
  <si>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</si>
  <si>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</si>
  <si>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</si>
  <si>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</si>
  <si>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</si>
  <si>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</si>
  <si>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</si>
  <si>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</si>
  <si>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</si>
  <si>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</si>
  <si>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</si>
  <si>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</si>
  <si>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</si>
  <si>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</si>
  <si>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</si>
  <si>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</si>
  <si>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</si>
  <si>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</si>
  <si>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</si>
  <si>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</si>
  <si>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</si>
  <si>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</si>
  <si>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</si>
  <si>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</si>
  <si>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</si>
  <si>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</si>
  <si>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</si>
  <si>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</si>
  <si>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</si>
  <si>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</si>
  <si>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</si>
  <si>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</si>
  <si>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</si>
  <si>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</si>
  <si>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</si>
  <si>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</si>
  <si>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</si>
  <si>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</si>
  <si>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</si>
  <si>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</si>
  <si>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</si>
  <si>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</si>
  <si>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</si>
  <si>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</si>
  <si>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</si>
  <si>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</si>
  <si>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</si>
  <si>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</si>
  <si>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</si>
  <si>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</si>
  <si>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</si>
  <si>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</si>
  <si>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</si>
  <si>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</si>
  <si>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</si>
  <si>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</si>
  <si>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</si>
  <si>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</si>
  <si>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</si>
  <si>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</si>
  <si>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</si>
  <si>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</si>
  <si>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</si>
  <si>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</si>
  <si>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</si>
  <si>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</si>
  <si>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</si>
  <si>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</si>
  <si>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</si>
  <si>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</si>
  <si>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</si>
  <si>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</si>
  <si>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</si>
  <si>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</si>
  <si>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</si>
  <si>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</si>
  <si>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</si>
  <si>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</si>
  <si>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</si>
  <si>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</si>
  <si>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</si>
  <si>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</si>
  <si>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</si>
  <si>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</si>
  <si>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</si>
  <si>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</si>
  <si>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</si>
  <si>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</si>
  <si>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</si>
  <si>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</si>
  <si>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</si>
  <si>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</si>
  <si>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</si>
  <si>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</si>
  <si>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</si>
  <si>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</si>
  <si>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</si>
  <si>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</si>
  <si>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</si>
  <si>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</si>
  <si>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</si>
  <si>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</si>
  <si>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</si>
  <si>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</si>
  <si>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</si>
  <si>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</si>
  <si>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</si>
  <si>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</si>
  <si>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</si>
  <si>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</si>
  <si>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</si>
  <si>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</si>
  <si>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</si>
  <si>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</si>
  <si>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</si>
  <si>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</si>
  <si>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</si>
  <si>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</si>
  <si>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</si>
  <si>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</si>
  <si>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</si>
  <si>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</si>
  <si>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</si>
  <si>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</si>
  <si>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</si>
  <si>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</si>
  <si>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</si>
  <si>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</si>
  <si>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</si>
  <si>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</si>
  <si>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</si>
  <si>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</si>
  <si>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</si>
  <si>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</si>
  <si>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</si>
  <si>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</si>
  <si>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</si>
  <si>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</si>
  <si>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</si>
  <si>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</si>
  <si>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</si>
  <si>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</si>
  <si>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</si>
  <si>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</si>
  <si>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</si>
  <si>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</si>
  <si>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</si>
  <si>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</si>
  <si>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</si>
  <si>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</si>
  <si>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</si>
  <si>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</si>
  <si>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</si>
  <si>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</si>
  <si>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</si>
  <si>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</si>
  <si>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</si>
  <si>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</si>
  <si>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</si>
  <si>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</si>
  <si>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</si>
  <si>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</si>
  <si>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</si>
  <si>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</si>
  <si>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</si>
  <si>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</si>
  <si>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</si>
  <si>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</si>
  <si>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</si>
  <si>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</si>
  <si>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</si>
  <si>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</si>
  <si>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</si>
  <si>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</si>
  <si>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</si>
  <si>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</si>
  <si>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</si>
  <si>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</si>
  <si>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</si>
  <si>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</si>
  <si>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</si>
  <si>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</si>
  <si>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</si>
  <si>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</si>
  <si>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</si>
  <si>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</si>
  <si>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</si>
  <si>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</si>
  <si>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</si>
  <si>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</si>
  <si>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</si>
  <si>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</si>
  <si>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</si>
  <si>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</si>
  <si>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</si>
  <si>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</si>
  <si>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</si>
  <si>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</si>
  <si>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</si>
  <si>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</si>
  <si>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</si>
  <si>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</si>
  <si>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</si>
  <si>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</si>
  <si>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</si>
  <si>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</si>
  <si>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</si>
  <si>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</si>
  <si>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</si>
  <si>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</si>
  <si>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</si>
  <si>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</si>
  <si>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</si>
  <si>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</si>
  <si>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</si>
  <si>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</si>
  <si>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</si>
  <si>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</si>
  <si>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</si>
  <si>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</si>
  <si>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</si>
  <si>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</si>
  <si>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</si>
  <si>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</si>
  <si>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</si>
  <si>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</si>
  <si>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</si>
  <si>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</si>
  <si>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</si>
  <si>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</si>
  <si>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</si>
  <si>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</si>
  <si>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</si>
  <si>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</si>
  <si>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</si>
  <si>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</si>
  <si>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</si>
  <si>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</si>
  <si>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</si>
  <si>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</si>
  <si>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</si>
  <si>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</si>
  <si>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</si>
  <si>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</si>
  <si>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</si>
  <si>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</si>
  <si>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</si>
  <si>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</si>
  <si>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</si>
  <si>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</si>
  <si>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</si>
  <si>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</si>
  <si>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</si>
  <si>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</si>
  <si>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</si>
  <si>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</si>
  <si>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</si>
  <si>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</si>
  <si>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</si>
  <si>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</si>
  <si>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</si>
  <si>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</si>
  <si>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</si>
  <si>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</si>
  <si>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</si>
  <si>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</si>
  <si>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</si>
  <si>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</si>
  <si>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</si>
  <si>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</si>
  <si>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</si>
  <si>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</si>
  <si>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</si>
  <si>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</si>
  <si>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</si>
  <si>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</si>
  <si>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</si>
  <si>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</si>
  <si>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</si>
  <si>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</si>
  <si>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</si>
  <si>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</si>
  <si>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</si>
  <si>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</si>
  <si>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</si>
  <si>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</si>
  <si>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</si>
  <si>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</si>
  <si>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</si>
  <si>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</si>
  <si>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</si>
  <si>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</si>
  <si>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</si>
  <si>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</si>
  <si>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</si>
  <si>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</si>
  <si>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</si>
  <si>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</si>
  <si>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</si>
  <si>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</si>
  <si>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</si>
  <si>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</si>
  <si>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</si>
  <si>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</si>
  <si>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</si>
  <si>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</si>
  <si>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</si>
  <si>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</si>
  <si>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</si>
  <si>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</si>
  <si>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</si>
  <si>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</si>
  <si>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</si>
  <si>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</si>
  <si>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</si>
  <si>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</si>
  <si>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</si>
  <si>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</si>
  <si>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</si>
  <si>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</si>
  <si>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</si>
  <si>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</si>
  <si>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</si>
  <si>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</si>
  <si>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</si>
  <si>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</si>
  <si>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</si>
  <si>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</si>
  <si>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</si>
  <si>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</si>
  <si>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</si>
  <si>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</si>
  <si>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</si>
  <si>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</si>
  <si>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</si>
  <si>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</si>
  <si>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</si>
  <si>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</si>
  <si>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</si>
  <si>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</si>
  <si>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</si>
  <si>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</si>
  <si>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</si>
  <si>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</si>
  <si>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</si>
  <si>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</si>
  <si>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</si>
  <si>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</si>
  <si>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</si>
  <si>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</si>
  <si>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</si>
  <si>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</si>
  <si>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</si>
  <si>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</si>
  <si>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</si>
  <si>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</si>
  <si>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</si>
  <si>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</si>
  <si>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</si>
  <si>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</si>
  <si>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</si>
  <si>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</si>
  <si>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</si>
  <si>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</si>
  <si>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</si>
  <si>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</si>
  <si>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</si>
  <si>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</si>
  <si>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</si>
  <si>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</si>
  <si>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</si>
  <si>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</si>
  <si>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</si>
  <si>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</si>
  <si>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</si>
  <si>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</si>
  <si>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</si>
  <si>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</si>
  <si>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</si>
  <si>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</si>
  <si>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</si>
  <si>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</si>
  <si>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</si>
  <si>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</si>
  <si>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</si>
  <si>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</si>
  <si>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</si>
  <si>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</si>
  <si>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</si>
  <si>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</si>
  <si>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</si>
  <si>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</si>
  <si>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</si>
  <si>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</si>
  <si>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</si>
  <si>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</si>
  <si>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</si>
  <si>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</si>
  <si>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</si>
  <si>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</si>
  <si>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</si>
  <si>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</si>
  <si>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</si>
  <si>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</si>
  <si>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</si>
  <si>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</si>
  <si>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</si>
  <si>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</si>
  <si>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</si>
  <si>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</si>
  <si>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</si>
  <si>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</si>
  <si>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</si>
  <si>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</si>
  <si>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</si>
  <si>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</si>
  <si>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</si>
  <si>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</si>
  <si>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</si>
  <si>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</si>
  <si>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</si>
  <si>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</si>
  <si>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</si>
  <si>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</si>
  <si>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</si>
  <si>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</si>
  <si>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</si>
  <si>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</si>
  <si>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</si>
  <si>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</si>
  <si>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</si>
  <si>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</si>
  <si>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</si>
  <si>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</si>
  <si>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</si>
  <si>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</si>
  <si>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</si>
  <si>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</si>
  <si>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</si>
  <si>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</si>
  <si>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</si>
  <si>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</si>
  <si>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</si>
  <si>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</si>
  <si>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</si>
  <si>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</si>
  <si>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</si>
  <si>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</si>
  <si>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</si>
  <si>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</si>
  <si>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</si>
  <si>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</si>
  <si>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</si>
  <si>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</si>
  <si>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</si>
  <si>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</si>
  <si>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</si>
  <si>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</si>
  <si>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</si>
  <si>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</si>
  <si>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</si>
  <si>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</si>
  <si>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</si>
  <si>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</si>
  <si>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</si>
  <si>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</si>
  <si>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</si>
  <si>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</si>
  <si>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</si>
  <si>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</si>
  <si>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</si>
  <si>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</si>
  <si>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</si>
  <si>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</si>
  <si>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</si>
  <si>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</si>
  <si>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</si>
  <si>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</si>
  <si>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</si>
  <si>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</si>
  <si>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</si>
  <si>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</si>
  <si>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</si>
  <si>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</si>
  <si>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</si>
  <si>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</si>
  <si>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</si>
  <si>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</si>
  <si>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</si>
  <si>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</si>
  <si>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</si>
  <si>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</si>
  <si>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</si>
  <si>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</si>
  <si>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</si>
  <si>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</si>
  <si>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</si>
  <si>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</si>
  <si>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</si>
  <si>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</si>
  <si>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</si>
  <si>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</si>
  <si>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</si>
  <si>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</si>
  <si>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</si>
  <si>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</si>
  <si>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</si>
  <si>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</si>
  <si>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</si>
  <si>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</si>
  <si>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</si>
  <si>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</si>
  <si>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</si>
  <si>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</si>
  <si>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</si>
  <si>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</si>
  <si>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</si>
  <si>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</si>
  <si>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</si>
  <si>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</si>
  <si>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</si>
  <si>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</si>
  <si>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</si>
  <si>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</si>
  <si>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</si>
  <si>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</si>
  <si>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</si>
  <si>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</si>
  <si>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</si>
  <si>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</si>
  <si>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</si>
  <si>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</si>
  <si>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</si>
  <si>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</si>
  <si>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</si>
  <si>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</si>
  <si>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</si>
  <si>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</si>
  <si>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</si>
  <si>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</si>
  <si>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</si>
  <si>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</si>
  <si>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</si>
  <si>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</si>
  <si>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</si>
  <si>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</si>
  <si>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</si>
  <si>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</si>
  <si>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</si>
  <si>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</si>
  <si>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</si>
  <si>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</si>
  <si>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</si>
  <si>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</si>
  <si>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</si>
  <si>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</si>
  <si>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</si>
  <si>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</si>
  <si>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</si>
  <si>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</si>
  <si>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</si>
  <si>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</si>
  <si>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</si>
  <si>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</si>
  <si>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</si>
  <si>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</si>
  <si>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</si>
  <si>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</si>
  <si>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</si>
  <si>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</si>
  <si>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</si>
  <si>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</si>
  <si>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</si>
  <si>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</si>
  <si>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</si>
  <si>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</si>
  <si>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</si>
  <si>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</si>
  <si>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</si>
  <si>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</si>
  <si>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</si>
  <si>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</si>
  <si>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</si>
  <si>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</si>
  <si>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</si>
  <si>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</si>
  <si>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</si>
  <si>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</si>
  <si>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</si>
  <si>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</si>
  <si>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</si>
  <si>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</si>
  <si>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</si>
  <si>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</si>
  <si>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</si>
  <si>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</si>
  <si>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</si>
  <si>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</si>
  <si>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</si>
  <si>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</si>
  <si>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</si>
  <si>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</si>
  <si>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</si>
  <si>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</si>
  <si>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</si>
  <si>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</si>
  <si>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</si>
  <si>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</si>
  <si>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</si>
  <si>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</si>
  <si>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</si>
  <si>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</si>
  <si>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</si>
  <si>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</si>
  <si>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</si>
  <si>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</si>
  <si>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</si>
  <si>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</si>
  <si>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</si>
  <si>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</si>
  <si>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</si>
  <si>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</si>
  <si>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</si>
  <si>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</si>
  <si>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</si>
  <si>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</si>
  <si>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</si>
  <si>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</si>
  <si>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</si>
  <si>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</si>
  <si>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</si>
  <si>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</si>
  <si>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</si>
  <si>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</si>
  <si>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</si>
  <si>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</si>
  <si>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</si>
  <si>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</si>
  <si>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</si>
  <si>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</si>
  <si>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</si>
  <si>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</si>
  <si>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</si>
  <si>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</si>
  <si>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</si>
  <si>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</si>
  <si>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</si>
  <si>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</si>
  <si>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</si>
  <si>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</si>
  <si>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</si>
  <si>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</si>
  <si>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</si>
  <si>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</si>
  <si>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</si>
  <si>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</si>
  <si>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</si>
  <si>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</si>
  <si>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</si>
  <si>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</si>
  <si>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</si>
  <si>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</si>
  <si>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</si>
  <si>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</si>
  <si>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</si>
  <si>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</si>
  <si>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</si>
  <si>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</si>
  <si>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</si>
  <si>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</si>
  <si>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</si>
  <si>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</si>
  <si>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</si>
  <si>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</si>
  <si>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</si>
  <si>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</si>
  <si>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</si>
  <si>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</si>
  <si>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</si>
  <si>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</si>
  <si>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</si>
  <si>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</si>
  <si>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</si>
  <si>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</si>
  <si>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</si>
  <si>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</si>
  <si>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</si>
  <si>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</si>
  <si>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</si>
  <si>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</si>
  <si>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</si>
  <si>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</si>
  <si>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</si>
  <si>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</si>
  <si>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</si>
  <si>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</si>
  <si>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</si>
  <si>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</si>
  <si>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</si>
  <si>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</si>
  <si>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</si>
  <si>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</si>
  <si>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</si>
  <si>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</si>
  <si>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</si>
  <si>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</si>
  <si>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</si>
  <si>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</si>
  <si>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</si>
  <si>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</si>
  <si>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</si>
  <si>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</si>
  <si>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</si>
  <si>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</si>
  <si>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</si>
  <si>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</si>
  <si>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</si>
  <si>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</si>
  <si>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</si>
  <si>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</si>
  <si>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</si>
  <si>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</si>
  <si>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</si>
  <si>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</si>
  <si>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</si>
  <si>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</si>
  <si>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</si>
  <si>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</si>
  <si>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</si>
  <si>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</si>
  <si>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</si>
  <si>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</si>
  <si>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</si>
  <si>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</si>
  <si>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</si>
  <si>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</si>
  <si>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</si>
  <si>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</si>
  <si>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</si>
  <si>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</si>
  <si>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</si>
  <si>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</si>
  <si>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</si>
  <si>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</si>
  <si>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</si>
  <si>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</si>
  <si>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</si>
  <si>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</si>
  <si>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</si>
  <si>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</si>
  <si>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</si>
  <si>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</si>
  <si>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</si>
  <si>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</si>
  <si>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</si>
  <si>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</si>
  <si>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</si>
  <si>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</si>
  <si>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</si>
  <si>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</si>
  <si>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</si>
  <si>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</si>
  <si>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</si>
  <si>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</si>
  <si>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</si>
  <si>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</si>
  <si>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</si>
  <si>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</si>
  <si>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</si>
  <si>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</si>
  <si>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</si>
  <si>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</si>
  <si>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</si>
  <si>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</si>
  <si>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</si>
  <si>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</si>
  <si>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</si>
  <si>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</si>
  <si>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</si>
  <si>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</si>
  <si>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</si>
  <si>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</si>
  <si>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</si>
  <si>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</si>
  <si>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</si>
  <si>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</si>
  <si>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</si>
  <si>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</si>
  <si>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</si>
  <si>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</si>
  <si>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</si>
  <si>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</si>
  <si>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</si>
  <si>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</si>
  <si>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</si>
  <si>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</si>
  <si>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</si>
  <si>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</si>
  <si>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</si>
  <si>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</si>
  <si>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</si>
  <si>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</si>
  <si>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</si>
  <si>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</si>
  <si>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</si>
  <si>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</si>
  <si>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</si>
  <si>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</si>
  <si>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</si>
  <si>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</si>
  <si>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</si>
  <si>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</si>
  <si>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</si>
  <si>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</si>
  <si>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</si>
  <si>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</si>
  <si>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</si>
  <si>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</si>
  <si>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</si>
  <si>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</si>
  <si>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</si>
  <si>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</si>
  <si>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</si>
  <si>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</si>
  <si>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</si>
  <si>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</si>
  <si>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</si>
  <si>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</si>
  <si>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</si>
  <si>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</si>
  <si>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</si>
  <si>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</si>
  <si>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</si>
  <si>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</si>
  <si>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</si>
  <si>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</si>
  <si>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</si>
  <si>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</si>
  <si>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</si>
  <si>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</si>
  <si>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</si>
  <si>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</si>
  <si>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</si>
  <si>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</si>
  <si>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</si>
  <si>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</si>
  <si>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</si>
  <si>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</si>
  <si>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</si>
  <si>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</si>
  <si>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</si>
  <si>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</si>
  <si>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</si>
  <si>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</si>
  <si>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</si>
  <si>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</si>
  <si>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</si>
  <si>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</si>
  <si>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</si>
  <si>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</si>
  <si>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</si>
  <si>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</si>
  <si>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</si>
  <si>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</si>
  <si>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</si>
  <si>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</si>
  <si>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</si>
  <si>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</si>
  <si>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</si>
  <si>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</si>
  <si>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</si>
  <si>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</si>
  <si>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</si>
  <si>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</si>
  <si>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</si>
  <si>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</si>
  <si>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</si>
  <si>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</si>
  <si>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</si>
  <si>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</si>
  <si>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</si>
  <si>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</si>
  <si>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</si>
  <si>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</si>
  <si>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</si>
  <si>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</si>
  <si>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</si>
  <si>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</si>
  <si>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</si>
  <si>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</si>
  <si>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</si>
  <si>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</si>
  <si>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</si>
  <si>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</si>
  <si>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</si>
  <si>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</si>
  <si>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</si>
  <si>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</si>
  <si>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</si>
  <si>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</si>
  <si>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</si>
  <si>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</si>
  <si>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</si>
  <si>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</si>
  <si>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</si>
  <si>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</si>
  <si>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</si>
  <si>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</si>
  <si>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</si>
  <si>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</si>
  <si>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</si>
  <si>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</si>
  <si>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</si>
  <si>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</si>
  <si>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</si>
  <si>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</si>
  <si>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</si>
  <si>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</si>
  <si>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</si>
  <si>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</si>
  <si>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</si>
  <si>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</si>
  <si>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</si>
  <si>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</si>
  <si>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</si>
  <si>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</si>
  <si>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</si>
  <si>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</si>
  <si>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</si>
  <si>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</si>
  <si>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</si>
  <si>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</si>
  <si>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</si>
  <si>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</si>
  <si>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</si>
  <si>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</si>
  <si>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</si>
  <si>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</si>
  <si>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</si>
  <si>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</si>
  <si>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</si>
  <si>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</si>
  <si>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</si>
  <si>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</si>
  <si>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</si>
  <si>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</si>
  <si>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</si>
  <si>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</si>
  <si>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</si>
  <si>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</si>
  <si>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</si>
  <si>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</si>
  <si>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</si>
  <si>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</si>
  <si>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</si>
  <si>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</si>
  <si>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</si>
  <si>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</si>
  <si>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</si>
  <si>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</si>
  <si>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</si>
  <si>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</si>
  <si>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</si>
  <si>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</si>
  <si>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</si>
  <si>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</si>
  <si>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</si>
  <si>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</si>
  <si>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</si>
  <si>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</si>
  <si>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</si>
  <si>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</si>
  <si>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</si>
  <si>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</si>
  <si>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</si>
  <si>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</si>
  <si>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</si>
  <si>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</si>
  <si>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</si>
  <si>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</si>
  <si>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</si>
  <si>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</si>
  <si>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</si>
  <si>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</si>
  <si>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</si>
  <si>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</si>
  <si>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</si>
  <si>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</si>
  <si>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</si>
  <si>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</si>
  <si>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</si>
  <si>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</si>
  <si>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</si>
  <si>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</si>
  <si>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</si>
  <si>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</si>
  <si>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</si>
  <si>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</si>
  <si>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</si>
  <si>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</si>
  <si>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</si>
  <si>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</si>
  <si>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</si>
  <si>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</si>
  <si>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</si>
  <si>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</si>
  <si>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</si>
  <si>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</si>
  <si>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</si>
  <si>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</si>
  <si>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</si>
  <si>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</si>
  <si>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</si>
  <si>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</si>
  <si>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</si>
  <si>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</si>
  <si>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</si>
  <si>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</si>
  <si>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</si>
  <si>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</si>
  <si>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</si>
  <si>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</si>
  <si>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</si>
  <si>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</si>
  <si>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</si>
  <si>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</si>
  <si>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</si>
  <si>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</si>
  <si>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</si>
  <si>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</si>
  <si>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</si>
  <si>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</si>
  <si>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</si>
  <si>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</si>
  <si>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</si>
  <si>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</si>
  <si>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</si>
  <si>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</si>
  <si>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</si>
  <si>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</si>
  <si>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</si>
  <si>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</si>
  <si>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</si>
  <si>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</si>
  <si>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</si>
  <si>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</si>
  <si>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</si>
  <si>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</si>
  <si>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</si>
  <si>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</si>
  <si>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</si>
  <si>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</si>
  <si>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</si>
  <si>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</si>
  <si>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</si>
  <si>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</si>
  <si>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</si>
  <si>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</si>
  <si>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</si>
  <si>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</si>
  <si>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</si>
  <si>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</si>
  <si>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</si>
  <si>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</si>
  <si>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</si>
  <si>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</si>
  <si>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</si>
  <si>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</si>
  <si>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</si>
  <si>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</si>
  <si>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</si>
  <si>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</si>
  <si>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</si>
  <si>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</si>
  <si>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</si>
  <si>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</si>
  <si>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</si>
  <si>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</si>
  <si>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</si>
  <si>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</si>
  <si>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</si>
  <si>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</si>
  <si>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</si>
  <si>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</si>
  <si>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</si>
  <si>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</si>
  <si>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</si>
  <si>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</si>
  <si>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</si>
  <si>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</si>
  <si>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</si>
  <si>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</si>
  <si>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</si>
  <si>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</si>
  <si>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</si>
  <si>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</si>
  <si>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</si>
  <si>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</si>
  <si>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</si>
  <si>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</si>
  <si>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</si>
  <si>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</si>
  <si>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</si>
  <si>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</si>
  <si>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</si>
  <si>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</si>
  <si>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</si>
  <si>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</si>
  <si>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</si>
  <si>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</si>
  <si>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</si>
  <si>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</si>
  <si>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</si>
  <si>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</si>
  <si>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</si>
  <si>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</si>
  <si>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</si>
  <si>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</si>
  <si>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</si>
  <si>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</si>
  <si>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</si>
  <si>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</si>
  <si>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</si>
  <si>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</si>
  <si>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</si>
  <si>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</si>
  <si>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</si>
  <si>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</si>
  <si>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</si>
  <si>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</si>
  <si>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</si>
  <si>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</si>
  <si>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</si>
  <si>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</si>
  <si>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</si>
  <si>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</si>
  <si>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</si>
  <si>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</si>
  <si>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</si>
  <si>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</si>
  <si>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</si>
  <si>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</si>
  <si>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</si>
  <si>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</si>
  <si>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</si>
  <si>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</si>
  <si>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</si>
  <si>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</si>
  <si>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</si>
  <si>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</si>
  <si>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</si>
  <si>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</si>
  <si>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</si>
  <si>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</si>
  <si>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</si>
  <si>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</si>
  <si>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</si>
  <si>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</si>
  <si>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</si>
  <si>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</si>
  <si>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</si>
  <si>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</si>
  <si>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</si>
  <si>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</si>
  <si>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</si>
  <si>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</si>
  <si>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</si>
  <si>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</si>
  <si>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</si>
  <si>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</si>
  <si>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</si>
  <si>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</si>
  <si>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</si>
  <si>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</si>
  <si>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</si>
  <si>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</si>
  <si>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</si>
  <si>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</si>
  <si>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</si>
  <si>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</si>
  <si>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</si>
  <si>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</si>
  <si>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</si>
  <si>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</si>
  <si>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</si>
  <si>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</si>
  <si>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</si>
  <si>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</si>
  <si>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</si>
  <si>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</si>
  <si>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</si>
  <si>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</si>
  <si>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</si>
  <si>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</si>
  <si>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</si>
  <si>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</si>
  <si>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</si>
  <si>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</si>
  <si>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</si>
  <si>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</si>
  <si>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</si>
  <si>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</si>
  <si>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</si>
  <si>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</si>
  <si>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</si>
  <si>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</si>
  <si>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</si>
  <si>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</si>
  <si>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</si>
  <si>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</si>
  <si>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</si>
  <si>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</si>
  <si>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</si>
  <si>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</si>
  <si>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</si>
  <si>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</si>
  <si>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</si>
  <si>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</si>
  <si>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</si>
  <si>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</si>
  <si>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</si>
  <si>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</si>
  <si>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</si>
  <si>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</si>
  <si>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</si>
  <si>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</si>
  <si>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</si>
  <si>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</si>
  <si>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</si>
  <si>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</si>
  <si>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</si>
  <si>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</si>
  <si>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</si>
  <si>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05-016-0380-02</t>
  </si>
  <si>
    <t>COOK</t>
  </si>
  <si>
    <t>KENILWORTH SD 38</t>
  </si>
  <si>
    <t>542 ABBOTSFORD RD.</t>
  </si>
  <si>
    <t xml:space="preserve">KENILWORTH  </t>
  </si>
  <si>
    <t>GEORGE ROACH &amp; ASSOCIATES, P.C.</t>
  </si>
  <si>
    <t>JOSEPH TROYER</t>
  </si>
  <si>
    <t>44 N. WALKUP AVE.</t>
  </si>
  <si>
    <t>CRYSTAL LAKE</t>
  </si>
  <si>
    <t>IL</t>
  </si>
  <si>
    <t>815-459-0700</t>
  </si>
  <si>
    <t>815-477-8764</t>
  </si>
  <si>
    <t>JOE@GRA-CPA.COM</t>
  </si>
  <si>
    <t>Dr. Crystal LeRoy</t>
  </si>
  <si>
    <t>cleroy@kenilworth38.org</t>
  </si>
  <si>
    <t>847-853-3805</t>
  </si>
  <si>
    <t>10/01/1991</t>
  </si>
  <si>
    <t>Revenues 9-14, Cell c10, sales to pupils-other, milk sales</t>
  </si>
  <si>
    <t xml:space="preserve">Revenues 9-14, Cell c171, other restricted revenue from state sources, state library grant(1,500) </t>
  </si>
  <si>
    <t>Revenues 9-14, Cell c107-d107, other local revenues, NSF check reimbursements(145), jury duty(103) and damage reimbursements(3,344)</t>
  </si>
  <si>
    <t>Expenditures 15-22, cell c171, debt services other, debt service fees(2,475)</t>
  </si>
  <si>
    <t>2007 BUILDING BONDS</t>
  </si>
  <si>
    <t>2011 REFUNDING BONDS</t>
  </si>
  <si>
    <t>2017 REFUNDING BONDS</t>
  </si>
  <si>
    <t>2017A WORKING CASH BONDS</t>
  </si>
  <si>
    <t>x</t>
  </si>
  <si>
    <t>NSSED SPECIAL EDUCATION CO-OP</t>
  </si>
  <si>
    <t>EBC EDUCATIONAL BENEFIT CO-OP</t>
  </si>
  <si>
    <t>None</t>
  </si>
  <si>
    <t>065.019712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</si>
</sst>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4" fontId="63" fillId="0" borderId="78" xfId="0" quotePrefix="1"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23" sqref="T23:W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t="s">
        <v>2078</v>
      </c>
      <c r="B13" s="2036"/>
      <c r="C13" s="2036"/>
      <c r="D13" s="2036"/>
      <c r="E13" s="2036"/>
      <c r="F13" s="2036"/>
      <c r="G13" s="2036"/>
      <c r="H13" s="2037"/>
      <c r="I13" s="31"/>
      <c r="J13" s="30"/>
      <c r="K13" s="28"/>
      <c r="L13" s="30"/>
      <c r="M13" s="30"/>
      <c r="N13" s="30"/>
      <c r="O13" s="30"/>
      <c r="P13" s="30"/>
      <c r="Q13" s="30"/>
      <c r="R13" s="30"/>
      <c r="S13" s="30"/>
      <c r="T13" s="2040" t="s">
        <v>2083</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2079</v>
      </c>
      <c r="B15" s="2038"/>
      <c r="C15" s="2038"/>
      <c r="D15" s="2038"/>
      <c r="E15" s="2038"/>
      <c r="F15" s="2038"/>
      <c r="G15" s="2038"/>
      <c r="H15" s="2039"/>
      <c r="T15" s="2044" t="s">
        <v>2084</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2080</v>
      </c>
      <c r="B17" s="1995"/>
      <c r="C17" s="1995"/>
      <c r="D17" s="1995"/>
      <c r="E17" s="1995"/>
      <c r="F17" s="1995"/>
      <c r="G17" s="1995"/>
      <c r="H17" s="2020"/>
      <c r="T17" s="2051" t="s">
        <v>2085</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2081</v>
      </c>
      <c r="B19" s="1980"/>
      <c r="C19" s="1980"/>
      <c r="D19" s="1980"/>
      <c r="E19" s="1980"/>
      <c r="F19" s="1980"/>
      <c r="G19" s="1980"/>
      <c r="H19" s="1960"/>
      <c r="I19" s="30"/>
      <c r="J19" s="99"/>
      <c r="K19" s="40"/>
      <c r="L19" s="38"/>
      <c r="M19" s="112" t="s">
        <v>333</v>
      </c>
      <c r="P19" s="27"/>
      <c r="Q19" s="27"/>
      <c r="R19" s="27"/>
      <c r="S19" s="31"/>
      <c r="T19" s="2034" t="s">
        <v>2086</v>
      </c>
      <c r="U19" s="1959"/>
      <c r="V19" s="1959"/>
      <c r="W19" s="1960"/>
      <c r="X19" s="2049" t="s">
        <v>2087</v>
      </c>
      <c r="Y19" s="2050"/>
      <c r="Z19" s="2047">
        <v>60014</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2082</v>
      </c>
      <c r="B21" s="1959"/>
      <c r="C21" s="1959"/>
      <c r="D21" s="1959"/>
      <c r="E21" s="1959"/>
      <c r="F21" s="1959"/>
      <c r="G21" s="1959"/>
      <c r="H21" s="1960"/>
      <c r="I21" s="2014" t="s">
        <v>699</v>
      </c>
      <c r="J21" s="2009"/>
      <c r="K21" s="2009"/>
      <c r="L21" s="2009"/>
      <c r="M21" s="2009"/>
      <c r="N21" s="2009"/>
      <c r="O21" s="2009"/>
      <c r="P21" s="2009"/>
      <c r="Q21" s="2009"/>
      <c r="R21" s="2009"/>
      <c r="S21" s="2015"/>
      <c r="T21" s="2059" t="s">
        <v>2088</v>
      </c>
      <c r="U21" s="2060"/>
      <c r="V21" s="2060"/>
      <c r="W21" s="2060"/>
      <c r="X21" s="2065" t="s">
        <v>2089</v>
      </c>
      <c r="Y21" s="2066"/>
      <c r="Z21" s="2066"/>
      <c r="AA21" s="2067"/>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2057" t="s">
        <v>2107</v>
      </c>
      <c r="U23" s="2058"/>
      <c r="V23" s="2058"/>
      <c r="W23" s="2058"/>
      <c r="X23" s="2062">
        <v>43466</v>
      </c>
      <c r="Y23" s="2063"/>
      <c r="Z23" s="2063"/>
      <c r="AA23" s="2064"/>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60043</v>
      </c>
      <c r="B25" s="1959"/>
      <c r="C25" s="1959"/>
      <c r="D25" s="1959"/>
      <c r="E25" s="1959"/>
      <c r="F25" s="1959"/>
      <c r="G25" s="1959"/>
      <c r="H25" s="1960"/>
      <c r="I25" s="113"/>
      <c r="J25" s="1983"/>
      <c r="K25" s="1983"/>
      <c r="L25" s="1983"/>
      <c r="M25" s="1983"/>
      <c r="N25" s="1983"/>
      <c r="O25" s="1983"/>
      <c r="P25" s="1983"/>
      <c r="Q25" s="1983"/>
      <c r="R25" s="1983"/>
      <c r="S25" s="1984"/>
      <c r="T25" s="2054" t="s">
        <v>2090</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2091</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2092</v>
      </c>
      <c r="B40" s="1973"/>
      <c r="C40" s="1974"/>
      <c r="D40" s="1974"/>
      <c r="E40" s="1974"/>
      <c r="F40" s="1975"/>
      <c r="G40" s="1975"/>
      <c r="H40" s="1976"/>
      <c r="I40" s="1997"/>
      <c r="J40" s="1998"/>
      <c r="K40" s="1998"/>
      <c r="L40" s="1998"/>
      <c r="M40" s="1998"/>
      <c r="N40" s="1998"/>
      <c r="O40" s="1998"/>
      <c r="P40" s="1998"/>
      <c r="Q40" s="1998"/>
      <c r="R40" s="1998"/>
      <c r="S40" s="1999"/>
      <c r="T40" s="1997"/>
      <c r="U40" s="2061"/>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2093</v>
      </c>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2" sqref="C12"/>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7" t="s">
        <v>106</v>
      </c>
    </row>
    <row r="2" spans="1:6" ht="39.75" customHeight="1" x14ac:dyDescent="0.2">
      <c r="A2" s="2201" t="s">
        <v>1905</v>
      </c>
      <c r="B2" s="1549" t="s">
        <v>2035</v>
      </c>
      <c r="C2" s="714" t="s">
        <v>1910</v>
      </c>
      <c r="D2" s="714" t="s">
        <v>1911</v>
      </c>
      <c r="E2" s="714" t="s">
        <v>1912</v>
      </c>
      <c r="F2" s="714" t="s">
        <v>1913</v>
      </c>
    </row>
    <row r="3" spans="1:6" ht="12" customHeight="1" x14ac:dyDescent="0.2">
      <c r="A3" s="2202"/>
      <c r="B3" s="1546"/>
      <c r="C3" s="1547"/>
      <c r="D3" s="1548" t="s">
        <v>274</v>
      </c>
      <c r="E3" s="1547"/>
      <c r="F3" s="1548" t="s">
        <v>275</v>
      </c>
    </row>
    <row r="4" spans="1:6" ht="13.7" customHeight="1" x14ac:dyDescent="0.2">
      <c r="A4" s="715" t="s">
        <v>1217</v>
      </c>
      <c r="B4" s="1770">
        <f>'Revenues 9-14'!C5</f>
        <v>9701699</v>
      </c>
      <c r="C4" s="1545">
        <v>5259089</v>
      </c>
      <c r="D4" s="1773">
        <f>B4-C4</f>
        <v>4442610</v>
      </c>
      <c r="E4" s="1545">
        <v>10009607</v>
      </c>
      <c r="F4" s="1773">
        <f>E4-C4</f>
        <v>4750518</v>
      </c>
    </row>
    <row r="5" spans="1:6" ht="13.7" customHeight="1" x14ac:dyDescent="0.2">
      <c r="A5" s="715" t="s">
        <v>925</v>
      </c>
      <c r="B5" s="1771">
        <f>'Revenues 9-14'!D5</f>
        <v>1525448</v>
      </c>
      <c r="C5" s="584">
        <v>827272</v>
      </c>
      <c r="D5" s="1774">
        <f t="shared" ref="D5:D18" si="0">B5-C5</f>
        <v>698176</v>
      </c>
      <c r="E5" s="584">
        <v>1574545</v>
      </c>
      <c r="F5" s="1774">
        <f>E5-C5</f>
        <v>747273</v>
      </c>
    </row>
    <row r="6" spans="1:6" ht="13.7" customHeight="1" x14ac:dyDescent="0.2">
      <c r="A6" s="715" t="s">
        <v>431</v>
      </c>
      <c r="B6" s="1771">
        <f>'Revenues 9-14'!E5</f>
        <v>1010296</v>
      </c>
      <c r="C6" s="584">
        <v>536266</v>
      </c>
      <c r="D6" s="1774">
        <f t="shared" si="0"/>
        <v>474030</v>
      </c>
      <c r="E6" s="584">
        <v>1020674</v>
      </c>
      <c r="F6" s="1774">
        <f t="shared" ref="F6:F18" si="1">E6-C6</f>
        <v>484408</v>
      </c>
    </row>
    <row r="7" spans="1:6" ht="13.7" customHeight="1" x14ac:dyDescent="0.2">
      <c r="A7" s="715" t="s">
        <v>157</v>
      </c>
      <c r="B7" s="1771">
        <f>'Revenues 9-14'!F5</f>
        <v>50033</v>
      </c>
      <c r="C7" s="584">
        <v>26922</v>
      </c>
      <c r="D7" s="1774">
        <f t="shared" si="0"/>
        <v>23111</v>
      </c>
      <c r="E7" s="584">
        <v>51255</v>
      </c>
      <c r="F7" s="1774">
        <f t="shared" si="1"/>
        <v>24333</v>
      </c>
    </row>
    <row r="8" spans="1:6" ht="13.7" customHeight="1" x14ac:dyDescent="0.2">
      <c r="A8" s="715" t="s">
        <v>1241</v>
      </c>
      <c r="B8" s="1771">
        <f>'Revenues 9-14'!G5</f>
        <v>146626</v>
      </c>
      <c r="C8" s="584">
        <v>80402</v>
      </c>
      <c r="D8" s="1774">
        <f t="shared" si="0"/>
        <v>66224</v>
      </c>
      <c r="E8" s="584">
        <v>153029</v>
      </c>
      <c r="F8" s="1774">
        <f t="shared" si="1"/>
        <v>72627</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0</v>
      </c>
      <c r="C10" s="584"/>
      <c r="D10" s="1774">
        <f t="shared" si="0"/>
        <v>0</v>
      </c>
      <c r="E10" s="584"/>
      <c r="F10" s="1774">
        <f t="shared" si="1"/>
        <v>0</v>
      </c>
    </row>
    <row r="11" spans="1:6" x14ac:dyDescent="0.2">
      <c r="A11" s="715" t="s">
        <v>429</v>
      </c>
      <c r="B11" s="1771">
        <f>'Revenues 9-14'!J5</f>
        <v>46739</v>
      </c>
      <c r="C11" s="584">
        <v>26922</v>
      </c>
      <c r="D11" s="1774">
        <f t="shared" si="0"/>
        <v>19817</v>
      </c>
      <c r="E11" s="584">
        <v>51255</v>
      </c>
      <c r="F11" s="1774">
        <f t="shared" si="1"/>
        <v>24333</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0</v>
      </c>
      <c r="C14" s="584"/>
      <c r="D14" s="1774">
        <f t="shared" si="0"/>
        <v>0</v>
      </c>
      <c r="E14" s="584"/>
      <c r="F14" s="1774">
        <f t="shared" si="1"/>
        <v>0</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0</v>
      </c>
      <c r="C16" s="584"/>
      <c r="D16" s="1774">
        <f t="shared" si="0"/>
        <v>0</v>
      </c>
      <c r="E16" s="584"/>
      <c r="F16" s="1774">
        <f t="shared" si="1"/>
        <v>0</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12480841</v>
      </c>
      <c r="C19" s="1772">
        <f>SUM(C4:C18)</f>
        <v>6756873</v>
      </c>
      <c r="D19" s="1772">
        <f>SUM(D4:D18)</f>
        <v>5723968</v>
      </c>
      <c r="E19" s="1772">
        <f>SUM(E4:E18)</f>
        <v>12860365</v>
      </c>
      <c r="F19" s="1772">
        <f>SUM(F4:F18)</f>
        <v>6103492</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B35" sqref="B35"/>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23" t="s">
        <v>650</v>
      </c>
      <c r="B1" s="2221"/>
      <c r="C1" s="721"/>
    </row>
    <row r="2" spans="1:7" ht="33.75" x14ac:dyDescent="0.2">
      <c r="A2" s="2228" t="s">
        <v>1905</v>
      </c>
      <c r="B2" s="2229"/>
      <c r="C2" s="1908" t="s">
        <v>2036</v>
      </c>
      <c r="D2" s="723" t="s">
        <v>2043</v>
      </c>
      <c r="E2" s="723"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0"/>
      <c r="D4" s="580"/>
      <c r="E4" s="580"/>
      <c r="F4" s="1776">
        <f>SUM(C4+D4)-E4</f>
        <v>0</v>
      </c>
    </row>
    <row r="5" spans="1:7" ht="15.75" customHeight="1" thickTop="1" x14ac:dyDescent="0.2">
      <c r="A5" s="2222" t="s">
        <v>1172</v>
      </c>
      <c r="B5" s="2217"/>
      <c r="C5" s="2211"/>
      <c r="D5" s="2212"/>
      <c r="E5" s="2212"/>
      <c r="F5" s="2213"/>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14" t="s">
        <v>652</v>
      </c>
      <c r="B15" s="2215"/>
      <c r="C15" s="1776">
        <f>SUM(C6:C14)</f>
        <v>0</v>
      </c>
      <c r="D15" s="1776">
        <f>SUM(D6:D14)</f>
        <v>0</v>
      </c>
      <c r="E15" s="1776">
        <f>SUM(E6:E14)</f>
        <v>0</v>
      </c>
      <c r="F15" s="1776">
        <f>SUM(F6:F14)</f>
        <v>0</v>
      </c>
      <c r="G15" s="551"/>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6"/>
      <c r="D17" s="584"/>
      <c r="E17" s="726"/>
      <c r="F17" s="1776">
        <f>SUM(C17+D17)-E17</f>
        <v>0</v>
      </c>
    </row>
    <row r="18" spans="1:11" ht="12.75" customHeight="1" thickTop="1" thickBot="1" x14ac:dyDescent="0.25">
      <c r="A18" s="2209" t="s">
        <v>6</v>
      </c>
      <c r="B18" s="2210"/>
      <c r="C18" s="726"/>
      <c r="D18" s="584"/>
      <c r="E18" s="726"/>
      <c r="F18" s="1776">
        <f>SUM(C18+D18)-E18</f>
        <v>0</v>
      </c>
    </row>
    <row r="19" spans="1:11" ht="12.75" customHeight="1" thickTop="1" thickBot="1" x14ac:dyDescent="0.25">
      <c r="A19" s="2209" t="s">
        <v>406</v>
      </c>
      <c r="B19" s="2210"/>
      <c r="C19" s="726"/>
      <c r="D19" s="584"/>
      <c r="E19" s="726"/>
      <c r="F19" s="1776">
        <f>SUM(C19+D19)-E19</f>
        <v>0</v>
      </c>
    </row>
    <row r="20" spans="1:11" ht="12.75" customHeight="1" thickTop="1" thickBot="1" x14ac:dyDescent="0.25">
      <c r="A20" s="2209" t="s">
        <v>468</v>
      </c>
      <c r="B20" s="2210"/>
      <c r="C20" s="726"/>
      <c r="D20" s="584"/>
      <c r="E20" s="726"/>
      <c r="F20" s="1776">
        <f>SUM(C20+D20)-E20</f>
        <v>0</v>
      </c>
    </row>
    <row r="21" spans="1:11" ht="14.25" thickTop="1" thickBot="1" x14ac:dyDescent="0.25">
      <c r="A21" s="2214" t="s">
        <v>653</v>
      </c>
      <c r="B21" s="2215"/>
      <c r="C21" s="1776">
        <f>SUM(C17:C20)</f>
        <v>0</v>
      </c>
      <c r="D21" s="1776">
        <f>SUM(D17:D20)</f>
        <v>0</v>
      </c>
      <c r="E21" s="1776">
        <f>SUM(E17:E20)</f>
        <v>0</v>
      </c>
      <c r="F21" s="1776">
        <f>SUM(F17:F20)</f>
        <v>0</v>
      </c>
      <c r="G21" s="551"/>
    </row>
    <row r="22" spans="1:11" ht="15.75" customHeight="1" thickTop="1" x14ac:dyDescent="0.2">
      <c r="A22" s="2216" t="s">
        <v>1174</v>
      </c>
      <c r="B22" s="2217"/>
      <c r="C22" s="2211"/>
      <c r="D22" s="2212"/>
      <c r="E22" s="2212"/>
      <c r="F22" s="2213"/>
    </row>
    <row r="23" spans="1:11" ht="13.5" thickBot="1" x14ac:dyDescent="0.25">
      <c r="A23" s="2218" t="s">
        <v>654</v>
      </c>
      <c r="B23" s="2219"/>
      <c r="C23" s="580"/>
      <c r="D23" s="580"/>
      <c r="E23" s="580"/>
      <c r="F23" s="1776">
        <f>SUM(C23+D23)-E23</f>
        <v>0</v>
      </c>
      <c r="G23" s="551"/>
    </row>
    <row r="24" spans="1:11" ht="15.75" customHeight="1" thickTop="1" x14ac:dyDescent="0.2">
      <c r="A24" s="2216" t="s">
        <v>1175</v>
      </c>
      <c r="B24" s="2217"/>
      <c r="C24" s="2211"/>
      <c r="D24" s="2212"/>
      <c r="E24" s="2212"/>
      <c r="F24" s="2213"/>
    </row>
    <row r="25" spans="1:11" ht="13.5" thickBot="1" x14ac:dyDescent="0.25">
      <c r="A25" s="2218" t="s">
        <v>655</v>
      </c>
      <c r="B25" s="2219"/>
      <c r="C25" s="580"/>
      <c r="D25" s="580"/>
      <c r="E25" s="580"/>
      <c r="F25" s="1776">
        <f>SUM(C25+D25)-E25</f>
        <v>0</v>
      </c>
      <c r="G25" s="551"/>
    </row>
    <row r="26" spans="1:11" ht="15.75" customHeight="1" thickTop="1" x14ac:dyDescent="0.2">
      <c r="A26" s="2222" t="s">
        <v>678</v>
      </c>
      <c r="B26" s="2217"/>
      <c r="C26" s="727"/>
      <c r="D26" s="727"/>
      <c r="E26" s="727"/>
      <c r="F26" s="728"/>
    </row>
    <row r="27" spans="1:11" ht="13.5" thickBot="1" x14ac:dyDescent="0.25">
      <c r="A27" s="2214" t="s">
        <v>1130</v>
      </c>
      <c r="B27" s="2215"/>
      <c r="C27" s="584"/>
      <c r="D27" s="584"/>
      <c r="E27" s="584"/>
      <c r="F27" s="1776">
        <f>SUM(C27+D27)-E27</f>
        <v>0</v>
      </c>
      <c r="G27" s="551"/>
    </row>
    <row r="28" spans="1:11" ht="7.5" customHeight="1" thickTop="1" x14ac:dyDescent="0.2">
      <c r="A28" s="593"/>
    </row>
    <row r="29" spans="1:11" ht="23.25" customHeight="1" x14ac:dyDescent="0.2">
      <c r="A29" s="2220" t="s">
        <v>603</v>
      </c>
      <c r="B29" s="2221"/>
      <c r="C29" s="729"/>
      <c r="D29" s="729"/>
      <c r="E29" s="729"/>
      <c r="F29" s="729"/>
      <c r="G29" s="729"/>
      <c r="H29" s="729"/>
      <c r="I29" s="729"/>
      <c r="J29" s="729"/>
    </row>
    <row r="30" spans="1:11" ht="33.75" x14ac:dyDescent="0.2">
      <c r="A30" s="1550" t="s">
        <v>1131</v>
      </c>
      <c r="B30" s="730" t="s">
        <v>1186</v>
      </c>
      <c r="C30" s="1909" t="s">
        <v>604</v>
      </c>
      <c r="D30" s="1909" t="s">
        <v>1772</v>
      </c>
      <c r="E30" s="1909" t="s">
        <v>2038</v>
      </c>
      <c r="F30" s="1909" t="s">
        <v>2039</v>
      </c>
      <c r="G30" s="1909" t="s">
        <v>2042</v>
      </c>
      <c r="H30" s="1909" t="s">
        <v>2040</v>
      </c>
      <c r="I30" s="1909" t="s">
        <v>2041</v>
      </c>
      <c r="J30" s="1910" t="s">
        <v>2</v>
      </c>
      <c r="K30" s="731"/>
    </row>
    <row r="31" spans="1:11" ht="12" customHeight="1" x14ac:dyDescent="0.2">
      <c r="A31" s="732" t="s">
        <v>2099</v>
      </c>
      <c r="B31" s="733">
        <v>39420</v>
      </c>
      <c r="C31" s="734">
        <v>10000000</v>
      </c>
      <c r="D31" s="735">
        <v>6</v>
      </c>
      <c r="E31" s="734">
        <v>530000</v>
      </c>
      <c r="F31" s="734"/>
      <c r="G31" s="734"/>
      <c r="H31" s="734">
        <v>530000</v>
      </c>
      <c r="I31" s="1777">
        <f>((E31+F31)-H31)+G31</f>
        <v>0</v>
      </c>
      <c r="J31" s="734">
        <v>0</v>
      </c>
      <c r="K31" s="736"/>
    </row>
    <row r="32" spans="1:11" ht="12" customHeight="1" x14ac:dyDescent="0.2">
      <c r="A32" s="732" t="s">
        <v>2100</v>
      </c>
      <c r="B32" s="733">
        <v>40862</v>
      </c>
      <c r="C32" s="734">
        <v>1515000</v>
      </c>
      <c r="D32" s="735">
        <v>3</v>
      </c>
      <c r="E32" s="734">
        <v>575000</v>
      </c>
      <c r="F32" s="734"/>
      <c r="G32" s="734"/>
      <c r="H32" s="734">
        <v>190000</v>
      </c>
      <c r="I32" s="1777">
        <f>((E32+F32)-H32)+G32</f>
        <v>385000</v>
      </c>
      <c r="J32" s="734">
        <v>0</v>
      </c>
      <c r="K32" s="736"/>
    </row>
    <row r="33" spans="1:11" ht="12" customHeight="1" x14ac:dyDescent="0.2">
      <c r="A33" s="732" t="s">
        <v>2101</v>
      </c>
      <c r="B33" s="733">
        <v>42852</v>
      </c>
      <c r="C33" s="734">
        <v>5970000</v>
      </c>
      <c r="D33" s="735">
        <v>3</v>
      </c>
      <c r="E33" s="734">
        <v>5970000</v>
      </c>
      <c r="F33" s="734"/>
      <c r="G33" s="734"/>
      <c r="H33" s="734"/>
      <c r="I33" s="1777">
        <f t="shared" ref="I33:I48" si="1">((E33+F33)-H33)+G33</f>
        <v>5970000</v>
      </c>
      <c r="J33" s="734">
        <v>5271883</v>
      </c>
      <c r="K33" s="736"/>
    </row>
    <row r="34" spans="1:11" ht="12" customHeight="1" x14ac:dyDescent="0.2">
      <c r="A34" s="732" t="s">
        <v>2102</v>
      </c>
      <c r="B34" s="733">
        <v>43097</v>
      </c>
      <c r="C34" s="734">
        <v>3200000</v>
      </c>
      <c r="D34" s="735">
        <v>1</v>
      </c>
      <c r="E34" s="734"/>
      <c r="F34" s="734">
        <v>3200000</v>
      </c>
      <c r="G34" s="734"/>
      <c r="H34" s="734"/>
      <c r="I34" s="1777">
        <f t="shared" si="1"/>
        <v>3200000</v>
      </c>
      <c r="J34" s="734">
        <v>3200000</v>
      </c>
      <c r="K34" s="737"/>
    </row>
    <row r="35" spans="1:11" ht="12" customHeight="1" x14ac:dyDescent="0.2">
      <c r="A35" s="732"/>
      <c r="B35" s="733"/>
      <c r="C35" s="738"/>
      <c r="D35" s="735"/>
      <c r="E35" s="738"/>
      <c r="F35" s="738"/>
      <c r="G35" s="738"/>
      <c r="H35" s="738"/>
      <c r="I35" s="1777">
        <f t="shared" si="1"/>
        <v>0</v>
      </c>
      <c r="J35" s="738"/>
      <c r="K35" s="737"/>
    </row>
    <row r="36" spans="1:11" ht="12" customHeight="1" x14ac:dyDescent="0.2">
      <c r="A36" s="732"/>
      <c r="B36" s="733"/>
      <c r="C36" s="734"/>
      <c r="D36" s="735"/>
      <c r="E36" s="734"/>
      <c r="F36" s="734"/>
      <c r="G36" s="734"/>
      <c r="H36" s="734"/>
      <c r="I36" s="1777">
        <f t="shared" si="1"/>
        <v>0</v>
      </c>
      <c r="J36" s="734"/>
      <c r="K36" s="739"/>
    </row>
    <row r="37" spans="1:11" ht="12" customHeight="1" x14ac:dyDescent="0.2">
      <c r="A37" s="732"/>
      <c r="B37" s="733"/>
      <c r="C37" s="466"/>
      <c r="D37" s="740"/>
      <c r="E37" s="466"/>
      <c r="F37" s="466"/>
      <c r="G37" s="466"/>
      <c r="H37" s="466"/>
      <c r="I37" s="1777">
        <f t="shared" si="1"/>
        <v>0</v>
      </c>
      <c r="J37" s="466"/>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20685000</v>
      </c>
      <c r="D49" s="745"/>
      <c r="E49" s="1777">
        <f t="shared" ref="E49:J49" si="2">SUM(E31:E48)</f>
        <v>7075000</v>
      </c>
      <c r="F49" s="1777">
        <f t="shared" si="2"/>
        <v>3200000</v>
      </c>
      <c r="G49" s="1777">
        <f t="shared" si="2"/>
        <v>0</v>
      </c>
      <c r="H49" s="1777">
        <f t="shared" si="2"/>
        <v>720000</v>
      </c>
      <c r="I49" s="1777">
        <f t="shared" si="2"/>
        <v>9555000</v>
      </c>
      <c r="J49" s="1777">
        <f t="shared" si="2"/>
        <v>8471883</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03" t="s">
        <v>605</v>
      </c>
      <c r="C52" s="2204"/>
      <c r="D52" s="2204"/>
      <c r="E52" s="749" t="s">
        <v>900</v>
      </c>
      <c r="F52" s="2205"/>
      <c r="G52" s="2206"/>
      <c r="H52" s="736"/>
      <c r="I52" s="736"/>
      <c r="J52" s="746"/>
    </row>
    <row r="53" spans="1:11" ht="11.25" customHeight="1" x14ac:dyDescent="0.2">
      <c r="A53" s="750" t="s">
        <v>969</v>
      </c>
      <c r="B53" s="751" t="s">
        <v>1008</v>
      </c>
      <c r="C53" s="746"/>
      <c r="D53" s="737"/>
      <c r="E53" s="749" t="s">
        <v>518</v>
      </c>
      <c r="F53" s="2207"/>
      <c r="G53" s="2208"/>
      <c r="H53" s="736"/>
      <c r="I53" s="736"/>
      <c r="J53" s="746"/>
    </row>
    <row r="54" spans="1:11" ht="11.25" customHeight="1" x14ac:dyDescent="0.2">
      <c r="A54" s="752" t="s">
        <v>970</v>
      </c>
      <c r="B54" s="747" t="s">
        <v>1009</v>
      </c>
      <c r="C54" s="746"/>
      <c r="D54" s="737"/>
      <c r="E54" s="749" t="s">
        <v>519</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2" customWidth="1"/>
    <col min="12" max="12" width="4.7109375" style="383" customWidth="1"/>
    <col min="13" max="13" width="7.7109375" style="383" customWidth="1"/>
    <col min="14" max="16384" width="9.140625" style="383"/>
  </cols>
  <sheetData>
    <row r="1" spans="1:11" ht="28.5" customHeight="1" x14ac:dyDescent="0.2">
      <c r="A1" s="2232" t="s">
        <v>911</v>
      </c>
      <c r="B1" s="2233"/>
      <c r="C1" s="2233"/>
      <c r="D1" s="2233"/>
      <c r="E1" s="2233"/>
      <c r="F1" s="2233"/>
      <c r="G1" s="2234"/>
      <c r="H1" s="1551"/>
      <c r="I1" s="760"/>
      <c r="J1" s="432"/>
    </row>
    <row r="2" spans="1:11" ht="26.25" x14ac:dyDescent="0.2">
      <c r="A2" s="2251" t="s">
        <v>1776</v>
      </c>
      <c r="B2" s="2252"/>
      <c r="C2" s="2252"/>
      <c r="D2" s="2252"/>
      <c r="E2" s="2253"/>
      <c r="F2" s="761" t="s">
        <v>960</v>
      </c>
      <c r="G2" s="762" t="s">
        <v>1773</v>
      </c>
      <c r="H2" s="762" t="s">
        <v>430</v>
      </c>
      <c r="I2" s="762" t="s">
        <v>1220</v>
      </c>
      <c r="J2" s="762" t="s">
        <v>1919</v>
      </c>
      <c r="K2" s="762" t="s">
        <v>140</v>
      </c>
    </row>
    <row r="3" spans="1:11" x14ac:dyDescent="0.2">
      <c r="A3" s="2254" t="s">
        <v>1698</v>
      </c>
      <c r="B3" s="2255"/>
      <c r="C3" s="2255"/>
      <c r="D3" s="2255"/>
      <c r="E3" s="2256"/>
      <c r="F3" s="763"/>
      <c r="G3" s="764"/>
      <c r="H3" s="764"/>
      <c r="I3" s="764"/>
      <c r="J3" s="765"/>
      <c r="K3" s="765"/>
    </row>
    <row r="4" spans="1:11" x14ac:dyDescent="0.2">
      <c r="A4" s="2257" t="s">
        <v>387</v>
      </c>
      <c r="B4" s="2258"/>
      <c r="C4" s="2258"/>
      <c r="D4" s="2258"/>
      <c r="E4" s="2204"/>
      <c r="F4" s="766"/>
      <c r="G4" s="767"/>
      <c r="H4" s="768"/>
      <c r="I4" s="767"/>
      <c r="J4" s="769"/>
      <c r="K4" s="769"/>
    </row>
    <row r="5" spans="1:11" x14ac:dyDescent="0.2">
      <c r="A5" s="2235" t="s">
        <v>1129</v>
      </c>
      <c r="B5" s="2236"/>
      <c r="C5" s="2236"/>
      <c r="D5" s="2236"/>
      <c r="E5" s="2237"/>
      <c r="F5" s="770" t="s">
        <v>903</v>
      </c>
      <c r="G5" s="771"/>
      <c r="H5" s="764"/>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35" t="s">
        <v>1920</v>
      </c>
      <c r="B10" s="2236"/>
      <c r="C10" s="2236"/>
      <c r="D10" s="2236"/>
      <c r="E10" s="2238"/>
      <c r="F10" s="783" t="s">
        <v>917</v>
      </c>
      <c r="G10" s="782"/>
      <c r="H10" s="784"/>
      <c r="I10" s="764"/>
      <c r="J10" s="765"/>
      <c r="K10" s="765"/>
    </row>
    <row r="11" spans="1:11" x14ac:dyDescent="0.2">
      <c r="A11" s="2235" t="s">
        <v>162</v>
      </c>
      <c r="B11" s="2236"/>
      <c r="C11" s="2236"/>
      <c r="D11" s="2236"/>
      <c r="E11" s="2237"/>
      <c r="F11" s="770" t="s">
        <v>907</v>
      </c>
      <c r="G11" s="771"/>
      <c r="H11" s="764"/>
      <c r="I11" s="764"/>
      <c r="J11" s="765"/>
      <c r="K11" s="773"/>
    </row>
    <row r="12" spans="1:11" ht="13.5" thickBot="1" x14ac:dyDescent="0.25">
      <c r="A12" s="2262" t="s">
        <v>961</v>
      </c>
      <c r="B12" s="2263"/>
      <c r="C12" s="2263"/>
      <c r="D12" s="2263"/>
      <c r="E12" s="2264"/>
      <c r="F12" s="1778"/>
      <c r="G12" s="1779">
        <f>SUM(G5:G11)</f>
        <v>0</v>
      </c>
      <c r="H12" s="1779">
        <f>SUM(H5:H11)</f>
        <v>0</v>
      </c>
      <c r="I12" s="1779">
        <f>SUM(I5:I11)</f>
        <v>0</v>
      </c>
      <c r="J12" s="1779">
        <f>SUM(J5:J11)</f>
        <v>0</v>
      </c>
      <c r="K12" s="1779">
        <f>SUM(K5:K11)</f>
        <v>0</v>
      </c>
    </row>
    <row r="13" spans="1:11" ht="13.5" thickTop="1" x14ac:dyDescent="0.2">
      <c r="A13" s="2259" t="s">
        <v>388</v>
      </c>
      <c r="B13" s="2260"/>
      <c r="C13" s="2260"/>
      <c r="D13" s="2260"/>
      <c r="E13" s="2261"/>
      <c r="F13" s="785"/>
      <c r="G13" s="786"/>
      <c r="H13" s="787"/>
      <c r="I13" s="788"/>
      <c r="J13" s="788"/>
      <c r="K13" s="788"/>
    </row>
    <row r="14" spans="1:11" x14ac:dyDescent="0.2">
      <c r="A14" s="2242" t="s">
        <v>476</v>
      </c>
      <c r="B14" s="2242"/>
      <c r="C14" s="2242"/>
      <c r="D14" s="2242"/>
      <c r="E14" s="2243"/>
      <c r="F14" s="789" t="s">
        <v>909</v>
      </c>
      <c r="G14" s="782"/>
      <c r="H14" s="764"/>
      <c r="I14" s="771"/>
      <c r="J14" s="773"/>
      <c r="K14" s="765"/>
    </row>
    <row r="15" spans="1:11" x14ac:dyDescent="0.2">
      <c r="A15" s="2236" t="s">
        <v>4</v>
      </c>
      <c r="B15" s="2236"/>
      <c r="C15" s="2236"/>
      <c r="D15" s="2236"/>
      <c r="E15" s="2237"/>
      <c r="F15" s="789" t="s">
        <v>910</v>
      </c>
      <c r="G15" s="771"/>
      <c r="H15" s="764"/>
      <c r="I15" s="764"/>
      <c r="J15" s="765"/>
      <c r="K15" s="765"/>
    </row>
    <row r="16" spans="1:11" x14ac:dyDescent="0.2">
      <c r="A16" s="2236" t="s">
        <v>316</v>
      </c>
      <c r="B16" s="2236"/>
      <c r="C16" s="2236"/>
      <c r="D16" s="2236"/>
      <c r="E16" s="2237"/>
      <c r="F16" s="789" t="s">
        <v>980</v>
      </c>
      <c r="G16" s="772"/>
      <c r="H16" s="767"/>
      <c r="I16" s="767"/>
      <c r="J16" s="769"/>
      <c r="K16" s="769"/>
    </row>
    <row r="17" spans="1:11" x14ac:dyDescent="0.2">
      <c r="A17" s="2267" t="s">
        <v>992</v>
      </c>
      <c r="B17" s="2267"/>
      <c r="C17" s="2267"/>
      <c r="D17" s="2267"/>
      <c r="E17" s="2268"/>
      <c r="F17" s="790"/>
      <c r="G17" s="791"/>
      <c r="H17" s="792"/>
      <c r="I17" s="792"/>
      <c r="J17" s="793"/>
      <c r="K17" s="794"/>
    </row>
    <row r="18" spans="1:11" x14ac:dyDescent="0.2">
      <c r="A18" s="2246" t="s">
        <v>386</v>
      </c>
      <c r="B18" s="2247"/>
      <c r="C18" s="2247"/>
      <c r="D18" s="2247"/>
      <c r="E18" s="2248"/>
      <c r="F18" s="789" t="s">
        <v>989</v>
      </c>
      <c r="G18" s="782"/>
      <c r="H18" s="782"/>
      <c r="I18" s="782"/>
      <c r="J18" s="765"/>
      <c r="K18" s="795"/>
    </row>
    <row r="19" spans="1:11" ht="21.75" customHeight="1" x14ac:dyDescent="0.2">
      <c r="A19" s="2244" t="s">
        <v>1916</v>
      </c>
      <c r="B19" s="2244"/>
      <c r="C19" s="2244"/>
      <c r="D19" s="2244"/>
      <c r="E19" s="2245"/>
      <c r="F19" s="789" t="s">
        <v>990</v>
      </c>
      <c r="G19" s="782"/>
      <c r="H19" s="782"/>
      <c r="I19" s="782"/>
      <c r="J19" s="765"/>
      <c r="K19" s="795"/>
    </row>
    <row r="20" spans="1:11" x14ac:dyDescent="0.2">
      <c r="A20" s="2246" t="s">
        <v>1921</v>
      </c>
      <c r="B20" s="2247"/>
      <c r="C20" s="2247"/>
      <c r="D20" s="2247"/>
      <c r="E20" s="2248"/>
      <c r="F20" s="789" t="s">
        <v>991</v>
      </c>
      <c r="G20" s="782"/>
      <c r="H20" s="782"/>
      <c r="I20" s="782"/>
      <c r="J20" s="765"/>
      <c r="K20" s="795"/>
    </row>
    <row r="21" spans="1:11" ht="13.5" thickBot="1" x14ac:dyDescent="0.25">
      <c r="A21" s="2265" t="s">
        <v>659</v>
      </c>
      <c r="B21" s="2265"/>
      <c r="C21" s="2265"/>
      <c r="D21" s="2265"/>
      <c r="E21" s="2265"/>
      <c r="F21" s="1780"/>
      <c r="G21" s="792"/>
      <c r="H21" s="796"/>
      <c r="I21" s="796"/>
      <c r="J21" s="1781">
        <f>SUM(J18:J20)</f>
        <v>0</v>
      </c>
      <c r="K21" s="793"/>
    </row>
    <row r="22" spans="1:11" ht="13.5" thickTop="1" x14ac:dyDescent="0.2">
      <c r="A22" s="2236" t="s">
        <v>1922</v>
      </c>
      <c r="B22" s="2236"/>
      <c r="C22" s="2236"/>
      <c r="D22" s="2236"/>
      <c r="E22" s="2237"/>
      <c r="F22" s="789" t="s">
        <v>917</v>
      </c>
      <c r="G22" s="782"/>
      <c r="H22" s="764"/>
      <c r="I22" s="764"/>
      <c r="J22" s="797"/>
      <c r="K22" s="765"/>
    </row>
    <row r="23" spans="1:11" ht="13.5" thickBot="1" x14ac:dyDescent="0.25">
      <c r="A23" s="2266" t="s">
        <v>962</v>
      </c>
      <c r="B23" s="2265"/>
      <c r="C23" s="2265"/>
      <c r="D23" s="2265"/>
      <c r="E23" s="2265"/>
      <c r="F23" s="1782"/>
      <c r="G23" s="1779">
        <f>SUM(G14:G16,G21,G22)</f>
        <v>0</v>
      </c>
      <c r="H23" s="1779">
        <f>SUM(H14:H16,H21,H22)</f>
        <v>0</v>
      </c>
      <c r="I23" s="1779">
        <f>SUM(I14:I16,I21,I22)</f>
        <v>0</v>
      </c>
      <c r="J23" s="1779">
        <f>SUM(J14:J16,J21,J22)</f>
        <v>0</v>
      </c>
      <c r="K23" s="1779">
        <f>SUM(K14:K16,K21,K22)</f>
        <v>0</v>
      </c>
    </row>
    <row r="24" spans="1:11" ht="14.25" thickTop="1" thickBot="1" x14ac:dyDescent="0.25">
      <c r="A24" s="2266" t="s">
        <v>2024</v>
      </c>
      <c r="B24" s="2265"/>
      <c r="C24" s="2265"/>
      <c r="D24" s="2265"/>
      <c r="E24" s="2265"/>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3"/>
      <c r="G28" s="804"/>
    </row>
    <row r="29" spans="1:11" x14ac:dyDescent="0.2">
      <c r="B29" s="500"/>
      <c r="C29" s="500"/>
      <c r="D29" s="500"/>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39"/>
      <c r="I31" s="2240"/>
      <c r="J31" s="2240"/>
      <c r="K31" s="2240"/>
    </row>
    <row r="32" spans="1:11" x14ac:dyDescent="0.2">
      <c r="A32" s="809"/>
      <c r="B32" s="237"/>
      <c r="C32" s="237"/>
      <c r="D32" s="237"/>
      <c r="E32" s="805"/>
      <c r="F32" s="811" t="s">
        <v>561</v>
      </c>
      <c r="G32" s="764"/>
      <c r="H32" s="2241"/>
      <c r="I32" s="2240"/>
      <c r="J32" s="2240"/>
      <c r="K32" s="2240"/>
    </row>
    <row r="33" spans="1:11" ht="1.5" customHeight="1" x14ac:dyDescent="0.2">
      <c r="A33" s="812" t="s">
        <v>1231</v>
      </c>
      <c r="B33" s="363"/>
      <c r="C33" s="363"/>
      <c r="D33" s="363"/>
      <c r="E33" s="363"/>
      <c r="F33" s="363"/>
      <c r="G33" s="813"/>
      <c r="H33" s="2241"/>
      <c r="I33" s="2240"/>
      <c r="J33" s="2240"/>
      <c r="K33" s="2240"/>
    </row>
    <row r="34" spans="1:11" x14ac:dyDescent="0.2">
      <c r="A34" s="814" t="s">
        <v>1923</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6" t="s">
        <v>562</v>
      </c>
      <c r="B41" s="2249"/>
      <c r="C41" s="2249"/>
      <c r="D41" s="2249"/>
      <c r="E41" s="2249"/>
      <c r="F41" s="2250"/>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7" t="s">
        <v>1774</v>
      </c>
    </row>
    <row r="47" spans="1:11" s="823" customFormat="1" ht="12.75" customHeight="1" x14ac:dyDescent="0.2">
      <c r="A47" s="821"/>
      <c r="B47" s="822" t="s">
        <v>1775</v>
      </c>
      <c r="E47" s="822"/>
      <c r="K47" s="824"/>
    </row>
    <row r="48" spans="1:11" ht="12.75" customHeight="1" x14ac:dyDescent="0.2">
      <c r="A48" s="155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1" t="s">
        <v>2033</v>
      </c>
      <c r="B1" s="2272"/>
      <c r="C1" s="2273"/>
      <c r="D1" s="826"/>
      <c r="E1" s="827"/>
      <c r="F1" s="827"/>
      <c r="G1" s="828"/>
      <c r="H1" s="829"/>
      <c r="I1" s="830"/>
      <c r="J1" s="2269"/>
      <c r="K1" s="2270"/>
      <c r="L1" s="2270"/>
    </row>
    <row r="2" spans="1:14" ht="69.75" customHeight="1" x14ac:dyDescent="0.2">
      <c r="A2" s="831" t="s">
        <v>1777</v>
      </c>
      <c r="B2" s="832" t="s">
        <v>396</v>
      </c>
      <c r="C2" s="833" t="s">
        <v>2028</v>
      </c>
      <c r="D2" s="833" t="s">
        <v>2025</v>
      </c>
      <c r="E2" s="833" t="s">
        <v>2026</v>
      </c>
      <c r="F2" s="833" t="s">
        <v>2027</v>
      </c>
      <c r="G2" s="833" t="s">
        <v>626</v>
      </c>
      <c r="H2" s="833" t="s">
        <v>2029</v>
      </c>
      <c r="I2" s="833" t="s">
        <v>2030</v>
      </c>
      <c r="J2" s="833" t="s">
        <v>2045</v>
      </c>
      <c r="K2" s="833" t="s">
        <v>2031</v>
      </c>
      <c r="L2" s="833" t="s">
        <v>2032</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26342</v>
      </c>
      <c r="D5" s="841"/>
      <c r="E5" s="841"/>
      <c r="F5" s="1781">
        <f>(C5+D5)-E5</f>
        <v>26342</v>
      </c>
      <c r="G5" s="837"/>
      <c r="H5" s="842"/>
      <c r="I5" s="842"/>
      <c r="J5" s="842"/>
      <c r="K5" s="793"/>
      <c r="L5" s="1790">
        <f>F5-K5</f>
        <v>26342</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16211996</v>
      </c>
      <c r="D8" s="844">
        <v>28005</v>
      </c>
      <c r="E8" s="844"/>
      <c r="F8" s="1781">
        <f>(C8+D8)-E8</f>
        <v>16240001</v>
      </c>
      <c r="G8" s="843">
        <v>50</v>
      </c>
      <c r="H8" s="765">
        <v>6275481</v>
      </c>
      <c r="I8" s="765">
        <v>385792</v>
      </c>
      <c r="J8" s="765"/>
      <c r="K8" s="1790">
        <f>(H8+I8)-J8</f>
        <v>6661273</v>
      </c>
      <c r="L8" s="1790">
        <f>F8-K8</f>
        <v>9578728</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413454</v>
      </c>
      <c r="D10" s="846">
        <v>25625</v>
      </c>
      <c r="E10" s="846"/>
      <c r="F10" s="1785">
        <f>(C10+D10)-E10</f>
        <v>439079</v>
      </c>
      <c r="G10" s="843">
        <v>20</v>
      </c>
      <c r="H10" s="847">
        <v>228434</v>
      </c>
      <c r="I10" s="847">
        <v>14687</v>
      </c>
      <c r="J10" s="847"/>
      <c r="K10" s="1790">
        <f>(H10+I10)-J10</f>
        <v>243121</v>
      </c>
      <c r="L10" s="1790">
        <f>F10-K10</f>
        <v>195958</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c r="D12" s="844"/>
      <c r="E12" s="844"/>
      <c r="F12" s="1781">
        <f>(C12+D12)-E12</f>
        <v>0</v>
      </c>
      <c r="G12" s="843">
        <v>10</v>
      </c>
      <c r="H12" s="765"/>
      <c r="I12" s="765"/>
      <c r="J12" s="765"/>
      <c r="K12" s="1790">
        <f>(H12+I12)-J12</f>
        <v>0</v>
      </c>
      <c r="L12" s="1790">
        <f>F12-K12</f>
        <v>0</v>
      </c>
    </row>
    <row r="13" spans="1:14" ht="14.25" thickTop="1" thickBot="1" x14ac:dyDescent="0.25">
      <c r="A13" s="848" t="s">
        <v>1184</v>
      </c>
      <c r="B13" s="840">
        <v>252</v>
      </c>
      <c r="C13" s="844">
        <v>1585032</v>
      </c>
      <c r="D13" s="844">
        <v>219638</v>
      </c>
      <c r="E13" s="844"/>
      <c r="F13" s="1781">
        <f>(C13+D13)-E13</f>
        <v>1804670</v>
      </c>
      <c r="G13" s="843">
        <v>5</v>
      </c>
      <c r="H13" s="765">
        <v>1189166</v>
      </c>
      <c r="I13" s="765">
        <v>132291</v>
      </c>
      <c r="J13" s="765"/>
      <c r="K13" s="1790">
        <f>(H13+I13)-J13</f>
        <v>1321457</v>
      </c>
      <c r="L13" s="1790">
        <f>F13-K13</f>
        <v>483213</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c r="D15" s="844"/>
      <c r="E15" s="844"/>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18236824</v>
      </c>
      <c r="D16" s="1781">
        <f>SUM(D3,D5:D6,D8:D10,D12:D15)</f>
        <v>273268</v>
      </c>
      <c r="E16" s="1781">
        <f>SUM(E3,E5:E6,E8:E10,E12:E15)</f>
        <v>0</v>
      </c>
      <c r="F16" s="1781">
        <f>SUM(F3,F5:F6,F8:F10,F12:F15)</f>
        <v>18510092</v>
      </c>
      <c r="G16" s="843"/>
      <c r="H16" s="1781">
        <f>SUM(H3,H6,H8:H10,H12:H14,)</f>
        <v>7693081</v>
      </c>
      <c r="I16" s="1781">
        <f>SUM(I3,I6,I8:I10,I12:I14,)</f>
        <v>532770</v>
      </c>
      <c r="J16" s="1781">
        <f>SUM(J3,J6,J8:J10,J12:J14,)</f>
        <v>0</v>
      </c>
      <c r="K16" s="1781">
        <f>(H16+I16)-J16</f>
        <v>8225851</v>
      </c>
      <c r="L16" s="1781">
        <f>F16-K16</f>
        <v>10284241</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145827</v>
      </c>
      <c r="G17" s="837">
        <v>10</v>
      </c>
      <c r="H17" s="769"/>
      <c r="I17" s="1790">
        <f>F17/G17</f>
        <v>14582.7</v>
      </c>
      <c r="J17" s="769"/>
      <c r="K17" s="795"/>
      <c r="L17" s="795"/>
    </row>
    <row r="18" spans="1:12" ht="14.25" thickTop="1" thickBot="1" x14ac:dyDescent="0.25">
      <c r="A18" s="1788" t="s">
        <v>706</v>
      </c>
      <c r="B18" s="1789"/>
      <c r="C18" s="771"/>
      <c r="D18" s="771"/>
      <c r="E18" s="771"/>
      <c r="F18" s="850"/>
      <c r="G18" s="851"/>
      <c r="H18" s="773"/>
      <c r="I18" s="1781">
        <f>SUM(I16,I17)</f>
        <v>547352.69999999995</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7"/>
      <c r="D26" s="346"/>
    </row>
    <row r="27" spans="1:12" x14ac:dyDescent="0.2">
      <c r="A27" s="854"/>
      <c r="B27" s="247"/>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3"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1699</v>
      </c>
      <c r="B1" s="2278"/>
      <c r="C1" s="2278"/>
      <c r="D1" s="2278"/>
      <c r="E1" s="2278"/>
      <c r="F1" s="2279"/>
      <c r="G1" s="855"/>
    </row>
    <row r="2" spans="1:7" ht="15" customHeight="1" thickBot="1" x14ac:dyDescent="0.25">
      <c r="A2" s="2280" t="s">
        <v>498</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10961162</v>
      </c>
      <c r="G8" s="865"/>
    </row>
    <row r="9" spans="1:7" x14ac:dyDescent="0.2">
      <c r="A9" s="869" t="s">
        <v>480</v>
      </c>
      <c r="B9" s="870" t="s">
        <v>1988</v>
      </c>
      <c r="C9" s="871"/>
      <c r="D9" s="869" t="s">
        <v>522</v>
      </c>
      <c r="E9" s="868"/>
      <c r="F9" s="1934">
        <f>'Expenditures 15-22'!K151</f>
        <v>1066462</v>
      </c>
      <c r="G9" s="872"/>
    </row>
    <row r="10" spans="1:7" x14ac:dyDescent="0.2">
      <c r="A10" s="869" t="s">
        <v>520</v>
      </c>
      <c r="B10" s="870" t="s">
        <v>1989</v>
      </c>
      <c r="C10" s="871"/>
      <c r="D10" s="869" t="s">
        <v>522</v>
      </c>
      <c r="E10" s="868"/>
      <c r="F10" s="1934">
        <f>'Expenditures 15-22'!K174</f>
        <v>935491</v>
      </c>
      <c r="G10" s="872"/>
    </row>
    <row r="11" spans="1:7" x14ac:dyDescent="0.2">
      <c r="A11" s="869" t="s">
        <v>481</v>
      </c>
      <c r="B11" s="870" t="s">
        <v>1990</v>
      </c>
      <c r="C11" s="871"/>
      <c r="D11" s="869" t="s">
        <v>522</v>
      </c>
      <c r="E11" s="868"/>
      <c r="F11" s="1934">
        <f>'Expenditures 15-22'!K210</f>
        <v>73662</v>
      </c>
      <c r="G11" s="872"/>
    </row>
    <row r="12" spans="1:7" x14ac:dyDescent="0.2">
      <c r="A12" s="869" t="s">
        <v>482</v>
      </c>
      <c r="B12" s="870" t="s">
        <v>1991</v>
      </c>
      <c r="C12" s="871"/>
      <c r="D12" s="869" t="s">
        <v>522</v>
      </c>
      <c r="E12" s="868"/>
      <c r="F12" s="1934">
        <f>'Expenditures 15-22'!K295</f>
        <v>217206</v>
      </c>
      <c r="G12" s="872"/>
    </row>
    <row r="13" spans="1:7" x14ac:dyDescent="0.2">
      <c r="A13" s="869" t="s">
        <v>108</v>
      </c>
      <c r="B13" s="870" t="s">
        <v>1992</v>
      </c>
      <c r="C13" s="871"/>
      <c r="D13" s="869" t="s">
        <v>522</v>
      </c>
      <c r="E13" s="868"/>
      <c r="F13" s="1934">
        <f>'Expenditures 15-22'!K342</f>
        <v>57326</v>
      </c>
      <c r="G13" s="873"/>
    </row>
    <row r="14" spans="1:7" ht="12" customHeight="1" thickBot="1" x14ac:dyDescent="0.25">
      <c r="A14" s="1791"/>
      <c r="B14" s="1792"/>
      <c r="C14" s="1793"/>
      <c r="D14" s="1794" t="s">
        <v>522</v>
      </c>
      <c r="E14" s="1795" t="s">
        <v>1015</v>
      </c>
      <c r="F14" s="1796">
        <f>SUM(F8:F13)</f>
        <v>13311309</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7862</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8097</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0</v>
      </c>
      <c r="G52" s="865"/>
    </row>
    <row r="53" spans="1:7" x14ac:dyDescent="0.2">
      <c r="A53" s="869" t="s">
        <v>479</v>
      </c>
      <c r="B53" s="869" t="s">
        <v>1551</v>
      </c>
      <c r="C53" s="889">
        <f>'Expenditures 15-22'!B102</f>
        <v>4000</v>
      </c>
      <c r="D53" s="888" t="str">
        <f>'Expenditures 15-22'!A102</f>
        <v>Total Payments to Other Govt Units</v>
      </c>
      <c r="E53" s="868"/>
      <c r="F53" s="1938">
        <f>'Expenditures 15-22'!K102</f>
        <v>368810</v>
      </c>
      <c r="G53" s="865"/>
    </row>
    <row r="54" spans="1:7" x14ac:dyDescent="0.2">
      <c r="A54" s="869" t="s">
        <v>479</v>
      </c>
      <c r="B54" s="869" t="s">
        <v>1552</v>
      </c>
      <c r="C54" s="889" t="s">
        <v>1039</v>
      </c>
      <c r="D54" s="885" t="s">
        <v>1157</v>
      </c>
      <c r="E54" s="868"/>
      <c r="F54" s="1938">
        <f>'Expenditures 15-22'!G114</f>
        <v>49547</v>
      </c>
      <c r="G54" s="865"/>
    </row>
    <row r="55" spans="1:7" x14ac:dyDescent="0.2">
      <c r="A55" s="869" t="s">
        <v>479</v>
      </c>
      <c r="B55" s="869" t="s">
        <v>1553</v>
      </c>
      <c r="C55" s="889" t="s">
        <v>1039</v>
      </c>
      <c r="D55" s="885" t="s">
        <v>309</v>
      </c>
      <c r="E55" s="868"/>
      <c r="F55" s="1938">
        <f>'Expenditures 15-22'!I114</f>
        <v>145827</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1993</v>
      </c>
      <c r="C57" s="889">
        <f>'Expenditures 15-22'!B139</f>
        <v>4000</v>
      </c>
      <c r="D57" s="887" t="str">
        <f>'Expenditures 15-22'!A139</f>
        <v>Total Payments to Other Govt Units</v>
      </c>
      <c r="E57" s="868"/>
      <c r="F57" s="1938">
        <f>'Expenditures 15-22'!K139</f>
        <v>0</v>
      </c>
      <c r="G57" s="865"/>
    </row>
    <row r="58" spans="1:7" x14ac:dyDescent="0.2">
      <c r="A58" s="869" t="s">
        <v>480</v>
      </c>
      <c r="B58" s="869" t="s">
        <v>1994</v>
      </c>
      <c r="C58" s="886" t="s">
        <v>1039</v>
      </c>
      <c r="D58" s="885" t="s">
        <v>1157</v>
      </c>
      <c r="E58" s="868"/>
      <c r="F58" s="1940">
        <f>'Expenditures 15-22'!G151</f>
        <v>223721</v>
      </c>
      <c r="G58" s="865"/>
    </row>
    <row r="59" spans="1:7" x14ac:dyDescent="0.2">
      <c r="A59" s="893" t="s">
        <v>480</v>
      </c>
      <c r="B59" s="856" t="s">
        <v>1995</v>
      </c>
      <c r="C59" s="894" t="s">
        <v>1039</v>
      </c>
      <c r="D59" s="856" t="s">
        <v>309</v>
      </c>
      <c r="F59" s="1941">
        <f>'Expenditures 15-22'!I151</f>
        <v>0</v>
      </c>
      <c r="G59" s="865"/>
    </row>
    <row r="60" spans="1:7" x14ac:dyDescent="0.2">
      <c r="A60" s="893" t="s">
        <v>520</v>
      </c>
      <c r="B60" s="856" t="s">
        <v>1996</v>
      </c>
      <c r="C60" s="894">
        <v>4000</v>
      </c>
      <c r="D60" s="856" t="s">
        <v>330</v>
      </c>
      <c r="F60" s="1939">
        <f>'Expenditures 15-22'!K160</f>
        <v>0</v>
      </c>
      <c r="G60" s="865"/>
    </row>
    <row r="61" spans="1:7" x14ac:dyDescent="0.2">
      <c r="A61" s="895" t="s">
        <v>520</v>
      </c>
      <c r="B61" s="895" t="s">
        <v>1997</v>
      </c>
      <c r="C61" s="896" t="str">
        <f>'Expenditures 15-22'!B170</f>
        <v>5300</v>
      </c>
      <c r="D61" s="897" t="s">
        <v>329</v>
      </c>
      <c r="E61" s="879"/>
      <c r="F61" s="1938">
        <f>'Expenditures 15-22'!K170</f>
        <v>720000</v>
      </c>
      <c r="G61" s="865"/>
    </row>
    <row r="62" spans="1:7" x14ac:dyDescent="0.2">
      <c r="A62" s="869" t="s">
        <v>481</v>
      </c>
      <c r="B62" s="869" t="s">
        <v>1998</v>
      </c>
      <c r="C62" s="886">
        <f>'Expenditures 15-22'!B185</f>
        <v>3000</v>
      </c>
      <c r="D62" s="876" t="s">
        <v>469</v>
      </c>
      <c r="E62" s="868"/>
      <c r="F62" s="1938">
        <f>'Expenditures 15-22'!K185-SUM('Expenditures 15-22'!G185,'Expenditures 15-22'!I185)</f>
        <v>0</v>
      </c>
      <c r="G62" s="865"/>
    </row>
    <row r="63" spans="1:7" x14ac:dyDescent="0.2">
      <c r="A63" s="869" t="s">
        <v>481</v>
      </c>
      <c r="B63" s="869" t="s">
        <v>1999</v>
      </c>
      <c r="C63" s="886" t="str">
        <f>'Expenditures 15-22'!B196</f>
        <v>4000</v>
      </c>
      <c r="D63" s="887" t="str">
        <f>'Expenditures 15-22'!A196</f>
        <v>Total Payments to Other Govt Units</v>
      </c>
      <c r="E63" s="868"/>
      <c r="F63" s="1938">
        <f>'Expenditures 15-22'!K196</f>
        <v>0</v>
      </c>
      <c r="G63" s="865"/>
    </row>
    <row r="64" spans="1:7" x14ac:dyDescent="0.2">
      <c r="A64" s="895" t="s">
        <v>481</v>
      </c>
      <c r="B64" s="895" t="s">
        <v>2000</v>
      </c>
      <c r="C64" s="896" t="str">
        <f>'Expenditures 15-22'!B206</f>
        <v>5300</v>
      </c>
      <c r="D64" s="892" t="s">
        <v>329</v>
      </c>
      <c r="E64" s="868"/>
      <c r="F64" s="1938">
        <f>'Expenditures 15-22'!K206</f>
        <v>0</v>
      </c>
      <c r="G64" s="865"/>
    </row>
    <row r="65" spans="1:8" x14ac:dyDescent="0.2">
      <c r="A65" s="869" t="s">
        <v>481</v>
      </c>
      <c r="B65" s="869" t="s">
        <v>2001</v>
      </c>
      <c r="C65" s="886" t="s">
        <v>1039</v>
      </c>
      <c r="D65" s="885" t="s">
        <v>1157</v>
      </c>
      <c r="E65" s="868"/>
      <c r="F65" s="1938">
        <f>'Expenditures 15-22'!G210</f>
        <v>0</v>
      </c>
      <c r="G65" s="865"/>
    </row>
    <row r="66" spans="1:8" x14ac:dyDescent="0.2">
      <c r="A66" s="869" t="s">
        <v>481</v>
      </c>
      <c r="B66" s="869" t="s">
        <v>2002</v>
      </c>
      <c r="C66" s="886" t="s">
        <v>1039</v>
      </c>
      <c r="D66" s="885" t="s">
        <v>309</v>
      </c>
      <c r="E66" s="868"/>
      <c r="F66" s="1938">
        <f>'Expenditures 15-22'!I210</f>
        <v>0</v>
      </c>
      <c r="G66" s="865"/>
    </row>
    <row r="67" spans="1:8" x14ac:dyDescent="0.2">
      <c r="A67" s="869" t="s">
        <v>482</v>
      </c>
      <c r="B67" s="869" t="s">
        <v>2003</v>
      </c>
      <c r="C67" s="886" t="str">
        <f>'Expenditures 15-22'!B216</f>
        <v>1125</v>
      </c>
      <c r="D67" s="892" t="str">
        <f>'Expenditures 15-22'!A216</f>
        <v>Pre-K Programs</v>
      </c>
      <c r="E67" s="868"/>
      <c r="F67" s="1938">
        <f>'Expenditures 15-22'!K216</f>
        <v>0</v>
      </c>
      <c r="G67" s="865"/>
    </row>
    <row r="68" spans="1:8" x14ac:dyDescent="0.2">
      <c r="A68" s="869" t="s">
        <v>482</v>
      </c>
      <c r="B68" s="869" t="s">
        <v>1555</v>
      </c>
      <c r="C68" s="886" t="str">
        <f>'Expenditures 15-22'!B218</f>
        <v>1225</v>
      </c>
      <c r="D68" s="892" t="str">
        <f>'Expenditures 15-22'!A218</f>
        <v>Special Education Programs - Pre-K</v>
      </c>
      <c r="E68" s="868"/>
      <c r="F68" s="1938">
        <f>'Expenditures 15-22'!K218</f>
        <v>0</v>
      </c>
      <c r="G68" s="865"/>
    </row>
    <row r="69" spans="1:8" x14ac:dyDescent="0.2">
      <c r="A69" s="869" t="s">
        <v>482</v>
      </c>
      <c r="B69" s="869" t="s">
        <v>2004</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2005</v>
      </c>
      <c r="C70" s="886">
        <f>'Expenditures 15-22'!B221</f>
        <v>1300</v>
      </c>
      <c r="D70" s="887" t="str">
        <f>'Expenditures 15-22'!A221</f>
        <v>Adult/Continuing Education Programs</v>
      </c>
      <c r="E70" s="868"/>
      <c r="F70" s="1938">
        <f>'Expenditures 15-22'!K221</f>
        <v>0</v>
      </c>
      <c r="G70" s="865"/>
    </row>
    <row r="71" spans="1:8" x14ac:dyDescent="0.2">
      <c r="A71" s="869" t="s">
        <v>482</v>
      </c>
      <c r="B71" s="869" t="s">
        <v>2006</v>
      </c>
      <c r="C71" s="886">
        <f>'Expenditures 15-22'!B224</f>
        <v>1600</v>
      </c>
      <c r="D71" s="887" t="str">
        <f>'Expenditures 15-22'!A224</f>
        <v>Summer School Programs</v>
      </c>
      <c r="E71" s="868"/>
      <c r="F71" s="1938">
        <f>'Expenditures 15-22'!K224</f>
        <v>116</v>
      </c>
      <c r="G71" s="865"/>
    </row>
    <row r="72" spans="1:8" x14ac:dyDescent="0.2">
      <c r="A72" s="869" t="s">
        <v>482</v>
      </c>
      <c r="B72" s="869" t="s">
        <v>2007</v>
      </c>
      <c r="C72" s="886">
        <f>'Expenditures 15-22'!B280</f>
        <v>3000</v>
      </c>
      <c r="D72" s="876" t="s">
        <v>469</v>
      </c>
      <c r="E72" s="868"/>
      <c r="F72" s="1938">
        <f>'Expenditures 15-22'!K280</f>
        <v>0</v>
      </c>
      <c r="G72" s="865"/>
    </row>
    <row r="73" spans="1:8" x14ac:dyDescent="0.2">
      <c r="A73" s="869" t="s">
        <v>482</v>
      </c>
      <c r="B73" s="869" t="s">
        <v>2008</v>
      </c>
      <c r="C73" s="886" t="str">
        <f>'Expenditures 15-22'!B285</f>
        <v>4000</v>
      </c>
      <c r="D73" s="887" t="str">
        <f>'Expenditures 15-22'!A285</f>
        <v>Total Payments to Other Govt Units</v>
      </c>
      <c r="E73" s="868"/>
      <c r="F73" s="1938">
        <f>'Expenditures 15-22'!K285</f>
        <v>0</v>
      </c>
      <c r="G73" s="865"/>
    </row>
    <row r="74" spans="1:8" x14ac:dyDescent="0.2">
      <c r="A74" s="869" t="s">
        <v>456</v>
      </c>
      <c r="B74" s="869" t="s">
        <v>2009</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2010</v>
      </c>
      <c r="E76" s="1795" t="s">
        <v>1015</v>
      </c>
      <c r="F76" s="1799">
        <f>SUM(F18:F74)</f>
        <v>1523980</v>
      </c>
      <c r="G76" s="865"/>
    </row>
    <row r="77" spans="1:8" s="893" customFormat="1" ht="12" customHeight="1" thickTop="1" thickBot="1" x14ac:dyDescent="0.25">
      <c r="A77" s="1800"/>
      <c r="B77" s="1797"/>
      <c r="C77" s="1793"/>
      <c r="D77" s="1798" t="s">
        <v>2011</v>
      </c>
      <c r="E77" s="1795"/>
      <c r="F77" s="1801">
        <f>(F14-F76)</f>
        <v>11787329</v>
      </c>
      <c r="G77" s="869"/>
    </row>
    <row r="78" spans="1:8" s="893" customFormat="1" ht="12" customHeight="1" thickTop="1" x14ac:dyDescent="0.2">
      <c r="A78" s="1802"/>
      <c r="B78" s="1797"/>
      <c r="C78" s="1793"/>
      <c r="D78" s="1798" t="s">
        <v>2057</v>
      </c>
      <c r="E78" s="1795"/>
      <c r="F78" s="898">
        <v>429.61</v>
      </c>
      <c r="G78" s="899"/>
      <c r="H78" s="869"/>
    </row>
    <row r="79" spans="1:8" s="893" customFormat="1" ht="12" customHeight="1" thickBot="1" x14ac:dyDescent="0.25">
      <c r="A79" s="1803"/>
      <c r="B79" s="1797"/>
      <c r="C79" s="1793"/>
      <c r="D79" s="1798" t="s">
        <v>2012</v>
      </c>
      <c r="E79" s="1795" t="s">
        <v>1015</v>
      </c>
      <c r="F79" s="1804">
        <f>IF(F78&gt;0,F77/F78," Complete Line 78")</f>
        <v>27437.277996322246</v>
      </c>
      <c r="G79" s="869"/>
    </row>
    <row r="80" spans="1:8" s="893" customFormat="1" ht="8.25" customHeight="1" thickTop="1" x14ac:dyDescent="0.2">
      <c r="A80" s="900"/>
      <c r="B80" s="869"/>
      <c r="C80" s="871"/>
      <c r="D80" s="901"/>
      <c r="E80" s="868"/>
      <c r="F80" s="902"/>
      <c r="G80" s="869"/>
    </row>
    <row r="81" spans="1:7" s="893" customFormat="1" ht="12" thickBot="1" x14ac:dyDescent="0.25">
      <c r="A81" s="2274" t="s">
        <v>1167</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0</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25245</v>
      </c>
      <c r="G94" s="912"/>
    </row>
    <row r="95" spans="1:7" x14ac:dyDescent="0.2">
      <c r="A95" s="908" t="s">
        <v>142</v>
      </c>
      <c r="B95" s="908" t="s">
        <v>177</v>
      </c>
      <c r="C95" s="910">
        <v>1700</v>
      </c>
      <c r="D95" s="918" t="str">
        <f>'Revenues 9-14'!A82</f>
        <v>Total District/School Activity Income</v>
      </c>
      <c r="E95" s="906"/>
      <c r="F95" s="1810">
        <f>SUM('Revenues 9-14'!C82,'Revenues 9-14'!D82)</f>
        <v>41650</v>
      </c>
      <c r="G95" s="912"/>
    </row>
    <row r="96" spans="1:7" x14ac:dyDescent="0.2">
      <c r="A96" s="908" t="s">
        <v>479</v>
      </c>
      <c r="B96" s="908" t="s">
        <v>178</v>
      </c>
      <c r="C96" s="910">
        <f>'Revenues 9-14'!B84</f>
        <v>1811</v>
      </c>
      <c r="D96" s="911" t="str">
        <f>'Revenues 9-14'!A84</f>
        <v>Rentals - Regular Textbooks</v>
      </c>
      <c r="E96" s="906"/>
      <c r="F96" s="1810">
        <f>'Revenues 9-14'!C84</f>
        <v>0</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1760</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36802</v>
      </c>
      <c r="G103" s="912"/>
    </row>
    <row r="104" spans="1:7" x14ac:dyDescent="0.2">
      <c r="A104" s="908" t="s">
        <v>479</v>
      </c>
      <c r="B104" s="908" t="s">
        <v>841</v>
      </c>
      <c r="C104" s="910">
        <f>'Revenues 9-14'!B106</f>
        <v>1993</v>
      </c>
      <c r="D104" s="911" t="str">
        <f>'Revenues 9-14'!A106</f>
        <v>Other Local Fees (Describe &amp; Itemize)</v>
      </c>
      <c r="E104" s="906"/>
      <c r="F104" s="1810">
        <f>('Revenues 9-14'!C106)</f>
        <v>0</v>
      </c>
      <c r="G104" s="912"/>
    </row>
    <row r="105" spans="1:7" x14ac:dyDescent="0.2">
      <c r="A105" s="908" t="s">
        <v>524</v>
      </c>
      <c r="B105" s="908" t="s">
        <v>842</v>
      </c>
      <c r="C105" s="913">
        <v>3100</v>
      </c>
      <c r="D105" s="919" t="str">
        <f>'Revenues 9-14'!A131</f>
        <v>Total Special Education</v>
      </c>
      <c r="E105" s="906"/>
      <c r="F105" s="1810">
        <f>SUM('Revenues 9-14'!C131:D131,'Revenues 9-14'!F131)</f>
        <v>88973</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10">
        <f>'Revenues 9-14'!C145</f>
        <v>0</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29790</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1500</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0</v>
      </c>
      <c r="G129" s="930"/>
    </row>
    <row r="130" spans="1:7" x14ac:dyDescent="0.2">
      <c r="A130" s="927" t="s">
        <v>689</v>
      </c>
      <c r="B130" s="927" t="s">
        <v>804</v>
      </c>
      <c r="C130" s="932">
        <v>4300</v>
      </c>
      <c r="D130" s="933" t="str">
        <f>'Revenues 9-14'!A211</f>
        <v>Total Title I</v>
      </c>
      <c r="E130" s="906"/>
      <c r="F130" s="1810">
        <f>SUM('Revenues 9-14'!C211,'Revenues 9-14'!D211,'Revenues 9-14'!F211,'Revenues 9-14'!G211)</f>
        <v>24471</v>
      </c>
      <c r="G130" s="930"/>
    </row>
    <row r="131" spans="1:7" x14ac:dyDescent="0.2">
      <c r="A131" s="927" t="s">
        <v>689</v>
      </c>
      <c r="B131" s="927" t="s">
        <v>805</v>
      </c>
      <c r="C131" s="932">
        <v>4400</v>
      </c>
      <c r="D131" s="933" t="str">
        <f>'Revenues 9-14'!A216</f>
        <v>Total Title IV</v>
      </c>
      <c r="E131" s="906"/>
      <c r="F131" s="1810">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71361</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2528</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2590</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0</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2056</v>
      </c>
      <c r="C175" s="1945">
        <v>3100</v>
      </c>
      <c r="D175" s="1946" t="s">
        <v>2059</v>
      </c>
      <c r="E175" s="906"/>
      <c r="F175" s="1930">
        <v>163357.41</v>
      </c>
      <c r="G175" s="927"/>
    </row>
    <row r="176" spans="1:7" x14ac:dyDescent="0.2">
      <c r="A176" s="1943" t="s">
        <v>685</v>
      </c>
      <c r="B176" s="1944" t="s">
        <v>2056</v>
      </c>
      <c r="C176" s="1945">
        <v>3300</v>
      </c>
      <c r="D176" s="1946" t="s">
        <v>2060</v>
      </c>
      <c r="E176" s="906"/>
      <c r="F176" s="1930">
        <v>2.31</v>
      </c>
      <c r="G176" s="927"/>
    </row>
    <row r="177" spans="1:7" ht="6" customHeight="1" x14ac:dyDescent="0.2">
      <c r="A177" s="927"/>
      <c r="B177" s="927"/>
      <c r="C177" s="949"/>
      <c r="D177" s="927"/>
      <c r="E177" s="906"/>
      <c r="F177" s="950"/>
      <c r="G177" s="947"/>
    </row>
    <row r="178" spans="1:7" x14ac:dyDescent="0.2">
      <c r="A178" s="1791"/>
      <c r="B178" s="1805"/>
      <c r="C178" s="1806"/>
      <c r="D178" s="1807" t="s">
        <v>2013</v>
      </c>
      <c r="E178" s="1808" t="s">
        <v>1015</v>
      </c>
      <c r="F178" s="1809">
        <f>SUM(F84:F136,F161:F176)</f>
        <v>490029.72000000003</v>
      </c>
    </row>
    <row r="179" spans="1:7" ht="12" customHeight="1" x14ac:dyDescent="0.2">
      <c r="A179" s="1791"/>
      <c r="B179" s="1805"/>
      <c r="C179" s="1806"/>
      <c r="D179" s="1807" t="s">
        <v>2014</v>
      </c>
      <c r="E179" s="1808"/>
      <c r="F179" s="1810">
        <f>'PCTC-OEPP 27-28'!F77-F178</f>
        <v>11297299.279999999</v>
      </c>
    </row>
    <row r="180" spans="1:7" ht="12" customHeight="1" x14ac:dyDescent="0.2">
      <c r="A180" s="1791"/>
      <c r="B180" s="1805"/>
      <c r="C180" s="1806"/>
      <c r="D180" s="1807" t="s">
        <v>1924</v>
      </c>
      <c r="E180" s="1808"/>
      <c r="F180" s="1810">
        <f>'Cap Outlay Deprec 26'!I18</f>
        <v>547352.69999999995</v>
      </c>
    </row>
    <row r="181" spans="1:7" ht="12" customHeight="1" x14ac:dyDescent="0.2">
      <c r="A181" s="1791"/>
      <c r="B181" s="1805"/>
      <c r="C181" s="1806"/>
      <c r="D181" s="1807" t="s">
        <v>2015</v>
      </c>
      <c r="E181" s="1808"/>
      <c r="F181" s="1810">
        <f>F179+F180</f>
        <v>11844651.979999999</v>
      </c>
    </row>
    <row r="182" spans="1:7" ht="12" customHeight="1" x14ac:dyDescent="0.2">
      <c r="A182" s="1791"/>
      <c r="B182" s="1811"/>
      <c r="C182" s="1806"/>
      <c r="D182" s="1807" t="str">
        <f>D78</f>
        <v>9 Month ADA from District Average Daily Attendance/Prior General State Aid Inquiry 2017-2018</v>
      </c>
      <c r="E182" s="1808"/>
      <c r="F182" s="1812">
        <f>'PCTC-OEPP 27-28'!F78</f>
        <v>429.61</v>
      </c>
      <c r="G182" s="930"/>
    </row>
    <row r="183" spans="1:7" ht="12" customHeight="1" thickBot="1" x14ac:dyDescent="0.25">
      <c r="A183" s="1791"/>
      <c r="B183" s="1811"/>
      <c r="C183" s="1806"/>
      <c r="D183" s="1807" t="s">
        <v>2016</v>
      </c>
      <c r="E183" s="1808" t="s">
        <v>1626</v>
      </c>
      <c r="F183" s="1813">
        <f>F181/F182</f>
        <v>27570.708270291656</v>
      </c>
      <c r="G183" s="856">
        <v>6323</v>
      </c>
    </row>
    <row r="184" spans="1:7" ht="12" thickTop="1" x14ac:dyDescent="0.2">
      <c r="B184" s="930"/>
      <c r="C184" s="949"/>
      <c r="D184" s="930"/>
      <c r="E184" s="949"/>
      <c r="F184" s="930"/>
      <c r="G184" s="951">
        <v>6326</v>
      </c>
    </row>
    <row r="185" spans="1:7" ht="12.2" customHeight="1" x14ac:dyDescent="0.2">
      <c r="A185" s="930" t="s">
        <v>2058</v>
      </c>
      <c r="B185" s="930"/>
      <c r="C185" s="949"/>
      <c r="D185" s="930"/>
      <c r="E185" s="949"/>
      <c r="F185" s="930"/>
      <c r="G185" s="930"/>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49"/>
      <c r="D188" s="930"/>
      <c r="E188" s="949"/>
      <c r="F188" s="930"/>
      <c r="G188" s="930"/>
    </row>
    <row r="189" spans="1:7" x14ac:dyDescent="0.2">
      <c r="A189" s="1951" t="s">
        <v>2062</v>
      </c>
      <c r="B189" s="1952" t="s">
        <v>2061</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8" sqref="D18"/>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5" t="s">
        <v>1926</v>
      </c>
      <c r="B6" s="1556"/>
      <c r="C6" s="1556"/>
      <c r="D6" s="1556"/>
      <c r="E6" s="1556"/>
      <c r="F6" s="1556"/>
      <c r="G6" s="1557"/>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8" t="s">
        <v>1927</v>
      </c>
      <c r="B10" s="1559"/>
      <c r="C10" s="1559"/>
      <c r="D10" s="1559"/>
      <c r="E10" s="1559"/>
      <c r="F10" s="1559"/>
      <c r="G10" s="1560"/>
    </row>
    <row r="11" spans="1:7" ht="17.25" customHeight="1" x14ac:dyDescent="0.25">
      <c r="A11" s="2294" t="s">
        <v>2075</v>
      </c>
      <c r="B11" s="2295"/>
      <c r="C11" s="2295"/>
      <c r="D11" s="2295"/>
      <c r="E11" s="2295"/>
      <c r="F11" s="2295"/>
      <c r="G11" s="2296"/>
    </row>
    <row r="12" spans="1:7" ht="15" customHeight="1" x14ac:dyDescent="0.25">
      <c r="A12" s="1558" t="s">
        <v>1932</v>
      </c>
      <c r="B12" s="1559"/>
      <c r="C12" s="1559"/>
      <c r="D12" s="1559"/>
      <c r="E12" s="1559"/>
      <c r="F12" s="1559"/>
      <c r="G12" s="1560"/>
    </row>
    <row r="13" spans="1:7" ht="32.25" customHeight="1" x14ac:dyDescent="0.25">
      <c r="A13" s="2285" t="s">
        <v>1933</v>
      </c>
      <c r="B13" s="2286"/>
      <c r="C13" s="2286"/>
      <c r="D13" s="2286"/>
      <c r="E13" s="2286"/>
      <c r="F13" s="2286"/>
      <c r="G13" s="2287"/>
    </row>
    <row r="14" spans="1:7" x14ac:dyDescent="0.25">
      <c r="A14" s="1682" t="s">
        <v>1941</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1942</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6" t="s">
        <v>2106</v>
      </c>
      <c r="B17" s="1867"/>
      <c r="C17" s="1957"/>
      <c r="D17" s="1866"/>
      <c r="E17" s="1561">
        <f t="shared" ref="E17:E141" si="1">IF(D17&lt;=25000,D17,IF(D17&gt;25000,25000,0))</f>
        <v>0</v>
      </c>
      <c r="F17" s="1814">
        <f t="shared" si="0"/>
        <v>0</v>
      </c>
      <c r="G17" s="1815">
        <f>IF(F17=0,0,D17-F17)</f>
        <v>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0</v>
      </c>
      <c r="E141" s="1562">
        <f t="shared" si="1"/>
        <v>0</v>
      </c>
      <c r="F141" s="1816">
        <f>SUM(F17:F140)</f>
        <v>0</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0" sqref="A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00" t="s">
        <v>1778</v>
      </c>
      <c r="B5" s="2301"/>
      <c r="C5" s="2301"/>
      <c r="D5" s="2301"/>
      <c r="E5" s="2301"/>
      <c r="F5" s="2301"/>
      <c r="G5" s="2302"/>
      <c r="H5" s="251"/>
      <c r="I5" s="609"/>
    </row>
    <row r="6" spans="1:9" s="668" customFormat="1" x14ac:dyDescent="0.2">
      <c r="A6" s="1658"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2074</v>
      </c>
      <c r="B10" s="971"/>
      <c r="C10" s="976"/>
      <c r="D10" s="972"/>
      <c r="E10" s="973"/>
      <c r="F10" s="974"/>
      <c r="G10" s="975"/>
      <c r="H10" s="162"/>
      <c r="I10" s="162"/>
    </row>
    <row r="11" spans="1:9" s="668" customFormat="1" ht="22.5" customHeight="1" x14ac:dyDescent="0.2">
      <c r="A11" s="2305" t="s">
        <v>1944</v>
      </c>
      <c r="B11" s="2306"/>
      <c r="C11" s="2306"/>
      <c r="D11" s="2307"/>
      <c r="E11" s="977"/>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8"/>
      <c r="D17" s="1659" t="s">
        <v>553</v>
      </c>
      <c r="E17" s="1660"/>
      <c r="F17" s="1659" t="s">
        <v>453</v>
      </c>
      <c r="G17" s="1661"/>
      <c r="H17" s="162"/>
      <c r="I17" s="162"/>
    </row>
    <row r="18" spans="1:9" s="258" customFormat="1" ht="11.25" x14ac:dyDescent="0.2">
      <c r="A18" s="988"/>
      <c r="C18" s="989" t="s">
        <v>454</v>
      </c>
      <c r="D18" s="1662" t="s">
        <v>455</v>
      </c>
      <c r="E18" s="1662" t="s">
        <v>55</v>
      </c>
      <c r="F18" s="1662" t="s">
        <v>455</v>
      </c>
      <c r="G18" s="1662" t="s">
        <v>55</v>
      </c>
      <c r="H18" s="178"/>
      <c r="I18" s="178"/>
    </row>
    <row r="19" spans="1:9" s="668" customFormat="1" ht="12" customHeight="1" x14ac:dyDescent="0.2">
      <c r="A19" s="990" t="s">
        <v>476</v>
      </c>
      <c r="B19" s="991"/>
      <c r="C19" s="992" t="s">
        <v>591</v>
      </c>
      <c r="D19" s="1821"/>
      <c r="E19" s="1822">
        <f>'Expenditures 15-22'!K33-SUM('Expenditures 15-22'!G33,'Expenditures 15-22'!I33)+'Expenditures 15-22'!D229</f>
        <v>7029898</v>
      </c>
      <c r="F19" s="1821"/>
      <c r="G19" s="1823">
        <f>'Expenditures 15-22'!K33-SUM('Expenditures 15-22'!G33,'Expenditures 15-22'!I33)+'Expenditures 15-22'!D229</f>
        <v>7029898</v>
      </c>
      <c r="H19" s="987"/>
      <c r="I19" s="162"/>
    </row>
    <row r="20" spans="1:9" s="668" customFormat="1" ht="12" customHeight="1" x14ac:dyDescent="0.2">
      <c r="A20" s="990" t="s">
        <v>56</v>
      </c>
      <c r="B20" s="991"/>
      <c r="C20" s="993"/>
      <c r="D20" s="1824"/>
      <c r="E20" s="1824"/>
      <c r="F20" s="1824"/>
      <c r="G20" s="1825"/>
      <c r="H20" s="987"/>
      <c r="I20" s="162"/>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439018</v>
      </c>
      <c r="F21" s="1824"/>
      <c r="G21" s="1827">
        <f>'Expenditures 15-22'!K42-SUM('Expenditures 15-22'!G42,'Expenditures 15-22'!I42)+'Expenditures 15-22'!K120-SUM('Expenditures 15-22'!G120,'Expenditures 15-22'!I120)+'Expenditures 15-22'!K180-SUM('Expenditures 15-22'!G180,'Expenditures 15-22'!I180)+'Expenditures 15-22'!D238</f>
        <v>439018</v>
      </c>
      <c r="H21" s="987"/>
      <c r="I21" s="162"/>
    </row>
    <row r="22" spans="1:9" s="668" customFormat="1" ht="12" customHeight="1" x14ac:dyDescent="0.2">
      <c r="A22" s="994" t="s">
        <v>585</v>
      </c>
      <c r="B22" s="995"/>
      <c r="C22" s="993">
        <v>2200</v>
      </c>
      <c r="D22" s="1824"/>
      <c r="E22" s="1826">
        <f>'Expenditures 15-22'!K47-SUM('Expenditures 15-22'!G47,'Expenditures 15-22'!I47)+'Expenditures 15-22'!D243</f>
        <v>1296649</v>
      </c>
      <c r="F22" s="1824"/>
      <c r="G22" s="1827">
        <f>'Expenditures 15-22'!K47-SUM('Expenditures 15-22'!G47,'Expenditures 15-22'!I47)+'Expenditures 15-22'!D243</f>
        <v>1296649</v>
      </c>
      <c r="H22" s="987"/>
      <c r="I22" s="162"/>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742614</v>
      </c>
      <c r="F23" s="1824"/>
      <c r="G23" s="1826">
        <f>'Expenditures 15-22'!K53-SUM('Expenditures 15-22'!G53,'Expenditures 15-22'!I53)+'Expenditures 15-22'!D257+'Expenditures 15-22'!K330-SUM('Expenditures 15-22'!G330,'Expenditures 15-22'!I330)</f>
        <v>742614</v>
      </c>
      <c r="H23" s="987"/>
      <c r="I23" s="162"/>
    </row>
    <row r="24" spans="1:9" s="668" customFormat="1" ht="12" customHeight="1" x14ac:dyDescent="0.2">
      <c r="A24" s="994" t="s">
        <v>587</v>
      </c>
      <c r="B24" s="995"/>
      <c r="C24" s="993">
        <v>2400</v>
      </c>
      <c r="D24" s="1824"/>
      <c r="E24" s="1826">
        <f>'Expenditures 15-22'!K57-SUM('Expenditures 15-22'!G57,'Expenditures 15-22'!I57)+'Expenditures 15-22'!D261</f>
        <v>688053</v>
      </c>
      <c r="F24" s="1824"/>
      <c r="G24" s="1827">
        <f>'Expenditures 15-22'!K57-SUM('Expenditures 15-22'!G57,'Expenditures 15-22'!I57)+'Expenditures 15-22'!D261</f>
        <v>688053</v>
      </c>
      <c r="H24" s="987"/>
      <c r="I24" s="162"/>
    </row>
    <row r="25" spans="1:9" s="668" customFormat="1" ht="12" customHeight="1" x14ac:dyDescent="0.2">
      <c r="A25" s="990" t="s">
        <v>588</v>
      </c>
      <c r="B25" s="996"/>
      <c r="C25" s="993"/>
      <c r="D25" s="1824"/>
      <c r="E25" s="1826"/>
      <c r="F25" s="1824"/>
      <c r="G25" s="1827"/>
      <c r="H25" s="987"/>
      <c r="I25" s="162"/>
    </row>
    <row r="26" spans="1:9" s="668" customFormat="1" ht="12" customHeight="1" x14ac:dyDescent="0.2">
      <c r="A26" s="994" t="s">
        <v>536</v>
      </c>
      <c r="B26" s="997"/>
      <c r="C26" s="993">
        <v>2510</v>
      </c>
      <c r="D26" s="1826">
        <f>'Expenditures 15-22'!K59-SUM('Expenditures 15-22'!G59,'Expenditures 15-22'!I59)+'Expenditures 15-22'!D263-E7</f>
        <v>145462</v>
      </c>
      <c r="E26" s="1826">
        <f>'Expenditures 15-22'!K122-SUM('Expenditures 15-22'!G122,'Expenditures 15-22'!I122)+E7</f>
        <v>0</v>
      </c>
      <c r="F26" s="1826">
        <f>'Expenditures 15-22'!K59-SUM('Expenditures 15-22'!G59,'Expenditures 15-22'!I59)+'Expenditures 15-22'!D263-E7</f>
        <v>145462</v>
      </c>
      <c r="G26" s="1827">
        <f>'Expenditures 15-22'!K122-SUM('Expenditures 15-22'!G122,'Expenditures 15-22'!I122)+E7</f>
        <v>0</v>
      </c>
      <c r="H26" s="987"/>
      <c r="I26" s="162"/>
    </row>
    <row r="27" spans="1:9" s="668" customFormat="1" ht="12" customHeight="1" x14ac:dyDescent="0.2">
      <c r="A27" s="994" t="s">
        <v>483</v>
      </c>
      <c r="B27" s="997"/>
      <c r="C27" s="993">
        <v>2520</v>
      </c>
      <c r="D27" s="1826">
        <f>'Expenditures 15-22'!K60-SUM('Expenditures 15-22'!G60,'Expenditures 15-22'!I60)+'Expenditures 15-22'!D264-E8</f>
        <v>208487</v>
      </c>
      <c r="E27" s="1826">
        <f>E8</f>
        <v>0</v>
      </c>
      <c r="F27" s="1826">
        <f>'Expenditures 15-22'!K60-SUM('Expenditures 15-22'!G60,'Expenditures 15-22'!I60)+'Expenditures 15-22'!D264-E8</f>
        <v>208487</v>
      </c>
      <c r="G27" s="1827">
        <f>E8</f>
        <v>0</v>
      </c>
      <c r="H27" s="987"/>
      <c r="I27" s="162"/>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677297</v>
      </c>
      <c r="F28" s="1828">
        <f>'Expenditures 15-22'!K61-SUM('Expenditures 15-22'!G61,'Expenditures 15-22'!I61)+'Expenditures 15-22'!K124-SUM('Expenditures 15-22'!G124,'Expenditures 15-22'!I124)+'Expenditures 15-22'!D266-E9</f>
        <v>677297</v>
      </c>
      <c r="G28" s="1827">
        <f>E9</f>
        <v>0</v>
      </c>
      <c r="H28" s="987"/>
      <c r="I28" s="162"/>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73662</v>
      </c>
      <c r="F29" s="1824"/>
      <c r="G29" s="1827">
        <f>'Expenditures 15-22'!K62-SUM('Expenditures 15-22'!G62,'Expenditures 15-22'!I62)+'Expenditures 15-22'!K125-SUM('Expenditures 15-22'!G125,'Expenditures 15-22'!I125)+'Expenditures 15-22'!K182-SUM('Expenditures 15-22'!G182,'Expenditures 15-22'!I182)+'Expenditures 15-22'!D267</f>
        <v>73662</v>
      </c>
      <c r="H29" s="985"/>
    </row>
    <row r="30" spans="1:9" ht="12" customHeight="1" x14ac:dyDescent="0.2">
      <c r="A30" s="994" t="s">
        <v>102</v>
      </c>
      <c r="B30" s="997"/>
      <c r="C30" s="993">
        <v>2560</v>
      </c>
      <c r="D30" s="1824"/>
      <c r="E30" s="1826">
        <f>'Expenditures 15-22'!K63-SUM('Expenditures 15-22'!G63,'Expenditures 15-22'!I63)+'Expenditures 15-22'!D268-E10</f>
        <v>59849</v>
      </c>
      <c r="F30" s="1824"/>
      <c r="G30" s="1826">
        <f>'Expenditures 15-22'!K63-SUM('Expenditures 15-22'!G63,'Expenditures 15-22'!I63)+'Expenditures 15-22'!D268-E10</f>
        <v>59849</v>
      </c>
    </row>
    <row r="31" spans="1:9" ht="12" customHeight="1" x14ac:dyDescent="0.2">
      <c r="A31" s="994" t="s">
        <v>103</v>
      </c>
      <c r="B31" s="997"/>
      <c r="C31" s="993">
        <v>2570</v>
      </c>
      <c r="D31" s="1826">
        <f>'Expenditures 15-22'!K64-SUM('Expenditures 15-22'!G64,'Expenditures 15-22'!I64)+'Expenditures 15-22'!D269-E12</f>
        <v>37705</v>
      </c>
      <c r="E31" s="1826">
        <f>E12</f>
        <v>0</v>
      </c>
      <c r="F31" s="1826">
        <f>'Expenditures 15-22'!K64-SUM('Expenditures 15-22'!G64,'Expenditures 15-22'!I64)+'Expenditures 15-22'!D269-E12</f>
        <v>37705</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8567</v>
      </c>
      <c r="F34" s="1824"/>
      <c r="G34" s="1826">
        <f>'Expenditures 15-22'!K68-SUM('Expenditures 15-22'!G68,'Expenditures 15-22'!I68)+'Expenditures 15-22'!D273</f>
        <v>8567</v>
      </c>
    </row>
    <row r="35" spans="1:7" ht="12" customHeight="1" x14ac:dyDescent="0.2">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1930</v>
      </c>
      <c r="B40" s="991"/>
      <c r="C40" s="993"/>
      <c r="D40" s="1824"/>
      <c r="E40" s="1828">
        <f>-'Contracts Paid in CY 29'!G141</f>
        <v>0</v>
      </c>
      <c r="F40" s="1824"/>
      <c r="G40" s="1828">
        <f>-'Contracts Paid in CY 29'!G141</f>
        <v>0</v>
      </c>
    </row>
    <row r="41" spans="1:7" ht="12" customHeight="1" x14ac:dyDescent="0.2">
      <c r="A41" s="998" t="s">
        <v>158</v>
      </c>
      <c r="B41" s="999"/>
      <c r="C41" s="1000"/>
      <c r="D41" s="1828">
        <f>SUM(D19:D39)</f>
        <v>391654</v>
      </c>
      <c r="E41" s="1828">
        <f>SUM(E19:E40)</f>
        <v>11015607</v>
      </c>
      <c r="F41" s="1828">
        <f>SUM(F19:F39)</f>
        <v>1068951</v>
      </c>
      <c r="G41" s="1828">
        <f>SUM(G19:G40)</f>
        <v>10338310</v>
      </c>
    </row>
    <row r="42" spans="1:7" x14ac:dyDescent="0.2">
      <c r="A42" s="987"/>
      <c r="B42" s="162"/>
      <c r="C42" s="1001"/>
      <c r="D42" s="2303" t="s">
        <v>543</v>
      </c>
      <c r="E42" s="2304"/>
      <c r="F42" s="1002" t="s">
        <v>544</v>
      </c>
      <c r="G42" s="1003"/>
    </row>
    <row r="43" spans="1:7" ht="12" customHeight="1" x14ac:dyDescent="0.2">
      <c r="A43" s="987"/>
      <c r="B43" s="162"/>
      <c r="C43" s="1001"/>
      <c r="D43" s="1829" t="s">
        <v>493</v>
      </c>
      <c r="E43" s="1830">
        <f>D41</f>
        <v>391654</v>
      </c>
      <c r="F43" s="1829" t="s">
        <v>495</v>
      </c>
      <c r="G43" s="1830">
        <f>F41</f>
        <v>1068951</v>
      </c>
    </row>
    <row r="44" spans="1:7" ht="12" customHeight="1" x14ac:dyDescent="0.2">
      <c r="A44" s="987"/>
      <c r="B44" s="162"/>
      <c r="C44" s="1001"/>
      <c r="D44" s="1829" t="s">
        <v>494</v>
      </c>
      <c r="E44" s="1830">
        <f>E41</f>
        <v>11015607</v>
      </c>
      <c r="F44" s="1829" t="s">
        <v>494</v>
      </c>
      <c r="G44" s="1830">
        <f>G41</f>
        <v>10338310</v>
      </c>
    </row>
    <row r="45" spans="1:7" ht="12" customHeight="1" x14ac:dyDescent="0.2">
      <c r="A45" s="987"/>
      <c r="B45" s="162"/>
      <c r="C45" s="162"/>
      <c r="D45" s="1831" t="s">
        <v>1063</v>
      </c>
      <c r="E45" s="1832">
        <f>(E43/E44)</f>
        <v>3.5554463771265622E-2</v>
      </c>
      <c r="F45" s="1831" t="s">
        <v>1063</v>
      </c>
      <c r="G45" s="1832">
        <f>(G43/G44)</f>
        <v>0.10339707360293897</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3" activePane="bottomLeft" state="frozen"/>
      <selection activeCell="A47" sqref="A47"/>
      <selection pane="bottomLeft" activeCell="F15" sqref="F1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KENILWORTH SD 38</v>
      </c>
      <c r="D6" s="2326"/>
      <c r="E6" s="2326"/>
      <c r="F6" s="1876"/>
    </row>
    <row r="7" spans="1:10" ht="11.25" customHeight="1" thickBot="1" x14ac:dyDescent="0.3">
      <c r="A7" s="1874"/>
      <c r="B7" s="1875"/>
      <c r="C7" s="2327" t="str">
        <f>COVER!A13</f>
        <v>05-016-0380-02</v>
      </c>
      <c r="D7" s="2327"/>
      <c r="E7" s="232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2103</v>
      </c>
      <c r="D13" s="1889" t="s">
        <v>2103</v>
      </c>
      <c r="E13" s="1892" t="s">
        <v>2103</v>
      </c>
      <c r="F13" s="1891" t="s">
        <v>2104</v>
      </c>
      <c r="H13" s="1902">
        <f t="shared" si="0"/>
        <v>5</v>
      </c>
      <c r="I13" s="1902">
        <f t="shared" si="1"/>
        <v>5</v>
      </c>
      <c r="J13" s="1902">
        <f t="shared" si="2"/>
        <v>5</v>
      </c>
    </row>
    <row r="14" spans="1:10" ht="12" customHeight="1" x14ac:dyDescent="0.2">
      <c r="A14" s="1887" t="s">
        <v>1453</v>
      </c>
      <c r="B14" s="1888"/>
      <c r="C14" s="1889" t="s">
        <v>2103</v>
      </c>
      <c r="D14" s="1889" t="s">
        <v>2103</v>
      </c>
      <c r="E14" s="1892" t="s">
        <v>2103</v>
      </c>
      <c r="F14" s="1891" t="s">
        <v>2105</v>
      </c>
      <c r="H14" s="1902">
        <f t="shared" si="0"/>
        <v>5</v>
      </c>
      <c r="I14" s="1902">
        <f t="shared" si="1"/>
        <v>5</v>
      </c>
      <c r="J14" s="1902">
        <f t="shared" si="2"/>
        <v>5</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c r="B41" s="2320"/>
      <c r="C41" s="2320"/>
      <c r="D41" s="2320"/>
      <c r="E41" s="2320"/>
      <c r="F41" s="2321"/>
      <c r="H41" s="1903"/>
      <c r="I41" s="1903"/>
      <c r="J41" s="1903"/>
      <c r="K41" s="1903"/>
    </row>
    <row r="42" spans="1:11" s="1894" customFormat="1" ht="12" customHeight="1" x14ac:dyDescent="0.25">
      <c r="A42" s="2319"/>
      <c r="B42" s="2320"/>
      <c r="C42" s="2320"/>
      <c r="D42" s="2320"/>
      <c r="E42" s="2320"/>
      <c r="F42" s="2321"/>
      <c r="H42" s="1903"/>
      <c r="I42" s="1903"/>
      <c r="J42" s="1903"/>
      <c r="K42" s="1903"/>
    </row>
    <row r="43" spans="1:11" s="1894" customFormat="1" ht="15" x14ac:dyDescent="0.25">
      <c r="A43" s="2308"/>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35" t="str">
        <f>COVER!A17</f>
        <v>KENILWORTH SD 38</v>
      </c>
      <c r="J6" s="2336"/>
      <c r="Q6" s="1685"/>
    </row>
    <row r="7" spans="1:17" x14ac:dyDescent="0.2">
      <c r="A7" s="2337" t="s">
        <v>924</v>
      </c>
      <c r="B7" s="2338"/>
      <c r="C7" s="2338"/>
      <c r="D7" s="2338"/>
      <c r="E7" s="2339"/>
      <c r="F7" s="1017"/>
      <c r="G7" s="1009"/>
      <c r="H7" s="1016" t="s">
        <v>390</v>
      </c>
      <c r="I7" s="2340" t="str">
        <f>COVER!A13</f>
        <v>05-016-0380-02</v>
      </c>
      <c r="J7" s="2340"/>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1" t="s">
        <v>502</v>
      </c>
      <c r="B11" s="2342"/>
      <c r="C11" s="2343"/>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191149</v>
      </c>
      <c r="F12" s="1039"/>
      <c r="G12" s="1833">
        <f t="shared" ref="G12:G18" si="0">SUM(E12:F12)</f>
        <v>191149</v>
      </c>
      <c r="H12" s="1040">
        <v>200614</v>
      </c>
      <c r="I12" s="1039"/>
      <c r="J12" s="1833">
        <f t="shared" ref="J12:J18" si="1">SUM(H12:I12)</f>
        <v>200614</v>
      </c>
    </row>
    <row r="13" spans="1:17" ht="15" customHeight="1" x14ac:dyDescent="0.2">
      <c r="A13" s="1035">
        <v>2</v>
      </c>
      <c r="B13" s="1036" t="s">
        <v>44</v>
      </c>
      <c r="C13" s="1037"/>
      <c r="D13" s="1038">
        <v>2330</v>
      </c>
      <c r="E13" s="1833">
        <f>'Expenditures 15-22'!K51</f>
        <v>280654</v>
      </c>
      <c r="F13" s="1039"/>
      <c r="G13" s="1833">
        <f t="shared" si="0"/>
        <v>280654</v>
      </c>
      <c r="H13" s="1040">
        <v>291009</v>
      </c>
      <c r="I13" s="1039"/>
      <c r="J13" s="1833">
        <f t="shared" si="1"/>
        <v>291009</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143596</v>
      </c>
      <c r="F15" s="1833">
        <f>'Expenditures 15-22'!K122</f>
        <v>0</v>
      </c>
      <c r="G15" s="1833">
        <f t="shared" si="0"/>
        <v>143596</v>
      </c>
      <c r="H15" s="1040">
        <v>150776</v>
      </c>
      <c r="I15" s="1040"/>
      <c r="J15" s="1833">
        <f t="shared" si="1"/>
        <v>150776</v>
      </c>
    </row>
    <row r="16" spans="1:17" ht="15" customHeight="1" x14ac:dyDescent="0.2">
      <c r="A16" s="1035">
        <v>5</v>
      </c>
      <c r="B16" s="1036" t="s">
        <v>103</v>
      </c>
      <c r="C16" s="1037"/>
      <c r="D16" s="1038">
        <v>2570</v>
      </c>
      <c r="E16" s="1833">
        <f>'Expenditures 15-22'!K64</f>
        <v>37705</v>
      </c>
      <c r="F16" s="1039"/>
      <c r="G16" s="1833">
        <f t="shared" si="0"/>
        <v>37705</v>
      </c>
      <c r="H16" s="1040">
        <v>38836</v>
      </c>
      <c r="I16" s="1039"/>
      <c r="J16" s="1833">
        <f t="shared" si="1"/>
        <v>38836</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4" t="s">
        <v>7</v>
      </c>
      <c r="C18" s="2345"/>
      <c r="D18" s="2346"/>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653104</v>
      </c>
      <c r="F19" s="1835">
        <f t="shared" si="2"/>
        <v>0</v>
      </c>
      <c r="G19" s="1835">
        <f t="shared" si="2"/>
        <v>653104</v>
      </c>
      <c r="H19" s="1835">
        <f t="shared" si="2"/>
        <v>681235</v>
      </c>
      <c r="I19" s="1835">
        <f t="shared" si="2"/>
        <v>0</v>
      </c>
      <c r="J19" s="1835">
        <f t="shared" si="2"/>
        <v>681235</v>
      </c>
    </row>
    <row r="20" spans="1:10" ht="13.5" thickTop="1" x14ac:dyDescent="0.2">
      <c r="A20" s="1035">
        <v>9</v>
      </c>
      <c r="B20" s="2347" t="s">
        <v>1703</v>
      </c>
      <c r="C20" s="2347"/>
      <c r="D20" s="2348"/>
      <c r="E20" s="1046"/>
      <c r="F20" s="1046"/>
      <c r="G20" s="1046"/>
      <c r="H20" s="1046"/>
      <c r="I20" s="1046"/>
      <c r="J20" s="1836">
        <f>IF(AND(G19&gt;0,J19&gt;0),(((J19-G19)/G19)),"Enter Budget Data")</f>
        <v>4.3072772483402334E-2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1093</v>
      </c>
      <c r="D27" s="1052"/>
      <c r="E27" s="1053"/>
      <c r="F27" s="2349" t="s">
        <v>1589</v>
      </c>
      <c r="G27" s="2349"/>
    </row>
    <row r="28" spans="1:10" ht="28.5" customHeight="1" x14ac:dyDescent="0.2">
      <c r="B28" s="1047"/>
      <c r="C28" s="2351"/>
      <c r="D28" s="2351"/>
      <c r="E28" s="1054"/>
      <c r="F28" s="2351"/>
      <c r="G28" s="2351"/>
    </row>
    <row r="29" spans="1:10" x14ac:dyDescent="0.2">
      <c r="B29" s="1047"/>
      <c r="C29" s="1055" t="s">
        <v>1642</v>
      </c>
      <c r="E29" s="1056"/>
      <c r="F29" s="2350" t="s">
        <v>1590</v>
      </c>
      <c r="G29" s="2350"/>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1943</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937</v>
      </c>
      <c r="D39" s="2331"/>
      <c r="E39" s="2331"/>
      <c r="F39" s="2331"/>
      <c r="G39" s="2331"/>
      <c r="H39" s="2331"/>
      <c r="I39" s="2331"/>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8">
        <v>1</v>
      </c>
      <c r="B5" s="328" t="s">
        <v>2095</v>
      </c>
    </row>
    <row r="6" spans="1:2" x14ac:dyDescent="0.2">
      <c r="A6" s="1068">
        <v>2</v>
      </c>
      <c r="B6" s="328" t="s">
        <v>2097</v>
      </c>
    </row>
    <row r="7" spans="1:2" x14ac:dyDescent="0.2">
      <c r="A7" s="1068">
        <v>3</v>
      </c>
      <c r="B7" s="328" t="s">
        <v>2096</v>
      </c>
    </row>
    <row r="8" spans="1:2" x14ac:dyDescent="0.2">
      <c r="A8" s="1068">
        <v>4</v>
      </c>
      <c r="B8" s="328" t="s">
        <v>2098</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KENILWORTH SD 38</v>
      </c>
    </row>
    <row r="65" spans="2:2" x14ac:dyDescent="0.2">
      <c r="B65" s="1070" t="str">
        <f>COVER!A13</f>
        <v>05-016-0380-02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7" sqref="B27"/>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5120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4"/>
      <c r="H2" s="1074"/>
    </row>
    <row r="3" spans="1:8" ht="57" customHeight="1" x14ac:dyDescent="0.2">
      <c r="A3" s="2368" t="s">
        <v>1786</v>
      </c>
      <c r="B3" s="2369"/>
      <c r="C3" s="2369"/>
      <c r="D3" s="2369"/>
      <c r="E3" s="2369"/>
      <c r="F3" s="2370"/>
      <c r="G3" s="1074"/>
      <c r="H3" s="1074"/>
    </row>
    <row r="4" spans="1:8" ht="14.25" customHeight="1" x14ac:dyDescent="0.2">
      <c r="A4" s="2374" t="s">
        <v>2054</v>
      </c>
      <c r="B4" s="2375"/>
      <c r="C4" s="2375"/>
      <c r="D4" s="2375"/>
      <c r="E4" s="2375"/>
      <c r="F4" s="2376"/>
      <c r="G4" s="1074"/>
      <c r="H4" s="1074"/>
    </row>
    <row r="5" spans="1:8" ht="14.25" customHeight="1" x14ac:dyDescent="0.2">
      <c r="A5" s="2377" t="s">
        <v>2055</v>
      </c>
      <c r="B5" s="2378"/>
      <c r="C5" s="2378"/>
      <c r="D5" s="2378"/>
      <c r="E5" s="2378"/>
      <c r="F5" s="2379"/>
      <c r="G5" s="1074"/>
      <c r="H5" s="1074"/>
    </row>
    <row r="6" spans="1:8" s="1075" customFormat="1" ht="41.25" customHeight="1" x14ac:dyDescent="0.2">
      <c r="A6" s="2371" t="s">
        <v>1792</v>
      </c>
      <c r="B6" s="2372"/>
      <c r="C6" s="2372"/>
      <c r="D6" s="2372"/>
      <c r="E6" s="2372"/>
      <c r="F6" s="237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10700106</v>
      </c>
      <c r="C8" s="1837">
        <f>'Acct Summary 7-8'!D8</f>
        <v>1526448</v>
      </c>
      <c r="D8" s="1837">
        <f>'Acct Summary 7-8'!F8</f>
        <v>50033</v>
      </c>
      <c r="E8" s="1837">
        <f>'Acct Summary 7-8'!I8</f>
        <v>30865</v>
      </c>
      <c r="F8" s="1837">
        <f>SUM(B8:E8)</f>
        <v>12307452</v>
      </c>
    </row>
    <row r="9" spans="1:8" s="1079" customFormat="1" ht="14.25" customHeight="1" thickBot="1" x14ac:dyDescent="0.25">
      <c r="A9" s="1078" t="s">
        <v>1436</v>
      </c>
      <c r="B9" s="1838">
        <f>'Acct Summary 7-8'!C17</f>
        <v>10961162</v>
      </c>
      <c r="C9" s="1838">
        <f>'Acct Summary 7-8'!D17</f>
        <v>1066462</v>
      </c>
      <c r="D9" s="1838">
        <f>'Acct Summary 7-8'!F17</f>
        <v>73662</v>
      </c>
      <c r="E9" s="1837"/>
      <c r="F9" s="1837">
        <f>SUM(B9:E9)</f>
        <v>12101286</v>
      </c>
    </row>
    <row r="10" spans="1:8" s="1079" customFormat="1" ht="14.25" thickTop="1" thickBot="1" x14ac:dyDescent="0.25">
      <c r="A10" s="1080" t="s">
        <v>1437</v>
      </c>
      <c r="B10" s="1839">
        <f>(B8-B9)</f>
        <v>-261056</v>
      </c>
      <c r="C10" s="1839">
        <f>(C8-C9)</f>
        <v>459986</v>
      </c>
      <c r="D10" s="1839">
        <f>(D8-D9)</f>
        <v>-23629</v>
      </c>
      <c r="E10" s="1838">
        <f>(E8-E9)</f>
        <v>30865</v>
      </c>
      <c r="F10" s="1840">
        <f>SUM(F8-F9)</f>
        <v>206166</v>
      </c>
    </row>
    <row r="11" spans="1:8" s="1079" customFormat="1" ht="14.25" thickTop="1" thickBot="1" x14ac:dyDescent="0.25">
      <c r="A11" s="1081" t="s">
        <v>1785</v>
      </c>
      <c r="B11" s="1841">
        <f>'Acct Summary 7-8'!C81</f>
        <v>8148482</v>
      </c>
      <c r="C11" s="1841">
        <f>'Acct Summary 7-8'!D81</f>
        <v>5785905</v>
      </c>
      <c r="D11" s="1841">
        <f>'Acct Summary 7-8'!F81</f>
        <v>120302</v>
      </c>
      <c r="E11" s="1841">
        <f>'Acct Summary 7-8'!I81</f>
        <v>6504399</v>
      </c>
      <c r="F11" s="1842">
        <f>SUM(B11:E11)</f>
        <v>20559088</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09" customFormat="1" ht="51.75" hidden="1" customHeight="1" x14ac:dyDescent="0.2">
      <c r="A16" s="2358" t="s">
        <v>1787</v>
      </c>
      <c r="B16" s="2358"/>
      <c r="C16" s="2358"/>
      <c r="D16" s="2358"/>
      <c r="E16" s="2358"/>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49" sqref="D4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0" t="s">
        <v>686</v>
      </c>
      <c r="B3" s="2381"/>
      <c r="C3" s="2381"/>
      <c r="D3" s="2382"/>
    </row>
    <row r="4" spans="1:4" x14ac:dyDescent="0.2">
      <c r="A4" s="1152" t="s">
        <v>1793</v>
      </c>
      <c r="B4" s="1153"/>
      <c r="C4" s="1154"/>
      <c r="D4" s="1155"/>
    </row>
    <row r="5" spans="1:4" ht="21" customHeight="1" x14ac:dyDescent="0.2">
      <c r="A5" s="1148"/>
      <c r="B5" s="1149">
        <v>1</v>
      </c>
      <c r="C5" s="1150" t="s">
        <v>1945</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1" t="s">
        <v>1584</v>
      </c>
      <c r="D7" s="2392"/>
    </row>
    <row r="8" spans="1:4" s="668" customFormat="1" ht="12.75" x14ac:dyDescent="0.2">
      <c r="A8" s="1138"/>
      <c r="B8" s="1093"/>
      <c r="C8" s="1096" t="s">
        <v>1583</v>
      </c>
      <c r="D8" s="1097"/>
    </row>
    <row r="9" spans="1:4" s="668" customFormat="1" ht="14.25" customHeight="1" x14ac:dyDescent="0.2">
      <c r="A9" s="1138"/>
      <c r="B9" s="1093">
        <f>B7+1</f>
        <v>4</v>
      </c>
      <c r="C9" s="1094" t="s">
        <v>2047</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3" t="s">
        <v>1065</v>
      </c>
      <c r="B15" s="2384"/>
      <c r="C15" s="2384"/>
      <c r="D15" s="2385"/>
    </row>
    <row r="16" spans="1:4" s="668" customFormat="1" ht="24" customHeight="1" x14ac:dyDescent="0.2">
      <c r="A16" s="2386" t="s">
        <v>684</v>
      </c>
      <c r="B16" s="2387"/>
      <c r="C16" s="2387"/>
      <c r="D16" s="2388"/>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5" t="s">
        <v>332</v>
      </c>
      <c r="D21" s="2396"/>
    </row>
    <row r="22" spans="1:10" ht="12.75" x14ac:dyDescent="0.2">
      <c r="A22" s="1139"/>
      <c r="B22" s="1140">
        <v>2</v>
      </c>
      <c r="C22" s="2393" t="s">
        <v>1605</v>
      </c>
      <c r="D22" s="239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7" t="s">
        <v>557</v>
      </c>
      <c r="D43" s="239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9" t="s">
        <v>817</v>
      </c>
      <c r="D56" s="239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OK</v>
      </c>
    </row>
    <row r="70" spans="1:4" x14ac:dyDescent="0.2">
      <c r="A70" s="1098"/>
      <c r="B70" s="1120">
        <f>B66+1</f>
        <v>9</v>
      </c>
      <c r="C70" s="2389" t="s">
        <v>1797</v>
      </c>
      <c r="D70" s="239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PLEASE ENTER CONTRACTS PAID IN CURRENT YEAR.</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05-016-0380-02</v>
      </c>
    </row>
    <row r="3" spans="1:2" x14ac:dyDescent="0.2">
      <c r="A3" t="s">
        <v>1013</v>
      </c>
      <c r="B3" s="138" t="str">
        <f>COVER!A15</f>
        <v>COOK</v>
      </c>
    </row>
    <row r="4" spans="1:2" x14ac:dyDescent="0.2">
      <c r="A4" t="s">
        <v>1064</v>
      </c>
      <c r="B4" s="138" t="str">
        <f>COVER!A17</f>
        <v>KENILWORTH SD 38</v>
      </c>
    </row>
    <row r="5" spans="1:2" x14ac:dyDescent="0.2">
      <c r="A5" t="s">
        <v>728</v>
      </c>
      <c r="B5" s="138" t="str">
        <f>COVER!A38</f>
        <v>Dr. Crystal LeRoy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065.019712</v>
      </c>
    </row>
    <row r="16" spans="1:2" x14ac:dyDescent="0.2">
      <c r="A16" t="s">
        <v>442</v>
      </c>
      <c r="B16" s="138" t="str">
        <f>COVER!T13</f>
        <v>GEORGE ROACH &amp; ASSOCIATES, P.C.</v>
      </c>
    </row>
    <row r="17" spans="1:2" x14ac:dyDescent="0.2">
      <c r="A17" t="s">
        <v>939</v>
      </c>
      <c r="B17" s="138" t="str">
        <f>COVER!T15</f>
        <v>JOSEPH TROYER</v>
      </c>
    </row>
    <row r="18" spans="1:2" x14ac:dyDescent="0.2">
      <c r="A18" t="s">
        <v>1212</v>
      </c>
      <c r="B18" s="138" t="str">
        <f>COVER!T17</f>
        <v>44 N. WALKUP AVE.</v>
      </c>
    </row>
    <row r="19" spans="1:2" x14ac:dyDescent="0.2">
      <c r="A19" t="s">
        <v>941</v>
      </c>
      <c r="B19" s="138" t="str">
        <f>COVER!T25</f>
        <v>JOE@GRA-CPA.COM</v>
      </c>
    </row>
    <row r="20" spans="1:2" x14ac:dyDescent="0.2">
      <c r="A20" t="s">
        <v>942</v>
      </c>
      <c r="B20" s="138" t="str">
        <f>COVER!T19</f>
        <v>CRYSTAL LAKE</v>
      </c>
    </row>
    <row r="21" spans="1:2" x14ac:dyDescent="0.2">
      <c r="A21" t="s">
        <v>500</v>
      </c>
      <c r="B21" s="138" t="str">
        <f>COVER!X19</f>
        <v>IL</v>
      </c>
    </row>
    <row r="22" spans="1:2" x14ac:dyDescent="0.2">
      <c r="A22" t="s">
        <v>943</v>
      </c>
      <c r="B22" s="138">
        <f>COVER!Z19</f>
        <v>60014</v>
      </c>
    </row>
    <row r="23" spans="1:2" x14ac:dyDescent="0.2">
      <c r="A23" t="s">
        <v>1214</v>
      </c>
      <c r="B23" s="138" t="str">
        <f>COVER!T21</f>
        <v>815-459-0700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t="str">
        <f>'Aud Quest 2'!H53</f>
        <v>10/01/1991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9012406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221851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863924</v>
      </c>
      <c r="C91" s="2" t="s">
        <v>594</v>
      </c>
      <c r="D91" s="2" t="str">
        <f t="shared" si="0"/>
        <v>Error?</v>
      </c>
    </row>
    <row r="92" spans="1:4" x14ac:dyDescent="0.2">
      <c r="A92" s="5">
        <v>31</v>
      </c>
      <c r="B92" s="138">
        <f>'Assets-Liab 5-6'!C39</f>
        <v>8148482</v>
      </c>
      <c r="D92" s="2" t="str">
        <f t="shared" si="0"/>
        <v>Error?</v>
      </c>
    </row>
    <row r="93" spans="1:4" x14ac:dyDescent="0.2">
      <c r="A93" s="5">
        <v>32</v>
      </c>
      <c r="B93" s="138">
        <f>'Assets-Liab 5-6'!C41</f>
        <v>9012406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5785905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5785905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1083117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1083117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120302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120302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513828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33248</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513828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26342</v>
      </c>
      <c r="D273" s="2" t="str">
        <f t="shared" si="3"/>
        <v>Error?</v>
      </c>
    </row>
    <row r="274" spans="1:4" x14ac:dyDescent="0.2">
      <c r="A274" s="5">
        <v>213</v>
      </c>
      <c r="B274" s="138">
        <f>'Assets-Liab 5-6'!M17</f>
        <v>16240001</v>
      </c>
      <c r="D274" s="2" t="str">
        <f t="shared" si="3"/>
        <v>Error?</v>
      </c>
    </row>
    <row r="275" spans="1:4" x14ac:dyDescent="0.2">
      <c r="A275" s="5">
        <v>214</v>
      </c>
      <c r="B275" s="138">
        <f>'Assets-Liab 5-6'!M18</f>
        <v>439079</v>
      </c>
      <c r="D275" s="2" t="str">
        <f t="shared" si="3"/>
        <v>Error?</v>
      </c>
    </row>
    <row r="276" spans="1:4" x14ac:dyDescent="0.2">
      <c r="A276" s="5">
        <v>215</v>
      </c>
      <c r="B276" s="138">
        <f>'Assets-Liab 5-6'!M19</f>
        <v>1804670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18510092</v>
      </c>
      <c r="C279" s="2" t="s">
        <v>594</v>
      </c>
      <c r="D279" s="2" t="str">
        <f t="shared" si="3"/>
        <v>Error?</v>
      </c>
    </row>
    <row r="280" spans="1:4" x14ac:dyDescent="0.2">
      <c r="A280" s="5">
        <v>219</v>
      </c>
      <c r="B280" s="138">
        <f>'Assets-Liab 5-6'!M40</f>
        <v>18510092</v>
      </c>
      <c r="D280" s="2" t="str">
        <f t="shared" si="3"/>
        <v>Error?</v>
      </c>
    </row>
    <row r="281" spans="1:4" x14ac:dyDescent="0.2">
      <c r="A281" s="5">
        <v>220</v>
      </c>
      <c r="B281" s="138">
        <f>'Assets-Liab 5-6'!M41</f>
        <v>18510092</v>
      </c>
      <c r="C281" s="2" t="s">
        <v>594</v>
      </c>
      <c r="D281" s="2" t="str">
        <f t="shared" si="3"/>
        <v>Error?</v>
      </c>
    </row>
    <row r="282" spans="1:4" x14ac:dyDescent="0.2">
      <c r="A282" s="5">
        <v>221</v>
      </c>
      <c r="B282" s="138">
        <f>'Assets-Liab 5-6'!N21</f>
        <v>1083117</v>
      </c>
      <c r="D282" s="2" t="str">
        <f t="shared" si="3"/>
        <v>Error?</v>
      </c>
    </row>
    <row r="283" spans="1:4" x14ac:dyDescent="0.2">
      <c r="A283" s="5">
        <v>222</v>
      </c>
      <c r="B283" s="138">
        <f>'Assets-Liab 5-6'!N22</f>
        <v>8471883</v>
      </c>
      <c r="D283" s="2" t="str">
        <f t="shared" si="3"/>
        <v>Error?</v>
      </c>
    </row>
    <row r="284" spans="1:4" x14ac:dyDescent="0.2">
      <c r="A284" s="5">
        <v>223</v>
      </c>
      <c r="B284" s="138">
        <f>'Assets-Liab 5-6'!N23</f>
        <v>9555000</v>
      </c>
      <c r="C284" s="2" t="s">
        <v>594</v>
      </c>
      <c r="D284" s="2" t="str">
        <f t="shared" si="3"/>
        <v>Error?</v>
      </c>
    </row>
    <row r="285" spans="1:4" x14ac:dyDescent="0.2">
      <c r="A285" s="5">
        <v>224</v>
      </c>
      <c r="B285" s="138">
        <f>'Assets-Liab 5-6'!N36</f>
        <v>9555000</v>
      </c>
      <c r="D285" s="2" t="str">
        <f t="shared" si="3"/>
        <v>Error?</v>
      </c>
    </row>
    <row r="286" spans="1:4" x14ac:dyDescent="0.2">
      <c r="A286" s="10">
        <v>225</v>
      </c>
      <c r="D286" s="2" t="str">
        <f t="shared" si="3"/>
        <v>OK</v>
      </c>
    </row>
    <row r="287" spans="1:4" x14ac:dyDescent="0.2">
      <c r="A287" s="5">
        <v>226</v>
      </c>
      <c r="B287" s="138">
        <f>'Assets-Liab 5-6'!N37</f>
        <v>9555000</v>
      </c>
      <c r="C287" s="2" t="s">
        <v>594</v>
      </c>
      <c r="D287" s="2" t="str">
        <f t="shared" si="3"/>
        <v>Error?</v>
      </c>
    </row>
    <row r="288" spans="1:4" x14ac:dyDescent="0.2">
      <c r="A288" s="5">
        <v>227</v>
      </c>
      <c r="B288" s="138">
        <f>'Assets-Liab 5-6'!N41</f>
        <v>9555000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3200000</v>
      </c>
      <c r="D651" s="2" t="str">
        <f t="shared" si="9"/>
        <v>Error?</v>
      </c>
    </row>
    <row r="652" spans="1:4" x14ac:dyDescent="0.2">
      <c r="A652" s="5">
        <v>591</v>
      </c>
      <c r="B652" s="138">
        <f>'Acct Summary 7-8'!I34</f>
        <v>299536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4235273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62440</v>
      </c>
      <c r="D718" s="2" t="str">
        <f t="shared" si="10"/>
        <v>Error?</v>
      </c>
    </row>
    <row r="719" spans="1:4" x14ac:dyDescent="0.2">
      <c r="A719" s="5">
        <v>658</v>
      </c>
      <c r="B719" s="138">
        <f>'Expenditures 15-22'!C15</f>
        <v>7980</v>
      </c>
      <c r="D719" s="2" t="str">
        <f t="shared" si="10"/>
        <v>Error?</v>
      </c>
    </row>
    <row r="720" spans="1:4" x14ac:dyDescent="0.2">
      <c r="A720" s="5">
        <v>659</v>
      </c>
      <c r="B720" s="138">
        <f>'Expenditures 15-22'!C33</f>
        <v>5403569</v>
      </c>
      <c r="C720" s="2" t="s">
        <v>594</v>
      </c>
      <c r="D720" s="2" t="str">
        <f t="shared" si="10"/>
        <v>Error?</v>
      </c>
    </row>
    <row r="721" spans="1:4" x14ac:dyDescent="0.2">
      <c r="A721" s="5">
        <v>660</v>
      </c>
      <c r="B721" s="138">
        <f>'Expenditures 15-22'!C36</f>
        <v>148733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79727</v>
      </c>
      <c r="D723" s="2" t="str">
        <f t="shared" si="10"/>
        <v>Error?</v>
      </c>
    </row>
    <row r="724" spans="1:4" x14ac:dyDescent="0.2">
      <c r="A724" s="5">
        <v>663</v>
      </c>
      <c r="B724" s="138">
        <f>'Expenditures 15-22'!C39</f>
        <v>62429</v>
      </c>
      <c r="D724" s="2" t="str">
        <f t="shared" si="10"/>
        <v>Error?</v>
      </c>
    </row>
    <row r="725" spans="1:4" x14ac:dyDescent="0.2">
      <c r="A725" s="5">
        <v>664</v>
      </c>
      <c r="B725" s="138">
        <f>'Expenditures 15-22'!C40</f>
        <v>68716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359605</v>
      </c>
      <c r="C727" s="2" t="s">
        <v>594</v>
      </c>
      <c r="D727" s="2" t="str">
        <f t="shared" si="10"/>
        <v>Error?</v>
      </c>
    </row>
    <row r="728" spans="1:4" x14ac:dyDescent="0.2">
      <c r="A728" s="5">
        <v>667</v>
      </c>
      <c r="B728" s="138">
        <f>'Expenditures 15-22'!C44</f>
        <v>157091</v>
      </c>
      <c r="D728" s="2" t="str">
        <f t="shared" si="10"/>
        <v>Error?</v>
      </c>
    </row>
    <row r="729" spans="1:4" x14ac:dyDescent="0.2">
      <c r="A729" s="5">
        <v>668</v>
      </c>
      <c r="B729" s="138">
        <f>'Expenditures 15-22'!C45</f>
        <v>443138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600229</v>
      </c>
      <c r="C731" s="2" t="s">
        <v>594</v>
      </c>
      <c r="D731" s="2" t="str">
        <f t="shared" si="10"/>
        <v>Error?</v>
      </c>
    </row>
    <row r="732" spans="1:4" x14ac:dyDescent="0.2">
      <c r="A732" s="5">
        <v>671</v>
      </c>
      <c r="B732" s="138">
        <f>'Expenditures 15-22'!C49</f>
        <v>190997</v>
      </c>
      <c r="D732" s="2" t="str">
        <f t="shared" si="10"/>
        <v>Error?</v>
      </c>
    </row>
    <row r="733" spans="1:4" x14ac:dyDescent="0.2">
      <c r="A733" s="5">
        <v>672</v>
      </c>
      <c r="B733" s="138">
        <f>'Expenditures 15-22'!C50</f>
        <v>145633</v>
      </c>
      <c r="D733" s="2" t="str">
        <f t="shared" si="10"/>
        <v>Error?</v>
      </c>
    </row>
    <row r="734" spans="1:4" x14ac:dyDescent="0.2">
      <c r="A734" s="5">
        <v>673</v>
      </c>
      <c r="B734" s="138">
        <f>'Expenditures 15-22'!C53</f>
        <v>464308</v>
      </c>
      <c r="C734" s="2" t="s">
        <v>594</v>
      </c>
      <c r="D734" s="2" t="str">
        <f t="shared" si="10"/>
        <v>Error?</v>
      </c>
    </row>
    <row r="735" spans="1:4" x14ac:dyDescent="0.2">
      <c r="A735" s="5">
        <v>674</v>
      </c>
      <c r="B735" s="138">
        <f>'Expenditures 15-22'!C55</f>
        <v>487088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487088</v>
      </c>
      <c r="C737" s="2" t="s">
        <v>594</v>
      </c>
      <c r="D737" s="2" t="str">
        <f t="shared" si="10"/>
        <v>Error?</v>
      </c>
    </row>
    <row r="738" spans="1:4" x14ac:dyDescent="0.2">
      <c r="A738" s="5">
        <v>677</v>
      </c>
      <c r="B738" s="138">
        <f>'Expenditures 15-22'!C59</f>
        <v>117277</v>
      </c>
      <c r="D738" s="2" t="str">
        <f t="shared" si="10"/>
        <v>Error?</v>
      </c>
    </row>
    <row r="739" spans="1:4" x14ac:dyDescent="0.2">
      <c r="A739" s="5">
        <v>678</v>
      </c>
      <c r="B739" s="138">
        <f>'Expenditures 15-22'!C60</f>
        <v>121138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238415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2149645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7553214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813959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491</v>
      </c>
      <c r="D776" s="2" t="str">
        <f t="shared" si="11"/>
        <v>Error?</v>
      </c>
    </row>
    <row r="777" spans="1:4" x14ac:dyDescent="0.2">
      <c r="A777" s="5">
        <v>716</v>
      </c>
      <c r="B777" s="138">
        <f>'Expenditures 15-22'!D15</f>
        <v>117</v>
      </c>
      <c r="D777" s="2" t="str">
        <f t="shared" si="11"/>
        <v>Error?</v>
      </c>
    </row>
    <row r="778" spans="1:4" x14ac:dyDescent="0.2">
      <c r="A778" s="5">
        <v>717</v>
      </c>
      <c r="B778" s="138">
        <f>'Expenditures 15-22'!D33</f>
        <v>1064694</v>
      </c>
      <c r="C778" s="2" t="s">
        <v>594</v>
      </c>
      <c r="D778" s="2" t="str">
        <f t="shared" si="11"/>
        <v>Error?</v>
      </c>
    </row>
    <row r="779" spans="1:4" x14ac:dyDescent="0.2">
      <c r="A779" s="5">
        <v>718</v>
      </c>
      <c r="B779" s="138">
        <f>'Expenditures 15-22'!D36</f>
        <v>29631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10909</v>
      </c>
      <c r="D781" s="2" t="str">
        <f t="shared" si="11"/>
        <v>Error?</v>
      </c>
    </row>
    <row r="782" spans="1:4" x14ac:dyDescent="0.2">
      <c r="A782" s="5">
        <v>721</v>
      </c>
      <c r="B782" s="138">
        <f>'Expenditures 15-22'!D39</f>
        <v>10853</v>
      </c>
      <c r="D782" s="2" t="str">
        <f t="shared" si="11"/>
        <v>Error?</v>
      </c>
    </row>
    <row r="783" spans="1:4" x14ac:dyDescent="0.2">
      <c r="A783" s="5">
        <v>722</v>
      </c>
      <c r="B783" s="138">
        <f>'Expenditures 15-22'!D40</f>
        <v>10955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62348</v>
      </c>
      <c r="C785" s="2" t="s">
        <v>594</v>
      </c>
      <c r="D785" s="2" t="str">
        <f t="shared" si="11"/>
        <v>Error?</v>
      </c>
    </row>
    <row r="786" spans="1:4" x14ac:dyDescent="0.2">
      <c r="A786" s="5">
        <v>725</v>
      </c>
      <c r="B786" s="138">
        <f>'Expenditures 15-22'!D44</f>
        <v>2296</v>
      </c>
      <c r="D786" s="2" t="str">
        <f t="shared" si="11"/>
        <v>Error?</v>
      </c>
    </row>
    <row r="787" spans="1:4" x14ac:dyDescent="0.2">
      <c r="A787" s="5">
        <v>726</v>
      </c>
      <c r="B787" s="138">
        <f>'Expenditures 15-22'!D45</f>
        <v>84670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86966</v>
      </c>
      <c r="C789" s="2" t="s">
        <v>594</v>
      </c>
      <c r="D789" s="2" t="str">
        <f t="shared" si="11"/>
        <v>Error?</v>
      </c>
    </row>
    <row r="790" spans="1:4" x14ac:dyDescent="0.2">
      <c r="A790" s="5">
        <v>729</v>
      </c>
      <c r="B790" s="138">
        <f>'Expenditures 15-22'!D49</f>
        <v>1183</v>
      </c>
      <c r="D790" s="2" t="str">
        <f t="shared" si="11"/>
        <v>Error?</v>
      </c>
    </row>
    <row r="791" spans="1:4" x14ac:dyDescent="0.2">
      <c r="A791" s="5">
        <v>730</v>
      </c>
      <c r="B791" s="138">
        <f>'Expenditures 15-22'!D50</f>
        <v>37705</v>
      </c>
      <c r="D791" s="2" t="str">
        <f t="shared" si="11"/>
        <v>Error?</v>
      </c>
    </row>
    <row r="792" spans="1:4" x14ac:dyDescent="0.2">
      <c r="A792" s="5">
        <v>731</v>
      </c>
      <c r="B792" s="138">
        <f>'Expenditures 15-22'!D53</f>
        <v>85860</v>
      </c>
      <c r="C792" s="2" t="s">
        <v>594</v>
      </c>
      <c r="D792" s="2" t="str">
        <f t="shared" si="11"/>
        <v>Error?</v>
      </c>
    </row>
    <row r="793" spans="1:4" x14ac:dyDescent="0.2">
      <c r="A793" s="5">
        <v>732</v>
      </c>
      <c r="B793" s="138">
        <f>'Expenditures 15-22'!D55</f>
        <v>132670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132670</v>
      </c>
      <c r="C795" s="2" t="s">
        <v>594</v>
      </c>
      <c r="D795" s="2" t="str">
        <f t="shared" si="11"/>
        <v>Error?</v>
      </c>
    </row>
    <row r="796" spans="1:4" x14ac:dyDescent="0.2">
      <c r="A796" s="5">
        <v>735</v>
      </c>
      <c r="B796" s="138">
        <f>'Expenditures 15-22'!D59</f>
        <v>26319</v>
      </c>
      <c r="D796" s="2" t="str">
        <f t="shared" si="11"/>
        <v>Error?</v>
      </c>
    </row>
    <row r="797" spans="1:4" x14ac:dyDescent="0.2">
      <c r="A797" s="5">
        <v>736</v>
      </c>
      <c r="B797" s="138">
        <f>'Expenditures 15-22'!D60</f>
        <v>38217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64536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432380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1497074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33011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89453</v>
      </c>
      <c r="C836" s="2" t="s">
        <v>594</v>
      </c>
      <c r="D836" s="2" t="str">
        <f t="shared" si="12"/>
        <v>Error?</v>
      </c>
    </row>
    <row r="837" spans="1:4" x14ac:dyDescent="0.2">
      <c r="A837" s="5">
        <v>776</v>
      </c>
      <c r="B837" s="138">
        <f>'Expenditures 15-22'!E36</f>
        <v>9880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10105</v>
      </c>
      <c r="C843" s="2" t="s">
        <v>594</v>
      </c>
      <c r="D843" s="2" t="str">
        <f t="shared" si="12"/>
        <v>Error?</v>
      </c>
    </row>
    <row r="844" spans="1:4" x14ac:dyDescent="0.2">
      <c r="A844" s="5">
        <v>783</v>
      </c>
      <c r="B844" s="138">
        <f>'Expenditures 15-22'!E44</f>
        <v>94926</v>
      </c>
      <c r="D844" s="2" t="str">
        <f t="shared" si="12"/>
        <v>Error?</v>
      </c>
    </row>
    <row r="845" spans="1:4" x14ac:dyDescent="0.2">
      <c r="A845" s="5">
        <v>784</v>
      </c>
      <c r="B845" s="138">
        <f>'Expenditures 15-22'!E45</f>
        <v>354641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449567</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3048</v>
      </c>
      <c r="D849" s="2" t="str">
        <f t="shared" si="12"/>
        <v>Error?</v>
      </c>
    </row>
    <row r="850" spans="1:4" x14ac:dyDescent="0.2">
      <c r="A850" s="5">
        <v>789</v>
      </c>
      <c r="B850" s="138">
        <f>'Expenditures 15-22'!E53</f>
        <v>94304</v>
      </c>
      <c r="C850" s="2" t="s">
        <v>594</v>
      </c>
      <c r="D850" s="2" t="str">
        <f t="shared" si="12"/>
        <v>Error?</v>
      </c>
    </row>
    <row r="851" spans="1:4" x14ac:dyDescent="0.2">
      <c r="A851" s="5">
        <v>790</v>
      </c>
      <c r="B851" s="138">
        <f>'Expenditures 15-22'!E55</f>
        <v>26505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26505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9744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37705</v>
      </c>
      <c r="D859" s="2" t="str">
        <f t="shared" si="12"/>
        <v>Error?</v>
      </c>
    </row>
    <row r="860" spans="1:4" x14ac:dyDescent="0.2">
      <c r="A860" s="10">
        <v>799</v>
      </c>
      <c r="D860" s="2" t="str">
        <f t="shared" si="12"/>
        <v>OK</v>
      </c>
    </row>
    <row r="861" spans="1:4" x14ac:dyDescent="0.2">
      <c r="A861" s="5">
        <v>800</v>
      </c>
      <c r="B861" s="138">
        <f>'Expenditures 15-22'!E65</f>
        <v>47449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8567</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8567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636497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725950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320425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355474</v>
      </c>
      <c r="C894" s="2" t="s">
        <v>594</v>
      </c>
      <c r="D894" s="2" t="str">
        <f t="shared" si="12"/>
        <v>Error?</v>
      </c>
    </row>
    <row r="895" spans="1:4" x14ac:dyDescent="0.2">
      <c r="A895" s="5">
        <v>834</v>
      </c>
      <c r="B895" s="138">
        <f>'Expenditures 15-22'!F36</f>
        <v>1003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1884</v>
      </c>
      <c r="C901" s="2" t="s">
        <v>594</v>
      </c>
      <c r="D901" s="2" t="str">
        <f t="shared" si="13"/>
        <v>Error?</v>
      </c>
    </row>
    <row r="902" spans="1:4" x14ac:dyDescent="0.2">
      <c r="A902" s="5">
        <v>841</v>
      </c>
      <c r="B902" s="138">
        <f>'Expenditures 15-22'!F44</f>
        <v>1950</v>
      </c>
      <c r="D902" s="2" t="str">
        <f t="shared" si="13"/>
        <v>Error?</v>
      </c>
    </row>
    <row r="903" spans="1:4" x14ac:dyDescent="0.2">
      <c r="A903" s="5">
        <v>842</v>
      </c>
      <c r="B903" s="138">
        <f>'Expenditures 15-22'!F45</f>
        <v>135807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137757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1534</v>
      </c>
      <c r="D907" s="2" t="str">
        <f t="shared" si="13"/>
        <v>Error?</v>
      </c>
    </row>
    <row r="908" spans="1:4" x14ac:dyDescent="0.2">
      <c r="A908" s="5">
        <v>847</v>
      </c>
      <c r="B908" s="138">
        <f>'Expenditures 15-22'!F53</f>
        <v>1534</v>
      </c>
      <c r="C908" s="2" t="s">
        <v>594</v>
      </c>
      <c r="D908" s="2" t="str">
        <f t="shared" si="13"/>
        <v>Error?</v>
      </c>
    </row>
    <row r="909" spans="1:4" x14ac:dyDescent="0.2">
      <c r="A909" s="5">
        <v>848</v>
      </c>
      <c r="B909" s="138">
        <f>'Expenditures 15-22'!F55</f>
        <v>12766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12766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20395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59849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80244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234185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589659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49547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49547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49547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12944</v>
      </c>
      <c r="D1022" s="2" t="str">
        <f t="shared" si="14"/>
        <v>Error?</v>
      </c>
    </row>
    <row r="1023" spans="1:4" x14ac:dyDescent="0.2">
      <c r="A1023" s="5">
        <v>962</v>
      </c>
      <c r="B1023" s="138">
        <f>'Expenditures 15-22'!H50</f>
        <v>3229</v>
      </c>
      <c r="D1023" s="2" t="str">
        <f t="shared" ref="D1023:D1086" si="15">IF(ISBLANK(B1023),"OK",IF(A1023-B1023=0,"OK","Error?"))</f>
        <v>Error?</v>
      </c>
    </row>
    <row r="1024" spans="1:4" x14ac:dyDescent="0.2">
      <c r="A1024" s="5">
        <v>963</v>
      </c>
      <c r="B1024" s="138">
        <f>'Expenditures 15-22'!H53</f>
        <v>30921</v>
      </c>
      <c r="C1024" s="2" t="s">
        <v>594</v>
      </c>
      <c r="D1024" s="2" t="str">
        <f t="shared" si="15"/>
        <v>Error?</v>
      </c>
    </row>
    <row r="1025" spans="1:4" x14ac:dyDescent="0.2">
      <c r="A1025" s="5">
        <v>964</v>
      </c>
      <c r="B1025" s="138">
        <f>'Expenditures 15-22'!H55</f>
        <v>160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31081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368810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399891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5598042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69464</v>
      </c>
      <c r="C1106" s="2" t="s">
        <v>594</v>
      </c>
      <c r="D1106" s="2" t="str">
        <f t="shared" si="16"/>
        <v>Error?</v>
      </c>
    </row>
    <row r="1107" spans="1:4" x14ac:dyDescent="0.2">
      <c r="A1107" s="5">
        <v>1046</v>
      </c>
      <c r="B1107" s="138">
        <f>'Expenditures 15-22'!K15</f>
        <v>8097</v>
      </c>
      <c r="C1107" s="2" t="s">
        <v>594</v>
      </c>
      <c r="D1107" s="2" t="str">
        <f t="shared" si="16"/>
        <v>Error?</v>
      </c>
    </row>
    <row r="1108" spans="1:4" x14ac:dyDescent="0.2">
      <c r="A1108" s="5">
        <v>1047</v>
      </c>
      <c r="B1108" s="138">
        <f>'Expenditures 15-22'!K33</f>
        <v>7108564</v>
      </c>
      <c r="C1108" s="2" t="s">
        <v>594</v>
      </c>
      <c r="D1108" s="2" t="str">
        <f t="shared" si="16"/>
        <v>Error?</v>
      </c>
    </row>
    <row r="1109" spans="1:4" x14ac:dyDescent="0.2">
      <c r="A1109" s="5">
        <v>1048</v>
      </c>
      <c r="B1109" s="138">
        <f>'Expenditures 15-22'!K36</f>
        <v>189247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91517</v>
      </c>
      <c r="C1111" s="2" t="s">
        <v>594</v>
      </c>
      <c r="D1111" s="2" t="str">
        <f t="shared" si="16"/>
        <v>Error?</v>
      </c>
    </row>
    <row r="1112" spans="1:4" x14ac:dyDescent="0.2">
      <c r="A1112" s="5">
        <v>1051</v>
      </c>
      <c r="B1112" s="138">
        <f>'Expenditures 15-22'!K39</f>
        <v>73282</v>
      </c>
      <c r="C1112" s="2" t="s">
        <v>594</v>
      </c>
      <c r="D1112" s="2" t="str">
        <f t="shared" si="16"/>
        <v>Error?</v>
      </c>
    </row>
    <row r="1113" spans="1:4" x14ac:dyDescent="0.2">
      <c r="A1113" s="5">
        <v>1052</v>
      </c>
      <c r="B1113" s="138">
        <f>'Expenditures 15-22'!K40</f>
        <v>79896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433942</v>
      </c>
      <c r="C1115" s="2" t="s">
        <v>594</v>
      </c>
      <c r="D1115" s="2" t="str">
        <f t="shared" si="16"/>
        <v>Error?</v>
      </c>
    </row>
    <row r="1116" spans="1:4" x14ac:dyDescent="0.2">
      <c r="A1116" s="5">
        <v>1055</v>
      </c>
      <c r="B1116" s="138">
        <f>'Expenditures 15-22'!K44</f>
        <v>256263</v>
      </c>
      <c r="C1116" s="2" t="s">
        <v>594</v>
      </c>
      <c r="D1116" s="2" t="str">
        <f t="shared" si="16"/>
        <v>Error?</v>
      </c>
    </row>
    <row r="1117" spans="1:4" x14ac:dyDescent="0.2">
      <c r="A1117" s="5">
        <v>1056</v>
      </c>
      <c r="B1117" s="138">
        <f>'Expenditures 15-22'!K45</f>
        <v>1018256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1274519</v>
      </c>
      <c r="C1119" s="2" t="s">
        <v>594</v>
      </c>
      <c r="D1119" s="2" t="str">
        <f t="shared" si="16"/>
        <v>Error?</v>
      </c>
    </row>
    <row r="1120" spans="1:4" x14ac:dyDescent="0.2">
      <c r="A1120" s="5">
        <v>1059</v>
      </c>
      <c r="B1120" s="138">
        <f>'Expenditures 15-22'!K49</f>
        <v>205124</v>
      </c>
      <c r="C1120" s="2" t="s">
        <v>594</v>
      </c>
      <c r="D1120" s="2" t="str">
        <f t="shared" si="16"/>
        <v>Error?</v>
      </c>
    </row>
    <row r="1121" spans="1:4" x14ac:dyDescent="0.2">
      <c r="A1121" s="5">
        <v>1060</v>
      </c>
      <c r="B1121" s="138">
        <f>'Expenditures 15-22'!K50</f>
        <v>191149</v>
      </c>
      <c r="C1121" s="2" t="s">
        <v>594</v>
      </c>
      <c r="D1121" s="2" t="str">
        <f t="shared" si="16"/>
        <v>Error?</v>
      </c>
    </row>
    <row r="1122" spans="1:4" x14ac:dyDescent="0.2">
      <c r="A1122" s="5">
        <v>1061</v>
      </c>
      <c r="B1122" s="138">
        <f>'Expenditures 15-22'!K53</f>
        <v>676927</v>
      </c>
      <c r="C1122" s="2" t="s">
        <v>594</v>
      </c>
      <c r="D1122" s="2" t="str">
        <f t="shared" si="16"/>
        <v>Error?</v>
      </c>
    </row>
    <row r="1123" spans="1:4" x14ac:dyDescent="0.2">
      <c r="A1123" s="5">
        <v>1062</v>
      </c>
      <c r="B1123" s="138">
        <f>'Expenditures 15-22'!K55</f>
        <v>659189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659189</v>
      </c>
      <c r="C1125" s="2" t="s">
        <v>594</v>
      </c>
      <c r="D1125" s="2" t="str">
        <f t="shared" si="16"/>
        <v>Error?</v>
      </c>
    </row>
    <row r="1126" spans="1:4" x14ac:dyDescent="0.2">
      <c r="A1126" s="5">
        <v>1065</v>
      </c>
      <c r="B1126" s="138">
        <f>'Expenditures 15-22'!K59</f>
        <v>143596</v>
      </c>
      <c r="C1126" s="2" t="s">
        <v>594</v>
      </c>
      <c r="D1126" s="2" t="str">
        <f t="shared" si="16"/>
        <v>Error?</v>
      </c>
    </row>
    <row r="1127" spans="1:4" x14ac:dyDescent="0.2">
      <c r="A1127" s="5">
        <v>1066</v>
      </c>
      <c r="B1127" s="138">
        <f>'Expenditures 15-22'!K60</f>
        <v>189494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59849</v>
      </c>
      <c r="C1130" s="2" t="s">
        <v>594</v>
      </c>
      <c r="D1130" s="2" t="str">
        <f t="shared" si="16"/>
        <v>Error?</v>
      </c>
    </row>
    <row r="1131" spans="1:4" x14ac:dyDescent="0.2">
      <c r="A1131" s="5">
        <v>1070</v>
      </c>
      <c r="B1131" s="138">
        <f>'Expenditures 15-22'!K64</f>
        <v>37705</v>
      </c>
      <c r="C1131" s="2" t="s">
        <v>594</v>
      </c>
      <c r="D1131" s="2" t="str">
        <f t="shared" si="16"/>
        <v>Error?</v>
      </c>
    </row>
    <row r="1132" spans="1:4" x14ac:dyDescent="0.2">
      <c r="A1132" s="10">
        <v>1071</v>
      </c>
      <c r="D1132" s="2" t="str">
        <f t="shared" si="16"/>
        <v>OK</v>
      </c>
    </row>
    <row r="1133" spans="1:4" x14ac:dyDescent="0.2">
      <c r="A1133" s="5">
        <v>1072</v>
      </c>
      <c r="B1133" s="138">
        <f>'Expenditures 15-22'!K65</f>
        <v>430644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8567</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8567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3483788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368810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10961162</v>
      </c>
      <c r="C1152" s="2" t="s">
        <v>594</v>
      </c>
      <c r="D1152" s="2" t="str">
        <f t="shared" si="17"/>
        <v>Error?</v>
      </c>
    </row>
    <row r="1153" spans="1:4" x14ac:dyDescent="0.2">
      <c r="A1153" s="5">
        <v>1092</v>
      </c>
      <c r="B1153" s="138">
        <f>'Expenditures 15-22'!K115</f>
        <v>-261056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96989</v>
      </c>
      <c r="D1221" s="2" t="str">
        <f t="shared" si="18"/>
        <v>Error?</v>
      </c>
    </row>
    <row r="1222" spans="1:4" x14ac:dyDescent="0.2">
      <c r="A1222" s="10">
        <v>1161</v>
      </c>
      <c r="D1222" s="2" t="str">
        <f t="shared" si="18"/>
        <v>OK</v>
      </c>
    </row>
    <row r="1223" spans="1:4" x14ac:dyDescent="0.2">
      <c r="A1223" s="5">
        <v>1162</v>
      </c>
      <c r="B1223" s="138">
        <f>'Expenditures 15-22'!C127</f>
        <v>96989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96989</v>
      </c>
      <c r="C1225" s="2" t="s">
        <v>594</v>
      </c>
      <c r="D1225" s="2" t="str">
        <f t="shared" si="18"/>
        <v>Error?</v>
      </c>
    </row>
    <row r="1226" spans="1:4" x14ac:dyDescent="0.2">
      <c r="A1226" s="5">
        <v>1165</v>
      </c>
      <c r="B1226" s="138">
        <f>'Expenditures 15-22'!C151</f>
        <v>96989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30553</v>
      </c>
      <c r="D1229" s="2" t="str">
        <f t="shared" si="18"/>
        <v>Error?</v>
      </c>
    </row>
    <row r="1230" spans="1:4" x14ac:dyDescent="0.2">
      <c r="A1230" s="10">
        <v>1169</v>
      </c>
      <c r="D1230" s="2" t="str">
        <f t="shared" si="18"/>
        <v>OK</v>
      </c>
    </row>
    <row r="1231" spans="1:4" x14ac:dyDescent="0.2">
      <c r="A1231" s="5">
        <v>1170</v>
      </c>
      <c r="B1231" s="138">
        <f>'Expenditures 15-22'!D127</f>
        <v>30553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30553</v>
      </c>
      <c r="C1233" s="2" t="s">
        <v>594</v>
      </c>
      <c r="D1233" s="2" t="str">
        <f t="shared" si="18"/>
        <v>Error?</v>
      </c>
    </row>
    <row r="1234" spans="1:4" x14ac:dyDescent="0.2">
      <c r="A1234" s="5">
        <v>1173</v>
      </c>
      <c r="B1234" s="138">
        <f>'Expenditures 15-22'!D151</f>
        <v>30553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180652</v>
      </c>
      <c r="D1236" s="2" t="str">
        <f t="shared" si="18"/>
        <v>Error?</v>
      </c>
    </row>
    <row r="1237" spans="1:4" x14ac:dyDescent="0.2">
      <c r="A1237" s="5">
        <v>1176</v>
      </c>
      <c r="B1237" s="138">
        <f>'Expenditures 15-22'!E124</f>
        <v>318932</v>
      </c>
      <c r="D1237" s="2" t="str">
        <f t="shared" si="18"/>
        <v>Error?</v>
      </c>
    </row>
    <row r="1238" spans="1:4" x14ac:dyDescent="0.2">
      <c r="A1238" s="10">
        <v>1177</v>
      </c>
      <c r="D1238" s="2" t="str">
        <f t="shared" si="18"/>
        <v>OK</v>
      </c>
    </row>
    <row r="1239" spans="1:4" x14ac:dyDescent="0.2">
      <c r="A1239" s="5">
        <v>1178</v>
      </c>
      <c r="B1239" s="138">
        <f>'Expenditures 15-22'!E127</f>
        <v>499584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499584</v>
      </c>
      <c r="C1241" s="2" t="s">
        <v>594</v>
      </c>
      <c r="D1241" s="2" t="str">
        <f t="shared" si="18"/>
        <v>Error?</v>
      </c>
    </row>
    <row r="1242" spans="1:4" x14ac:dyDescent="0.2">
      <c r="A1242" s="5">
        <v>1181</v>
      </c>
      <c r="B1242" s="138">
        <f>'Expenditures 15-22'!E151</f>
        <v>499584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215615</v>
      </c>
      <c r="D1245" s="2" t="str">
        <f t="shared" si="18"/>
        <v>Error?</v>
      </c>
    </row>
    <row r="1246" spans="1:4" x14ac:dyDescent="0.2">
      <c r="A1246" s="10">
        <v>1185</v>
      </c>
      <c r="D1246" s="2" t="str">
        <f t="shared" si="18"/>
        <v>OK</v>
      </c>
    </row>
    <row r="1247" spans="1:4" x14ac:dyDescent="0.2">
      <c r="A1247" s="5">
        <v>1186</v>
      </c>
      <c r="B1247" s="138">
        <f>'Expenditures 15-22'!F127</f>
        <v>215615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215615</v>
      </c>
      <c r="C1249" s="2" t="s">
        <v>594</v>
      </c>
      <c r="D1249" s="2" t="str">
        <f t="shared" si="18"/>
        <v>Error?</v>
      </c>
    </row>
    <row r="1250" spans="1:4" x14ac:dyDescent="0.2">
      <c r="A1250" s="5">
        <v>1189</v>
      </c>
      <c r="B1250" s="138">
        <f>'Expenditures 15-22'!F151</f>
        <v>215615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203761</v>
      </c>
      <c r="D1252" s="2" t="str">
        <f t="shared" si="18"/>
        <v>Error?</v>
      </c>
    </row>
    <row r="1253" spans="1:4" x14ac:dyDescent="0.2">
      <c r="A1253" s="5">
        <v>1192</v>
      </c>
      <c r="B1253" s="138">
        <f>'Expenditures 15-22'!G124</f>
        <v>19960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223721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223721</v>
      </c>
      <c r="C1258" s="2" t="s">
        <v>594</v>
      </c>
      <c r="D1258" s="2" t="str">
        <f t="shared" si="18"/>
        <v>Error?</v>
      </c>
    </row>
    <row r="1259" spans="1:4" x14ac:dyDescent="0.2">
      <c r="A1259" s="5">
        <v>1198</v>
      </c>
      <c r="B1259" s="138">
        <f>'Expenditures 15-22'!G151</f>
        <v>223721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384413</v>
      </c>
      <c r="C1275" s="2" t="s">
        <v>594</v>
      </c>
      <c r="D1275" s="2" t="str">
        <f t="shared" si="18"/>
        <v>Error?</v>
      </c>
    </row>
    <row r="1276" spans="1:4" x14ac:dyDescent="0.2">
      <c r="A1276" s="5">
        <v>1215</v>
      </c>
      <c r="B1276" s="138">
        <f>'Expenditures 15-22'!K124</f>
        <v>682049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1066462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1066462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1066462</v>
      </c>
      <c r="C1288" s="2" t="s">
        <v>594</v>
      </c>
      <c r="D1288" s="2" t="str">
        <f t="shared" si="19"/>
        <v>Error?</v>
      </c>
    </row>
    <row r="1289" spans="1:4" x14ac:dyDescent="0.2">
      <c r="A1289" s="5">
        <v>1228</v>
      </c>
      <c r="B1289" s="138">
        <f>'Expenditures 15-22'!K152</f>
        <v>459986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213016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720000</v>
      </c>
      <c r="D1315" s="2" t="str">
        <f t="shared" si="19"/>
        <v>Error?</v>
      </c>
    </row>
    <row r="1316" spans="1:4" x14ac:dyDescent="0.2">
      <c r="A1316" s="5">
        <v>1255</v>
      </c>
      <c r="B1316" s="138">
        <f>'Expenditures 15-22'!H171</f>
        <v>2475</v>
      </c>
      <c r="D1316" s="2" t="str">
        <f t="shared" si="19"/>
        <v>Error?</v>
      </c>
    </row>
    <row r="1317" spans="1:4" x14ac:dyDescent="0.2">
      <c r="A1317" s="5">
        <v>1256</v>
      </c>
      <c r="B1317" s="138">
        <f>'Expenditures 15-22'!H172</f>
        <v>935491</v>
      </c>
      <c r="C1317" s="2" t="s">
        <v>594</v>
      </c>
      <c r="D1317" s="2" t="str">
        <f t="shared" si="19"/>
        <v>Error?</v>
      </c>
    </row>
    <row r="1318" spans="1:4" x14ac:dyDescent="0.2">
      <c r="A1318" s="5">
        <v>1257</v>
      </c>
      <c r="B1318" s="138">
        <f>'Expenditures 15-22'!H174</f>
        <v>935491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213016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720000</v>
      </c>
      <c r="C1329" s="2" t="s">
        <v>594</v>
      </c>
      <c r="D1329" s="2" t="str">
        <f t="shared" si="19"/>
        <v>Error?</v>
      </c>
    </row>
    <row r="1330" spans="1:4" x14ac:dyDescent="0.2">
      <c r="A1330" s="5">
        <v>1269</v>
      </c>
      <c r="B1330" s="138">
        <f>'Expenditures 15-22'!K171</f>
        <v>2475</v>
      </c>
      <c r="C1330" s="2" t="s">
        <v>594</v>
      </c>
      <c r="D1330" s="2" t="str">
        <f t="shared" si="19"/>
        <v>Error?</v>
      </c>
    </row>
    <row r="1331" spans="1:4" x14ac:dyDescent="0.2">
      <c r="A1331" s="5">
        <v>1270</v>
      </c>
      <c r="B1331" s="138">
        <f>'Expenditures 15-22'!K172</f>
        <v>935491</v>
      </c>
      <c r="C1331" s="2" t="s">
        <v>594</v>
      </c>
      <c r="D1331" s="2" t="str">
        <f t="shared" si="19"/>
        <v>Error?</v>
      </c>
    </row>
    <row r="1332" spans="1:4" x14ac:dyDescent="0.2">
      <c r="A1332" s="5">
        <v>1271</v>
      </c>
      <c r="B1332" s="138">
        <f>'Expenditures 15-22'!K174</f>
        <v>935491</v>
      </c>
      <c r="C1332" s="2" t="s">
        <v>594</v>
      </c>
      <c r="D1332" s="2" t="str">
        <f t="shared" si="19"/>
        <v>Error?</v>
      </c>
    </row>
    <row r="1333" spans="1:4" x14ac:dyDescent="0.2">
      <c r="A1333" s="5">
        <v>1272</v>
      </c>
      <c r="B1333" s="138">
        <f>'Expenditures 15-22'!K175</f>
        <v>74805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73662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73662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73662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73662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73662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73662</v>
      </c>
      <c r="C1388" s="2" t="s">
        <v>594</v>
      </c>
      <c r="D1388" s="2" t="str">
        <f t="shared" si="20"/>
        <v>Error?</v>
      </c>
    </row>
    <row r="1389" spans="1:4" x14ac:dyDescent="0.2">
      <c r="A1389" s="5">
        <v>1328</v>
      </c>
      <c r="B1389" s="138">
        <f>'Expenditures 15-22'!K211</f>
        <v>-23629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3606</v>
      </c>
      <c r="D1408" s="2" t="str">
        <f t="shared" si="21"/>
        <v>Error?</v>
      </c>
    </row>
    <row r="1409" spans="1:4" x14ac:dyDescent="0.2">
      <c r="A1409" s="5">
        <v>1348</v>
      </c>
      <c r="B1409" s="138">
        <f>'Expenditures 15-22'!D224</f>
        <v>116</v>
      </c>
      <c r="D1409" s="2" t="str">
        <f t="shared" si="21"/>
        <v>Error?</v>
      </c>
    </row>
    <row r="1410" spans="1:4" x14ac:dyDescent="0.2">
      <c r="A1410" s="5">
        <v>1349</v>
      </c>
      <c r="B1410" s="138">
        <f>'Expenditures 15-22'!D229</f>
        <v>116708</v>
      </c>
      <c r="C1410" s="2" t="s">
        <v>594</v>
      </c>
      <c r="D1410" s="2" t="str">
        <f t="shared" si="21"/>
        <v>Error?</v>
      </c>
    </row>
    <row r="1411" spans="1:4" x14ac:dyDescent="0.2">
      <c r="A1411" s="5">
        <v>1350</v>
      </c>
      <c r="B1411" s="138">
        <f>'Expenditures 15-22'!D232</f>
        <v>2087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1142</v>
      </c>
      <c r="D1413" s="2" t="str">
        <f t="shared" si="21"/>
        <v>Error?</v>
      </c>
    </row>
    <row r="1414" spans="1:4" x14ac:dyDescent="0.2">
      <c r="A1414" s="5">
        <v>1353</v>
      </c>
      <c r="B1414" s="138">
        <f>'Expenditures 15-22'!D235</f>
        <v>878</v>
      </c>
      <c r="D1414" s="2" t="str">
        <f t="shared" si="21"/>
        <v>Error?</v>
      </c>
    </row>
    <row r="1415" spans="1:4" x14ac:dyDescent="0.2">
      <c r="A1415" s="5">
        <v>1354</v>
      </c>
      <c r="B1415" s="138">
        <f>'Expenditures 15-22'!D236</f>
        <v>969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5076</v>
      </c>
      <c r="C1417" s="2" t="s">
        <v>594</v>
      </c>
      <c r="D1417" s="2" t="str">
        <f t="shared" si="21"/>
        <v>Error?</v>
      </c>
    </row>
    <row r="1418" spans="1:4" x14ac:dyDescent="0.2">
      <c r="A1418" s="5">
        <v>1357</v>
      </c>
      <c r="B1418" s="138">
        <f>'Expenditures 15-22'!D240</f>
        <v>2178</v>
      </c>
      <c r="D1418" s="2" t="str">
        <f t="shared" si="21"/>
        <v>Error?</v>
      </c>
    </row>
    <row r="1419" spans="1:4" x14ac:dyDescent="0.2">
      <c r="A1419" s="5">
        <v>1358</v>
      </c>
      <c r="B1419" s="138">
        <f>'Expenditures 15-22'!D241</f>
        <v>19952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22130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6319</v>
      </c>
      <c r="D1423" s="2" t="str">
        <f t="shared" si="21"/>
        <v>Error?</v>
      </c>
    </row>
    <row r="1424" spans="1:4" x14ac:dyDescent="0.2">
      <c r="A1424" s="5">
        <v>1363</v>
      </c>
      <c r="B1424" s="138">
        <f>'Expenditures 15-22'!D257</f>
        <v>8361</v>
      </c>
      <c r="C1424" s="2" t="s">
        <v>594</v>
      </c>
      <c r="D1424" s="2" t="str">
        <f t="shared" si="21"/>
        <v>Error?</v>
      </c>
    </row>
    <row r="1425" spans="1:4" x14ac:dyDescent="0.2">
      <c r="A1425" s="5">
        <v>1364</v>
      </c>
      <c r="B1425" s="138">
        <f>'Expenditures 15-22'!D259</f>
        <v>28864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28864</v>
      </c>
      <c r="C1427" s="2" t="s">
        <v>594</v>
      </c>
      <c r="D1427" s="2" t="str">
        <f t="shared" si="21"/>
        <v>Error?</v>
      </c>
    </row>
    <row r="1428" spans="1:4" x14ac:dyDescent="0.2">
      <c r="A1428" s="5">
        <v>1367</v>
      </c>
      <c r="B1428" s="138">
        <f>'Expenditures 15-22'!D263</f>
        <v>1866</v>
      </c>
      <c r="D1428" s="2" t="str">
        <f t="shared" si="21"/>
        <v>Error?</v>
      </c>
    </row>
    <row r="1429" spans="1:4" x14ac:dyDescent="0.2">
      <c r="A1429" s="5">
        <v>1368</v>
      </c>
      <c r="B1429" s="138">
        <f>'Expenditures 15-22'!D264</f>
        <v>18993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15208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36067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100498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217206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3606</v>
      </c>
      <c r="C1472" s="2" t="s">
        <v>594</v>
      </c>
      <c r="D1472" s="2" t="str">
        <f t="shared" si="22"/>
        <v>Error?</v>
      </c>
    </row>
    <row r="1473" spans="1:4" x14ac:dyDescent="0.2">
      <c r="A1473" s="5">
        <v>1412</v>
      </c>
      <c r="B1473" s="138">
        <f>'Expenditures 15-22'!K224</f>
        <v>116</v>
      </c>
      <c r="C1473" s="2" t="s">
        <v>594</v>
      </c>
      <c r="D1473" s="2" t="str">
        <f t="shared" si="22"/>
        <v>Error?</v>
      </c>
    </row>
    <row r="1474" spans="1:4" x14ac:dyDescent="0.2">
      <c r="A1474" s="5">
        <v>1413</v>
      </c>
      <c r="B1474" s="138">
        <f>'Expenditures 15-22'!K229</f>
        <v>116708</v>
      </c>
      <c r="C1474" s="2" t="s">
        <v>594</v>
      </c>
      <c r="D1474" s="2" t="str">
        <f t="shared" si="22"/>
        <v>Error?</v>
      </c>
    </row>
    <row r="1475" spans="1:4" x14ac:dyDescent="0.2">
      <c r="A1475" s="5">
        <v>1414</v>
      </c>
      <c r="B1475" s="138">
        <f>'Expenditures 15-22'!K232</f>
        <v>2087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1142</v>
      </c>
      <c r="C1477" s="2" t="s">
        <v>594</v>
      </c>
      <c r="D1477" s="2" t="str">
        <f t="shared" si="22"/>
        <v>Error?</v>
      </c>
    </row>
    <row r="1478" spans="1:4" x14ac:dyDescent="0.2">
      <c r="A1478" s="5">
        <v>1417</v>
      </c>
      <c r="B1478" s="138">
        <f>'Expenditures 15-22'!K235</f>
        <v>878</v>
      </c>
      <c r="C1478" s="2" t="s">
        <v>594</v>
      </c>
      <c r="D1478" s="2" t="str">
        <f t="shared" si="22"/>
        <v>Error?</v>
      </c>
    </row>
    <row r="1479" spans="1:4" x14ac:dyDescent="0.2">
      <c r="A1479" s="5">
        <v>1418</v>
      </c>
      <c r="B1479" s="138">
        <f>'Expenditures 15-22'!K236</f>
        <v>969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5076</v>
      </c>
      <c r="C1481" s="2" t="s">
        <v>594</v>
      </c>
      <c r="D1481" s="2" t="str">
        <f t="shared" si="22"/>
        <v>Error?</v>
      </c>
    </row>
    <row r="1482" spans="1:4" x14ac:dyDescent="0.2">
      <c r="A1482" s="5">
        <v>1421</v>
      </c>
      <c r="B1482" s="138">
        <f>'Expenditures 15-22'!K240</f>
        <v>2178</v>
      </c>
      <c r="C1482" s="2" t="s">
        <v>594</v>
      </c>
      <c r="D1482" s="2" t="str">
        <f t="shared" si="22"/>
        <v>Error?</v>
      </c>
    </row>
    <row r="1483" spans="1:4" x14ac:dyDescent="0.2">
      <c r="A1483" s="5">
        <v>1422</v>
      </c>
      <c r="B1483" s="138">
        <f>'Expenditures 15-22'!K241</f>
        <v>19952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22130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6319</v>
      </c>
      <c r="C1487" s="2" t="s">
        <v>594</v>
      </c>
      <c r="D1487" s="2" t="str">
        <f t="shared" si="22"/>
        <v>Error?</v>
      </c>
    </row>
    <row r="1488" spans="1:4" x14ac:dyDescent="0.2">
      <c r="A1488" s="5">
        <v>1427</v>
      </c>
      <c r="B1488" s="138">
        <f>'Expenditures 15-22'!K257</f>
        <v>8361</v>
      </c>
      <c r="C1488" s="2" t="s">
        <v>594</v>
      </c>
      <c r="D1488" s="2" t="str">
        <f t="shared" si="22"/>
        <v>Error?</v>
      </c>
    </row>
    <row r="1489" spans="1:4" x14ac:dyDescent="0.2">
      <c r="A1489" s="5">
        <v>1428</v>
      </c>
      <c r="B1489" s="138">
        <f>'Expenditures 15-22'!K259</f>
        <v>28864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28864</v>
      </c>
      <c r="C1491" s="2" t="s">
        <v>594</v>
      </c>
      <c r="D1491" s="2" t="str">
        <f t="shared" si="22"/>
        <v>Error?</v>
      </c>
    </row>
    <row r="1492" spans="1:4" x14ac:dyDescent="0.2">
      <c r="A1492" s="5">
        <v>1431</v>
      </c>
      <c r="B1492" s="138">
        <f>'Expenditures 15-22'!K263</f>
        <v>1866</v>
      </c>
      <c r="C1492" s="2" t="s">
        <v>594</v>
      </c>
      <c r="D1492" s="2" t="str">
        <f t="shared" si="22"/>
        <v>Error?</v>
      </c>
    </row>
    <row r="1493" spans="1:4" x14ac:dyDescent="0.2">
      <c r="A1493" s="5">
        <v>1432</v>
      </c>
      <c r="B1493" s="138">
        <f>'Expenditures 15-22'!K264</f>
        <v>18993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15208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36067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100498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217206</v>
      </c>
      <c r="C1517" s="2" t="s">
        <v>594</v>
      </c>
      <c r="D1517" s="2" t="str">
        <f t="shared" si="22"/>
        <v>Error?</v>
      </c>
    </row>
    <row r="1518" spans="1:4" x14ac:dyDescent="0.2">
      <c r="A1518" s="5">
        <v>1457</v>
      </c>
      <c r="B1518" s="138">
        <f>'Expenditures 15-22'!K296</f>
        <v>-7245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8409538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8148482</v>
      </c>
      <c r="C1630" s="2" t="s">
        <v>594</v>
      </c>
      <c r="D1630" s="2" t="str">
        <f t="shared" si="24"/>
        <v>Error?</v>
      </c>
    </row>
    <row r="1631" spans="1:4" x14ac:dyDescent="0.2">
      <c r="A1631" s="5">
        <v>1570</v>
      </c>
      <c r="B1631" s="138">
        <f>'Acct Summary 7-8'!D79</f>
        <v>5325919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5785905</v>
      </c>
      <c r="C1644" s="2" t="s">
        <v>594</v>
      </c>
      <c r="D1644" s="2" t="str">
        <f t="shared" si="24"/>
        <v>Error?</v>
      </c>
    </row>
    <row r="1645" spans="1:4" x14ac:dyDescent="0.2">
      <c r="A1645" s="5">
        <v>1584</v>
      </c>
      <c r="B1645" s="138">
        <f>'Acct Summary 7-8'!E79</f>
        <v>1008312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1083117</v>
      </c>
      <c r="C1658" s="2" t="s">
        <v>594</v>
      </c>
      <c r="D1658" s="2" t="str">
        <f t="shared" si="24"/>
        <v>Error?</v>
      </c>
    </row>
    <row r="1659" spans="1:4" x14ac:dyDescent="0.2">
      <c r="A1659" s="5">
        <v>1598</v>
      </c>
      <c r="B1659" s="138">
        <f>'Acct Summary 7-8'!F79</f>
        <v>143931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120302</v>
      </c>
      <c r="C1672" s="2" t="s">
        <v>594</v>
      </c>
      <c r="D1672" s="2" t="str">
        <f t="shared" si="25"/>
        <v>Error?</v>
      </c>
    </row>
    <row r="1673" spans="1:4" x14ac:dyDescent="0.2">
      <c r="A1673" s="5">
        <v>1612</v>
      </c>
      <c r="B1673" s="138">
        <f>'Acct Summary 7-8'!G79</f>
        <v>487825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480580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9701699</v>
      </c>
      <c r="C1744" s="2" t="s">
        <v>594</v>
      </c>
      <c r="D1744" s="2" t="str">
        <f t="shared" si="26"/>
        <v>Error?</v>
      </c>
    </row>
    <row r="1745" spans="1:5" x14ac:dyDescent="0.2">
      <c r="A1745" s="5">
        <v>1684</v>
      </c>
      <c r="B1745" s="138">
        <f>'Tax Sched 23'!B5</f>
        <v>1525448</v>
      </c>
      <c r="C1745" s="2" t="s">
        <v>594</v>
      </c>
      <c r="D1745" s="2" t="str">
        <f t="shared" si="26"/>
        <v>Error?</v>
      </c>
    </row>
    <row r="1746" spans="1:5" x14ac:dyDescent="0.2">
      <c r="A1746" s="5">
        <v>1685</v>
      </c>
      <c r="B1746" s="138">
        <f>'Tax Sched 23'!B6</f>
        <v>1010296</v>
      </c>
      <c r="C1746" s="2" t="s">
        <v>594</v>
      </c>
      <c r="D1746" s="2" t="str">
        <f t="shared" si="26"/>
        <v>Error?</v>
      </c>
    </row>
    <row r="1747" spans="1:5" x14ac:dyDescent="0.2">
      <c r="A1747" s="5">
        <v>1686</v>
      </c>
      <c r="B1747" s="138">
        <f>'Tax Sched 23'!B7</f>
        <v>50033</v>
      </c>
      <c r="C1747" s="2" t="s">
        <v>594</v>
      </c>
      <c r="D1747" s="2" t="str">
        <f t="shared" si="26"/>
        <v>Error?</v>
      </c>
    </row>
    <row r="1748" spans="1:5" x14ac:dyDescent="0.2">
      <c r="A1748" s="5">
        <v>1687</v>
      </c>
      <c r="B1748" s="138">
        <f>'Tax Sched 23'!B8</f>
        <v>146626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46739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12480841</v>
      </c>
      <c r="C1759" s="2" t="s">
        <v>594</v>
      </c>
      <c r="D1759" s="2" t="str">
        <f t="shared" si="26"/>
        <v>Error?</v>
      </c>
    </row>
    <row r="1760" spans="1:5" x14ac:dyDescent="0.2">
      <c r="A1760" s="5">
        <v>1699</v>
      </c>
      <c r="B1760" s="138">
        <f>'Tax Sched 23'!D4</f>
        <v>4442610</v>
      </c>
      <c r="C1760" s="2" t="s">
        <v>594</v>
      </c>
      <c r="D1760" s="2" t="str">
        <f t="shared" si="26"/>
        <v>Error?</v>
      </c>
    </row>
    <row r="1761" spans="1:5" x14ac:dyDescent="0.2">
      <c r="A1761" s="5">
        <v>1700</v>
      </c>
      <c r="B1761" s="138">
        <f>'Tax Sched 23'!D5</f>
        <v>698176</v>
      </c>
      <c r="C1761" s="2" t="s">
        <v>594</v>
      </c>
      <c r="D1761" s="2" t="str">
        <f t="shared" si="26"/>
        <v>Error?</v>
      </c>
    </row>
    <row r="1762" spans="1:5" s="8" customFormat="1" x14ac:dyDescent="0.2">
      <c r="A1762" s="5">
        <v>1701</v>
      </c>
      <c r="B1762" s="138">
        <f>'Tax Sched 23'!D6</f>
        <v>474030</v>
      </c>
      <c r="C1762" s="2" t="s">
        <v>594</v>
      </c>
      <c r="D1762" s="2" t="str">
        <f t="shared" si="26"/>
        <v>Error?</v>
      </c>
      <c r="E1762" s="9"/>
    </row>
    <row r="1763" spans="1:5" x14ac:dyDescent="0.2">
      <c r="A1763" s="5">
        <v>1702</v>
      </c>
      <c r="B1763" s="138">
        <f>'Tax Sched 23'!D7</f>
        <v>23111</v>
      </c>
      <c r="C1763" s="2" t="s">
        <v>594</v>
      </c>
      <c r="D1763" s="2" t="str">
        <f t="shared" si="26"/>
        <v>Error?</v>
      </c>
    </row>
    <row r="1764" spans="1:5" x14ac:dyDescent="0.2">
      <c r="A1764" s="5">
        <v>1703</v>
      </c>
      <c r="B1764" s="138">
        <f>'Tax Sched 23'!D8</f>
        <v>66224</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19817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5723968</v>
      </c>
      <c r="C1775" s="2" t="s">
        <v>594</v>
      </c>
      <c r="D1775" s="2" t="str">
        <f t="shared" si="26"/>
        <v>Error?</v>
      </c>
    </row>
    <row r="1776" spans="1:5" x14ac:dyDescent="0.2">
      <c r="A1776" s="5">
        <v>1715</v>
      </c>
      <c r="B1776" s="138">
        <f>'Tax Sched 23'!C4</f>
        <v>5259089</v>
      </c>
      <c r="D1776" s="2" t="str">
        <f t="shared" si="26"/>
        <v>Error?</v>
      </c>
    </row>
    <row r="1777" spans="1:4" x14ac:dyDescent="0.2">
      <c r="A1777" s="5">
        <v>1716</v>
      </c>
      <c r="B1777" s="138">
        <f>'Tax Sched 23'!C5</f>
        <v>827272</v>
      </c>
      <c r="D1777" s="2" t="str">
        <f t="shared" si="26"/>
        <v>Error?</v>
      </c>
    </row>
    <row r="1778" spans="1:4" x14ac:dyDescent="0.2">
      <c r="A1778" s="5">
        <v>1717</v>
      </c>
      <c r="B1778" s="138">
        <f>'Tax Sched 23'!C6</f>
        <v>536266</v>
      </c>
      <c r="D1778" s="2" t="str">
        <f t="shared" si="26"/>
        <v>Error?</v>
      </c>
    </row>
    <row r="1779" spans="1:4" x14ac:dyDescent="0.2">
      <c r="A1779" s="5">
        <v>1718</v>
      </c>
      <c r="B1779" s="138">
        <f>'Tax Sched 23'!C7</f>
        <v>26922</v>
      </c>
      <c r="D1779" s="2" t="str">
        <f t="shared" si="26"/>
        <v>Error?</v>
      </c>
    </row>
    <row r="1780" spans="1:4" x14ac:dyDescent="0.2">
      <c r="A1780" s="5">
        <v>1719</v>
      </c>
      <c r="B1780" s="138">
        <f>'Tax Sched 23'!C8</f>
        <v>80402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26922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6756873</v>
      </c>
      <c r="C1791" s="2" t="s">
        <v>594</v>
      </c>
      <c r="D1791" s="2" t="str">
        <f t="shared" ref="D1791:D1854" si="27">IF(ISBLANK(B1791),"OK",IF(A1791-B1791=0,"OK","Error?"))</f>
        <v>Error?</v>
      </c>
    </row>
    <row r="1792" spans="1:4" x14ac:dyDescent="0.2">
      <c r="A1792" s="5">
        <v>1731</v>
      </c>
      <c r="B1792" s="138">
        <f>'Tax Sched 23'!F4</f>
        <v>4750518</v>
      </c>
      <c r="C1792" s="2" t="s">
        <v>594</v>
      </c>
      <c r="D1792" s="2" t="str">
        <f t="shared" si="27"/>
        <v>Error?</v>
      </c>
    </row>
    <row r="1793" spans="1:4" x14ac:dyDescent="0.2">
      <c r="A1793" s="5">
        <v>1732</v>
      </c>
      <c r="B1793" s="138">
        <f>'Tax Sched 23'!F5</f>
        <v>747273</v>
      </c>
      <c r="C1793" s="2" t="s">
        <v>594</v>
      </c>
      <c r="D1793" s="2" t="str">
        <f t="shared" si="27"/>
        <v>Error?</v>
      </c>
    </row>
    <row r="1794" spans="1:4" x14ac:dyDescent="0.2">
      <c r="A1794" s="5">
        <v>1733</v>
      </c>
      <c r="B1794" s="138">
        <f>'Tax Sched 23'!F6</f>
        <v>484408</v>
      </c>
      <c r="C1794" s="2" t="s">
        <v>594</v>
      </c>
      <c r="D1794" s="2" t="str">
        <f t="shared" si="27"/>
        <v>Error?</v>
      </c>
    </row>
    <row r="1795" spans="1:4" x14ac:dyDescent="0.2">
      <c r="A1795" s="5">
        <v>1734</v>
      </c>
      <c r="B1795" s="138">
        <f>'Tax Sched 23'!F7</f>
        <v>24333</v>
      </c>
      <c r="C1795" s="2" t="s">
        <v>594</v>
      </c>
      <c r="D1795" s="2" t="str">
        <f t="shared" si="27"/>
        <v>Error?</v>
      </c>
    </row>
    <row r="1796" spans="1:4" x14ac:dyDescent="0.2">
      <c r="A1796" s="5">
        <v>1735</v>
      </c>
      <c r="B1796" s="138">
        <f>'Tax Sched 23'!F8</f>
        <v>72627</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24333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6103492</v>
      </c>
      <c r="C1807" s="2" t="s">
        <v>594</v>
      </c>
      <c r="D1807" s="2" t="str">
        <f t="shared" si="27"/>
        <v>Error?</v>
      </c>
    </row>
    <row r="1808" spans="1:4" x14ac:dyDescent="0.2">
      <c r="A1808" s="5">
        <v>1747</v>
      </c>
      <c r="B1808" s="138">
        <f>'Tax Sched 23'!E4</f>
        <v>10009607</v>
      </c>
      <c r="D1808" s="2" t="str">
        <f t="shared" si="27"/>
        <v>Error?</v>
      </c>
    </row>
    <row r="1809" spans="1:4" x14ac:dyDescent="0.2">
      <c r="A1809" s="5">
        <v>1748</v>
      </c>
      <c r="B1809" s="138">
        <f>'Tax Sched 23'!E5</f>
        <v>1574545</v>
      </c>
      <c r="D1809" s="2" t="str">
        <f t="shared" si="27"/>
        <v>Error?</v>
      </c>
    </row>
    <row r="1810" spans="1:4" x14ac:dyDescent="0.2">
      <c r="A1810" s="5">
        <v>1749</v>
      </c>
      <c r="B1810" s="138">
        <f>'Tax Sched 23'!E6</f>
        <v>1020674</v>
      </c>
      <c r="D1810" s="2" t="str">
        <f t="shared" si="27"/>
        <v>Error?</v>
      </c>
    </row>
    <row r="1811" spans="1:4" x14ac:dyDescent="0.2">
      <c r="A1811" s="5">
        <v>1750</v>
      </c>
      <c r="B1811" s="138">
        <f>'Tax Sched 23'!E7</f>
        <v>51255</v>
      </c>
      <c r="D1811" s="2" t="str">
        <f t="shared" si="27"/>
        <v>Error?</v>
      </c>
    </row>
    <row r="1812" spans="1:4" x14ac:dyDescent="0.2">
      <c r="A1812" s="5">
        <v>1751</v>
      </c>
      <c r="B1812" s="138">
        <f>'Tax Sched 23'!E8</f>
        <v>153029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51255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12860365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7075000</v>
      </c>
      <c r="C1939" s="2" t="s">
        <v>594</v>
      </c>
      <c r="D1939" s="2" t="str">
        <f t="shared" si="29"/>
        <v>Error?</v>
      </c>
    </row>
    <row r="1940" spans="1:5" x14ac:dyDescent="0.2">
      <c r="A1940" s="5">
        <v>1879</v>
      </c>
      <c r="B1940" s="138">
        <f>'Short-Term Long-Term Debt 24'!F49</f>
        <v>3200000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26342</v>
      </c>
      <c r="D2008" s="2" t="str">
        <f t="shared" si="30"/>
        <v>Error?</v>
      </c>
    </row>
    <row r="2009" spans="1:4" x14ac:dyDescent="0.2">
      <c r="A2009" s="5">
        <v>1948</v>
      </c>
      <c r="B2009" s="138">
        <f>'Cap Outlay Deprec 26'!C8</f>
        <v>16211996</v>
      </c>
      <c r="D2009" s="2" t="str">
        <f t="shared" si="30"/>
        <v>Error?</v>
      </c>
    </row>
    <row r="2010" spans="1:4" x14ac:dyDescent="0.2">
      <c r="A2010" s="5">
        <v>1949</v>
      </c>
      <c r="B2010" s="138">
        <f>'Cap Outlay Deprec 26'!C10</f>
        <v>413454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1585032</v>
      </c>
      <c r="D2012" s="2" t="str">
        <f t="shared" si="30"/>
        <v>Error?</v>
      </c>
    </row>
    <row r="2013" spans="1:4" x14ac:dyDescent="0.2">
      <c r="A2013" s="5">
        <v>1952</v>
      </c>
      <c r="B2013" s="138">
        <f>'Cap Outlay Deprec 26'!C16</f>
        <v>18236824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28005</v>
      </c>
      <c r="D2015" s="2" t="str">
        <f t="shared" si="30"/>
        <v>Error?</v>
      </c>
    </row>
    <row r="2016" spans="1:4" x14ac:dyDescent="0.2">
      <c r="A2016" s="5">
        <v>1955</v>
      </c>
      <c r="B2016" s="138">
        <f>'Cap Outlay Deprec 26'!D10</f>
        <v>25625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219638</v>
      </c>
      <c r="D2018" s="2" t="str">
        <f t="shared" si="30"/>
        <v>Error?</v>
      </c>
    </row>
    <row r="2019" spans="1:4" x14ac:dyDescent="0.2">
      <c r="A2019" s="5">
        <v>1958</v>
      </c>
      <c r="B2019" s="138">
        <f>'Cap Outlay Deprec 26'!D16</f>
        <v>273268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26342</v>
      </c>
      <c r="C2026" s="2" t="s">
        <v>594</v>
      </c>
      <c r="D2026" s="2" t="str">
        <f t="shared" si="30"/>
        <v>Error?</v>
      </c>
    </row>
    <row r="2027" spans="1:4" x14ac:dyDescent="0.2">
      <c r="A2027" s="5">
        <v>1966</v>
      </c>
      <c r="B2027" s="138">
        <f>'Cap Outlay Deprec 26'!F8</f>
        <v>16240001</v>
      </c>
      <c r="C2027" s="2" t="s">
        <v>594</v>
      </c>
      <c r="D2027" s="2" t="str">
        <f t="shared" si="30"/>
        <v>Error?</v>
      </c>
    </row>
    <row r="2028" spans="1:4" x14ac:dyDescent="0.2">
      <c r="A2028" s="5">
        <v>1967</v>
      </c>
      <c r="B2028" s="138">
        <f>'Cap Outlay Deprec 26'!F10</f>
        <v>439079</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1804670</v>
      </c>
      <c r="C2030" s="2" t="s">
        <v>594</v>
      </c>
      <c r="D2030" s="2" t="str">
        <f t="shared" si="30"/>
        <v>Error?</v>
      </c>
    </row>
    <row r="2031" spans="1:4" x14ac:dyDescent="0.2">
      <c r="A2031" s="5">
        <v>1970</v>
      </c>
      <c r="B2031" s="138">
        <f>'Cap Outlay Deprec 26'!F16</f>
        <v>18510092</v>
      </c>
      <c r="C2031" s="2" t="s">
        <v>594</v>
      </c>
      <c r="D2031" s="2" t="str">
        <f t="shared" si="30"/>
        <v>Error?</v>
      </c>
    </row>
    <row r="2032" spans="1:4" x14ac:dyDescent="0.2">
      <c r="A2032" s="10">
        <v>1971</v>
      </c>
      <c r="D2032" s="2" t="str">
        <f t="shared" si="30"/>
        <v>OK</v>
      </c>
    </row>
    <row r="2033" spans="1:4" x14ac:dyDescent="0.2">
      <c r="A2033" s="5">
        <v>1972</v>
      </c>
      <c r="B2033" s="138">
        <f>'Cap Outlay Deprec 26'!H8</f>
        <v>6275481</v>
      </c>
      <c r="D2033" s="2" t="str">
        <f t="shared" si="30"/>
        <v>Error?</v>
      </c>
    </row>
    <row r="2034" spans="1:4" x14ac:dyDescent="0.2">
      <c r="A2034" s="5">
        <v>1973</v>
      </c>
      <c r="B2034" s="138">
        <f>'Cap Outlay Deprec 26'!H10</f>
        <v>228434</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1189166</v>
      </c>
      <c r="D2036" s="2" t="str">
        <f t="shared" si="30"/>
        <v>Error?</v>
      </c>
    </row>
    <row r="2037" spans="1:4" x14ac:dyDescent="0.2">
      <c r="A2037" s="5">
        <v>1976</v>
      </c>
      <c r="B2037" s="138">
        <f>'Cap Outlay Deprec 26'!H16</f>
        <v>7693081</v>
      </c>
      <c r="C2037" s="2" t="s">
        <v>594</v>
      </c>
      <c r="D2037" s="2" t="str">
        <f t="shared" si="30"/>
        <v>Error?</v>
      </c>
    </row>
    <row r="2038" spans="1:4" x14ac:dyDescent="0.2">
      <c r="A2038" s="10">
        <v>1977</v>
      </c>
      <c r="D2038" s="2" t="str">
        <f t="shared" si="30"/>
        <v>OK</v>
      </c>
    </row>
    <row r="2039" spans="1:4" x14ac:dyDescent="0.2">
      <c r="A2039" s="5">
        <v>1978</v>
      </c>
      <c r="B2039" s="138">
        <f>'Cap Outlay Deprec 26'!I8</f>
        <v>385792</v>
      </c>
      <c r="D2039" s="2" t="str">
        <f t="shared" si="30"/>
        <v>Error?</v>
      </c>
    </row>
    <row r="2040" spans="1:4" x14ac:dyDescent="0.2">
      <c r="A2040" s="5">
        <v>1979</v>
      </c>
      <c r="B2040" s="138">
        <f>'Cap Outlay Deprec 26'!I10</f>
        <v>14687</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132291</v>
      </c>
      <c r="D2042" s="2" t="str">
        <f t="shared" si="30"/>
        <v>Error?</v>
      </c>
    </row>
    <row r="2043" spans="1:4" x14ac:dyDescent="0.2">
      <c r="A2043" s="5">
        <v>1982</v>
      </c>
      <c r="B2043" s="138">
        <f>'Cap Outlay Deprec 26'!I16</f>
        <v>532770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6661273</v>
      </c>
      <c r="C2051" s="2" t="s">
        <v>594</v>
      </c>
      <c r="D2051" s="2" t="str">
        <f t="shared" si="31"/>
        <v>Error?</v>
      </c>
    </row>
    <row r="2052" spans="1:4" x14ac:dyDescent="0.2">
      <c r="A2052" s="5">
        <v>1991</v>
      </c>
      <c r="B2052" s="138">
        <f>'Cap Outlay Deprec 26'!K10</f>
        <v>243121</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1321457</v>
      </c>
      <c r="C2054" s="2" t="s">
        <v>594</v>
      </c>
      <c r="D2054" s="2" t="str">
        <f t="shared" si="31"/>
        <v>Error?</v>
      </c>
    </row>
    <row r="2055" spans="1:4" x14ac:dyDescent="0.2">
      <c r="A2055" s="5">
        <v>1994</v>
      </c>
      <c r="B2055" s="138">
        <f>'Cap Outlay Deprec 26'!K16</f>
        <v>8225851</v>
      </c>
      <c r="C2055" s="2" t="s">
        <v>594</v>
      </c>
      <c r="D2055" s="2" t="str">
        <f t="shared" si="31"/>
        <v>Error?</v>
      </c>
    </row>
    <row r="2056" spans="1:4" x14ac:dyDescent="0.2">
      <c r="A2056" s="5">
        <v>1995</v>
      </c>
      <c r="B2056" s="138">
        <f>'Cap Outlay Deprec 26'!L5</f>
        <v>26342</v>
      </c>
      <c r="C2056" s="2" t="s">
        <v>594</v>
      </c>
      <c r="D2056" s="2" t="str">
        <f t="shared" si="31"/>
        <v>Error?</v>
      </c>
    </row>
    <row r="2057" spans="1:4" x14ac:dyDescent="0.2">
      <c r="A2057" s="5">
        <v>1996</v>
      </c>
      <c r="B2057" s="138">
        <f>'Cap Outlay Deprec 26'!L8</f>
        <v>9578728</v>
      </c>
      <c r="C2057" s="2" t="s">
        <v>594</v>
      </c>
      <c r="D2057" s="2" t="str">
        <f t="shared" si="31"/>
        <v>Error?</v>
      </c>
    </row>
    <row r="2058" spans="1:4" x14ac:dyDescent="0.2">
      <c r="A2058" s="5">
        <v>1997</v>
      </c>
      <c r="B2058" s="138">
        <f>'Cap Outlay Deprec 26'!L10</f>
        <v>195958</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483213</v>
      </c>
      <c r="C2060" s="2" t="s">
        <v>594</v>
      </c>
      <c r="D2060" s="2" t="str">
        <f t="shared" si="31"/>
        <v>Error?</v>
      </c>
    </row>
    <row r="2061" spans="1:4" x14ac:dyDescent="0.2">
      <c r="A2061" s="5">
        <v>2000</v>
      </c>
      <c r="B2061" s="138">
        <f>'Cap Outlay Deprec 26'!L16</f>
        <v>10284241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368810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368810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5785905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120302</v>
      </c>
      <c r="D2475" s="2" t="str">
        <f t="shared" si="37"/>
        <v>Error?</v>
      </c>
    </row>
    <row r="2476" spans="1:4" x14ac:dyDescent="0.2">
      <c r="A2476" s="10">
        <v>2415</v>
      </c>
      <c r="D2476" s="2" t="str">
        <f t="shared" si="37"/>
        <v>OK</v>
      </c>
    </row>
    <row r="2477" spans="1:4" x14ac:dyDescent="0.2">
      <c r="A2477" s="5">
        <v>2416</v>
      </c>
      <c r="B2477" s="138">
        <f>'Assets-Liab 5-6'!G38</f>
        <v>480580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1083117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10205834</v>
      </c>
      <c r="C2551" s="2" t="s">
        <v>594</v>
      </c>
      <c r="D2551" s="2" t="str">
        <f t="shared" si="38"/>
        <v>Error?</v>
      </c>
    </row>
    <row r="2552" spans="1:4" x14ac:dyDescent="0.2">
      <c r="A2552" s="10">
        <v>2491</v>
      </c>
      <c r="D2552" s="2" t="str">
        <f t="shared" si="38"/>
        <v>OK</v>
      </c>
    </row>
    <row r="2553" spans="1:4" x14ac:dyDescent="0.2">
      <c r="A2553" s="5">
        <v>2492</v>
      </c>
      <c r="B2553" s="138">
        <f>'Acct Summary 7-8'!C6</f>
        <v>393322</v>
      </c>
      <c r="C2553" s="2" t="s">
        <v>594</v>
      </c>
      <c r="D2553" s="2" t="str">
        <f t="shared" si="38"/>
        <v>Error?</v>
      </c>
    </row>
    <row r="2554" spans="1:4" x14ac:dyDescent="0.2">
      <c r="A2554" s="5">
        <v>2493</v>
      </c>
      <c r="B2554" s="138">
        <f>'Acct Summary 7-8'!C7</f>
        <v>100950</v>
      </c>
      <c r="C2554" s="2" t="s">
        <v>594</v>
      </c>
      <c r="D2554" s="2" t="str">
        <f t="shared" si="38"/>
        <v>Error?</v>
      </c>
    </row>
    <row r="2555" spans="1:4" x14ac:dyDescent="0.2">
      <c r="A2555" s="5">
        <v>2494</v>
      </c>
      <c r="B2555" s="138">
        <f>'Acct Summary 7-8'!C8</f>
        <v>10700106</v>
      </c>
      <c r="C2555" s="2" t="s">
        <v>594</v>
      </c>
      <c r="D2555" s="2" t="str">
        <f t="shared" si="38"/>
        <v>Error?</v>
      </c>
    </row>
    <row r="2556" spans="1:4" x14ac:dyDescent="0.2">
      <c r="A2556" s="5">
        <v>2495</v>
      </c>
      <c r="B2556" s="138">
        <f>'Acct Summary 7-8'!C12</f>
        <v>7108564</v>
      </c>
      <c r="C2556" s="2" t="s">
        <v>594</v>
      </c>
      <c r="D2556" s="2" t="str">
        <f t="shared" si="38"/>
        <v>Error?</v>
      </c>
    </row>
    <row r="2557" spans="1:4" x14ac:dyDescent="0.2">
      <c r="A2557" s="5">
        <v>2496</v>
      </c>
      <c r="B2557" s="138">
        <f>'Acct Summary 7-8'!C13</f>
        <v>3483788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368810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10961162</v>
      </c>
      <c r="C2561" s="2" t="s">
        <v>594</v>
      </c>
      <c r="D2561" s="2" t="str">
        <f t="shared" si="39"/>
        <v>Error?</v>
      </c>
    </row>
    <row r="2562" spans="1:4" x14ac:dyDescent="0.2">
      <c r="A2562" s="5">
        <v>2501</v>
      </c>
      <c r="B2562" s="138">
        <f>'Acct Summary 7-8'!C20</f>
        <v>-261056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1526448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1526448</v>
      </c>
      <c r="C2568" s="2" t="s">
        <v>594</v>
      </c>
      <c r="D2568" s="2" t="str">
        <f t="shared" si="39"/>
        <v>Error?</v>
      </c>
    </row>
    <row r="2569" spans="1:4" x14ac:dyDescent="0.2">
      <c r="A2569" s="5">
        <v>2508</v>
      </c>
      <c r="B2569" s="138">
        <f>'Acct Summary 7-8'!D13</f>
        <v>1066462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1066462</v>
      </c>
      <c r="C2573" s="2" t="s">
        <v>594</v>
      </c>
      <c r="D2573" s="2" t="str">
        <f t="shared" si="39"/>
        <v>Error?</v>
      </c>
    </row>
    <row r="2574" spans="1:4" x14ac:dyDescent="0.2">
      <c r="A2574" s="5">
        <v>2513</v>
      </c>
      <c r="B2574" s="138">
        <f>'Acct Summary 7-8'!D20</f>
        <v>459986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50033</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50033</v>
      </c>
      <c r="C2595" s="2" t="s">
        <v>594</v>
      </c>
      <c r="D2595" s="2" t="str">
        <f t="shared" si="39"/>
        <v>Error?</v>
      </c>
    </row>
    <row r="2596" spans="1:4" x14ac:dyDescent="0.2">
      <c r="A2596" s="5">
        <v>2535</v>
      </c>
      <c r="B2596" s="138">
        <f>'Acct Summary 7-8'!F13</f>
        <v>73662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73662</v>
      </c>
      <c r="C2600" s="2" t="s">
        <v>594</v>
      </c>
      <c r="D2600" s="2" t="str">
        <f t="shared" si="39"/>
        <v>Error?</v>
      </c>
    </row>
    <row r="2601" spans="1:4" x14ac:dyDescent="0.2">
      <c r="A2601" s="5">
        <v>2540</v>
      </c>
      <c r="B2601" s="138">
        <f>'Acct Summary 7-8'!F20</f>
        <v>-23629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209961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209961</v>
      </c>
      <c r="C2606" s="2" t="s">
        <v>594</v>
      </c>
      <c r="D2606" s="2" t="str">
        <f t="shared" si="39"/>
        <v>Error?</v>
      </c>
    </row>
    <row r="2607" spans="1:4" x14ac:dyDescent="0.2">
      <c r="A2607" s="5">
        <v>2546</v>
      </c>
      <c r="B2607" s="138">
        <f>'Acct Summary 7-8'!G12</f>
        <v>116708</v>
      </c>
      <c r="C2607" s="2" t="s">
        <v>594</v>
      </c>
      <c r="D2607" s="2" t="str">
        <f t="shared" si="39"/>
        <v>Error?</v>
      </c>
    </row>
    <row r="2608" spans="1:4" x14ac:dyDescent="0.2">
      <c r="A2608" s="5">
        <v>2547</v>
      </c>
      <c r="B2608" s="138">
        <f>'Acct Summary 7-8'!G13</f>
        <v>100498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217206</v>
      </c>
      <c r="C2612" s="2" t="s">
        <v>594</v>
      </c>
      <c r="D2612" s="2" t="str">
        <f t="shared" si="39"/>
        <v>Error?</v>
      </c>
    </row>
    <row r="2613" spans="1:4" x14ac:dyDescent="0.2">
      <c r="A2613" s="5">
        <v>2552</v>
      </c>
      <c r="B2613" s="138">
        <f>'Acct Summary 7-8'!G20</f>
        <v>-7245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1010296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1010296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935491</v>
      </c>
      <c r="C2634" s="2" t="s">
        <v>594</v>
      </c>
      <c r="D2634" s="2" t="str">
        <f t="shared" si="40"/>
        <v>Error?</v>
      </c>
    </row>
    <row r="2635" spans="1:4" x14ac:dyDescent="0.2">
      <c r="A2635" s="5">
        <v>2574</v>
      </c>
      <c r="B2635" s="138">
        <f>'Acct Summary 7-8'!E17</f>
        <v>935491</v>
      </c>
      <c r="C2635" s="2" t="s">
        <v>594</v>
      </c>
      <c r="D2635" s="2" t="str">
        <f t="shared" si="40"/>
        <v>Error?</v>
      </c>
    </row>
    <row r="2636" spans="1:4" x14ac:dyDescent="0.2">
      <c r="A2636" s="5">
        <v>2575</v>
      </c>
      <c r="B2636" s="138">
        <f>'Acct Summary 7-8'!E20</f>
        <v>74805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127678</v>
      </c>
      <c r="D2718" s="2" t="str">
        <f t="shared" si="41"/>
        <v>Error?</v>
      </c>
    </row>
    <row r="2719" spans="1:4" x14ac:dyDescent="0.2">
      <c r="A2719" s="5">
        <v>2658</v>
      </c>
      <c r="B2719" s="138">
        <f>'Expenditures 15-22'!D51</f>
        <v>46972</v>
      </c>
      <c r="D2719" s="2" t="str">
        <f t="shared" si="41"/>
        <v>Error?</v>
      </c>
    </row>
    <row r="2720" spans="1:4" x14ac:dyDescent="0.2">
      <c r="A2720" s="5">
        <v>2659</v>
      </c>
      <c r="B2720" s="138">
        <f>'Expenditures 15-22'!E51</f>
        <v>91256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14748</v>
      </c>
      <c r="D2723" s="2" t="str">
        <f t="shared" si="41"/>
        <v>Error?</v>
      </c>
    </row>
    <row r="2724" spans="1:4" x14ac:dyDescent="0.2">
      <c r="A2724" s="5">
        <v>2663</v>
      </c>
      <c r="B2724" s="138">
        <f>'Expenditures 15-22'!K51</f>
        <v>280654</v>
      </c>
      <c r="C2724" s="2" t="s">
        <v>594</v>
      </c>
      <c r="D2724" s="2" t="str">
        <f t="shared" si="41"/>
        <v>Error?</v>
      </c>
    </row>
    <row r="2725" spans="1:4" x14ac:dyDescent="0.2">
      <c r="A2725" s="5">
        <v>2664</v>
      </c>
      <c r="B2725" s="138">
        <f>'Expenditures 15-22'!D247</f>
        <v>2042</v>
      </c>
      <c r="D2725" s="2" t="str">
        <f t="shared" si="41"/>
        <v>Error?</v>
      </c>
    </row>
    <row r="2726" spans="1:4" x14ac:dyDescent="0.2">
      <c r="A2726" s="5">
        <v>2665</v>
      </c>
      <c r="B2726" s="138">
        <f>'Expenditures 15-22'!K247</f>
        <v>2042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6504399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166707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6504399</v>
      </c>
      <c r="D2912" s="2" t="str">
        <f t="shared" si="44"/>
        <v>Error?</v>
      </c>
    </row>
    <row r="2913" spans="1:4" x14ac:dyDescent="0.2">
      <c r="A2913" s="5">
        <v>2852</v>
      </c>
      <c r="B2913" s="138">
        <f>'Assets-Liab 5-6'!I41</f>
        <v>6504399</v>
      </c>
      <c r="C2913" s="2" t="s">
        <v>594</v>
      </c>
      <c r="D2913" s="2" t="str">
        <f t="shared" si="44"/>
        <v>Error?</v>
      </c>
    </row>
    <row r="2914" spans="1:4" x14ac:dyDescent="0.2">
      <c r="A2914" s="5">
        <v>2853</v>
      </c>
      <c r="B2914" s="138">
        <f>'Assets-Liab 5-6'!L33</f>
        <v>166707</v>
      </c>
      <c r="D2914" s="2" t="str">
        <f t="shared" si="44"/>
        <v>Error?</v>
      </c>
    </row>
    <row r="2915" spans="1:4" x14ac:dyDescent="0.2">
      <c r="A2915" s="10">
        <v>2854</v>
      </c>
      <c r="D2915" s="2" t="str">
        <f t="shared" si="44"/>
        <v>OK</v>
      </c>
    </row>
    <row r="2916" spans="1:4" x14ac:dyDescent="0.2">
      <c r="A2916" s="5">
        <v>2855</v>
      </c>
      <c r="B2916" s="138">
        <f>'Assets-Liab 5-6'!L34</f>
        <v>166707</v>
      </c>
      <c r="C2916" s="2" t="s">
        <v>594</v>
      </c>
      <c r="D2916" s="2" t="str">
        <f t="shared" si="44"/>
        <v>Error?</v>
      </c>
    </row>
    <row r="2917" spans="1:4" x14ac:dyDescent="0.2">
      <c r="A2917" s="5">
        <v>2856</v>
      </c>
      <c r="B2917" s="138">
        <f>'Assets-Liab 5-6'!L41</f>
        <v>166707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17792</v>
      </c>
      <c r="D2955" s="2" t="str">
        <f t="shared" si="45"/>
        <v>Error?</v>
      </c>
    </row>
    <row r="2956" spans="1:4" x14ac:dyDescent="0.2">
      <c r="A2956" s="5">
        <v>2895</v>
      </c>
      <c r="B2956" s="138">
        <f>'Expenditures 15-22'!H79</f>
        <v>351018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17792</v>
      </c>
      <c r="C2973" s="2" t="s">
        <v>594</v>
      </c>
      <c r="D2973" s="2" t="str">
        <f t="shared" si="45"/>
        <v>Error?</v>
      </c>
    </row>
    <row r="2974" spans="1:4" x14ac:dyDescent="0.2">
      <c r="A2974" s="5">
        <v>2913</v>
      </c>
      <c r="B2974" s="138">
        <f>'Expenditures 15-22'!K79</f>
        <v>351018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64678</v>
      </c>
      <c r="D3055" s="2" t="str">
        <f t="shared" si="46"/>
        <v>Error?</v>
      </c>
    </row>
    <row r="3056" spans="1:4" x14ac:dyDescent="0.2">
      <c r="A3056" s="5">
        <v>2995</v>
      </c>
      <c r="B3056" s="138">
        <f>'Expenditures 15-22'!D10</f>
        <v>7989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72667</v>
      </c>
      <c r="C3062" s="2" t="s">
        <v>594</v>
      </c>
      <c r="D3062" s="2" t="str">
        <f t="shared" si="46"/>
        <v>Error?</v>
      </c>
    </row>
    <row r="3063" spans="1:4" x14ac:dyDescent="0.2">
      <c r="A3063" s="10">
        <v>3002</v>
      </c>
      <c r="D3063" s="2" t="str">
        <f t="shared" si="46"/>
        <v>OK</v>
      </c>
    </row>
    <row r="3064" spans="1:4" x14ac:dyDescent="0.2">
      <c r="A3064" s="5">
        <v>3003</v>
      </c>
      <c r="B3064" s="138">
        <f>'Expenditures 15-22'!D219</f>
        <v>935</v>
      </c>
      <c r="D3064" s="2" t="str">
        <f t="shared" si="46"/>
        <v>Error?</v>
      </c>
    </row>
    <row r="3065" spans="1:4" x14ac:dyDescent="0.2">
      <c r="A3065" s="5">
        <v>3004</v>
      </c>
      <c r="B3065" s="138">
        <f>'Expenditures 15-22'!K219</f>
        <v>935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30865</v>
      </c>
      <c r="C3225" s="2" t="s">
        <v>594</v>
      </c>
      <c r="D3225" s="2" t="str">
        <f t="shared" si="49"/>
        <v>Error?</v>
      </c>
    </row>
    <row r="3226" spans="1:4" x14ac:dyDescent="0.2">
      <c r="A3226" s="5">
        <v>3165</v>
      </c>
      <c r="B3226" s="138">
        <f>'Acct Summary 7-8'!I8</f>
        <v>30865</v>
      </c>
      <c r="C3226" s="2" t="s">
        <v>594</v>
      </c>
      <c r="D3226" s="2" t="str">
        <f t="shared" si="49"/>
        <v>Error?</v>
      </c>
    </row>
    <row r="3227" spans="1:4" x14ac:dyDescent="0.2">
      <c r="A3227" s="5">
        <v>3166</v>
      </c>
      <c r="B3227" s="138">
        <f>'Acct Summary 7-8'!I20</f>
        <v>30865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-261056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459986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-23629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74805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3499536</v>
      </c>
      <c r="C3317" s="2" t="s">
        <v>594</v>
      </c>
      <c r="D3317" s="2" t="str">
        <f t="shared" si="50"/>
        <v>Error?</v>
      </c>
    </row>
    <row r="3318" spans="1:4" x14ac:dyDescent="0.2">
      <c r="A3318" s="5">
        <v>3257</v>
      </c>
      <c r="B3318" s="138">
        <f>'Acct Summary 7-8'!I76</f>
        <v>66150</v>
      </c>
      <c r="C3318" s="2" t="s">
        <v>594</v>
      </c>
      <c r="D3318" s="2" t="str">
        <f t="shared" si="50"/>
        <v>Error?</v>
      </c>
    </row>
    <row r="3319" spans="1:4" x14ac:dyDescent="0.2">
      <c r="A3319" s="5">
        <v>3258</v>
      </c>
      <c r="B3319" s="138">
        <f>'Acct Summary 7-8'!I77</f>
        <v>3433386</v>
      </c>
      <c r="C3319" s="2" t="s">
        <v>594</v>
      </c>
      <c r="D3319" s="2" t="str">
        <f t="shared" si="50"/>
        <v>Error?</v>
      </c>
    </row>
    <row r="3320" spans="1:4" x14ac:dyDescent="0.2">
      <c r="A3320" s="5">
        <v>3259</v>
      </c>
      <c r="B3320" s="138">
        <f>'Acct Summary 7-8'!I78</f>
        <v>3464251</v>
      </c>
      <c r="C3320" s="2" t="s">
        <v>594</v>
      </c>
      <c r="D3320" s="2" t="str">
        <f t="shared" si="50"/>
        <v>Error?</v>
      </c>
    </row>
    <row r="3321" spans="1:4" x14ac:dyDescent="0.2">
      <c r="A3321" s="5">
        <v>3260</v>
      </c>
      <c r="B3321" s="138">
        <f>'Acct Summary 7-8'!I79</f>
        <v>3040148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6504399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1033198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242138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49991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27105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1352432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72080</v>
      </c>
      <c r="D3387" s="2" t="str">
        <f t="shared" si="51"/>
        <v>Error?</v>
      </c>
    </row>
    <row r="3388" spans="1:4" x14ac:dyDescent="0.2">
      <c r="A3388" s="5">
        <v>3327</v>
      </c>
      <c r="B3388" s="138">
        <f>'Expenditures 15-22'!D217</f>
        <v>39971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72080</v>
      </c>
      <c r="C3390" s="2" t="s">
        <v>594</v>
      </c>
      <c r="D3390" s="2" t="str">
        <f t="shared" si="51"/>
        <v>Error?</v>
      </c>
    </row>
    <row r="3391" spans="1:4" x14ac:dyDescent="0.2">
      <c r="A3391" s="5">
        <v>3330</v>
      </c>
      <c r="B3391" s="138">
        <f>'Expenditures 15-22'!K217</f>
        <v>39971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9001498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5785905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1083117</v>
      </c>
      <c r="D3417" s="2" t="str">
        <f t="shared" si="52"/>
        <v>Error?</v>
      </c>
    </row>
    <row r="3418" spans="1:4" x14ac:dyDescent="0.2">
      <c r="A3418" s="10">
        <v>3357</v>
      </c>
      <c r="D3418" s="2" t="str">
        <f t="shared" si="52"/>
        <v>OK</v>
      </c>
    </row>
    <row r="3419" spans="1:4" x14ac:dyDescent="0.2">
      <c r="A3419" s="5">
        <v>3358</v>
      </c>
      <c r="B3419" s="138">
        <f>'Assets-Liab 5-6'!F4</f>
        <v>120302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513828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6504399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166707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4656050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15356156</v>
      </c>
      <c r="C4122" s="2" t="s">
        <v>594</v>
      </c>
      <c r="D4122" s="2" t="str">
        <f t="shared" si="63"/>
        <v>Error?</v>
      </c>
    </row>
    <row r="4123" spans="1:4" x14ac:dyDescent="0.2">
      <c r="A4123" s="5">
        <v>4062</v>
      </c>
      <c r="B4123" s="138">
        <f>'Acct Summary 7-8'!D10</f>
        <v>1526448</v>
      </c>
      <c r="C4123" s="2" t="s">
        <v>594</v>
      </c>
      <c r="D4123" s="2" t="str">
        <f t="shared" si="63"/>
        <v>Error?</v>
      </c>
    </row>
    <row r="4124" spans="1:4" x14ac:dyDescent="0.2">
      <c r="A4124" s="5">
        <v>4063</v>
      </c>
      <c r="B4124" s="138">
        <f>'Acct Summary 7-8'!E10</f>
        <v>1010296</v>
      </c>
      <c r="C4124" s="2" t="s">
        <v>594</v>
      </c>
      <c r="D4124" s="2" t="str">
        <f t="shared" si="63"/>
        <v>Error?</v>
      </c>
    </row>
    <row r="4125" spans="1:4" x14ac:dyDescent="0.2">
      <c r="A4125" s="5">
        <v>4064</v>
      </c>
      <c r="B4125" s="138">
        <f>'Acct Summary 7-8'!F10</f>
        <v>50033</v>
      </c>
      <c r="C4125" s="2" t="s">
        <v>594</v>
      </c>
      <c r="D4125" s="2" t="str">
        <f t="shared" si="63"/>
        <v>Error?</v>
      </c>
    </row>
    <row r="4126" spans="1:4" x14ac:dyDescent="0.2">
      <c r="A4126" s="5">
        <v>4065</v>
      </c>
      <c r="B4126" s="138">
        <f>'Acct Summary 7-8'!G10</f>
        <v>209961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30865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4656050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15617212</v>
      </c>
      <c r="C4136" s="2" t="s">
        <v>594</v>
      </c>
      <c r="D4136" s="2" t="str">
        <f t="shared" si="63"/>
        <v>Error?</v>
      </c>
    </row>
    <row r="4137" spans="1:4" x14ac:dyDescent="0.2">
      <c r="A4137" s="5">
        <v>4076</v>
      </c>
      <c r="B4137" s="138">
        <f>'Acct Summary 7-8'!D19</f>
        <v>1066462</v>
      </c>
      <c r="C4137" s="2" t="s">
        <v>594</v>
      </c>
      <c r="D4137" s="2" t="str">
        <f t="shared" si="63"/>
        <v>Error?</v>
      </c>
    </row>
    <row r="4138" spans="1:4" x14ac:dyDescent="0.2">
      <c r="A4138" s="5">
        <v>4077</v>
      </c>
      <c r="B4138" s="138">
        <f>'Acct Summary 7-8'!E19</f>
        <v>935491</v>
      </c>
      <c r="C4138" s="2" t="s">
        <v>594</v>
      </c>
      <c r="D4138" s="2" t="str">
        <f t="shared" si="63"/>
        <v>Error?</v>
      </c>
    </row>
    <row r="4139" spans="1:4" x14ac:dyDescent="0.2">
      <c r="A4139" s="5">
        <v>4078</v>
      </c>
      <c r="B4139" s="138">
        <f>'Acct Summary 7-8'!F19</f>
        <v>73662</v>
      </c>
      <c r="C4139" s="2" t="s">
        <v>594</v>
      </c>
      <c r="D4139" s="2" t="str">
        <f t="shared" si="63"/>
        <v>Error?</v>
      </c>
    </row>
    <row r="4140" spans="1:4" x14ac:dyDescent="0.2">
      <c r="A4140" s="5">
        <v>4079</v>
      </c>
      <c r="B4140" s="138">
        <f>'Acct Summary 7-8'!G19</f>
        <v>217206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9555000</v>
      </c>
      <c r="C4171" s="2" t="s">
        <v>594</v>
      </c>
      <c r="D4171" s="2" t="str">
        <f t="shared" si="64"/>
        <v>Error?</v>
      </c>
    </row>
    <row r="4172" spans="1:4" x14ac:dyDescent="0.2">
      <c r="A4172" s="5">
        <v>4111</v>
      </c>
      <c r="B4172" s="138">
        <f>'Short-Term Long-Term Debt 24'!J49</f>
        <v>8471883</v>
      </c>
      <c r="C4172" s="2" t="s">
        <v>594</v>
      </c>
      <c r="D4172" s="2" t="str">
        <f t="shared" si="64"/>
        <v>Error?</v>
      </c>
    </row>
    <row r="4173" spans="1:4" x14ac:dyDescent="0.2">
      <c r="A4173" s="5">
        <v>4112</v>
      </c>
      <c r="B4173" s="138">
        <f>'Short-Term Long-Term Debt 24'!H49</f>
        <v>720000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2714.5</v>
      </c>
      <c r="C4265" s="2" t="s">
        <v>594</v>
      </c>
      <c r="D4265" s="2" t="str">
        <f t="shared" si="65"/>
        <v>Error?</v>
      </c>
      <c r="E4265" s="128"/>
    </row>
    <row r="4266" spans="1:5" x14ac:dyDescent="0.2">
      <c r="A4266" s="12">
        <v>4205</v>
      </c>
      <c r="B4266" s="138">
        <f>('FP Info 3'!F10)*100000</f>
        <v>427.00000000000006</v>
      </c>
      <c r="C4266" s="2" t="s">
        <v>594</v>
      </c>
      <c r="D4266" s="2" t="str">
        <f t="shared" si="65"/>
        <v>Error?</v>
      </c>
      <c r="E4266" s="128"/>
    </row>
    <row r="4267" spans="1:5" x14ac:dyDescent="0.2">
      <c r="A4267" s="12">
        <v>4206</v>
      </c>
      <c r="B4267" s="138">
        <f>('FP Info 3'!H10)*100000</f>
        <v>13.899999999999999</v>
      </c>
      <c r="C4267" s="2" t="s">
        <v>594</v>
      </c>
      <c r="D4267" s="2" t="str">
        <f t="shared" si="65"/>
        <v>Error?</v>
      </c>
      <c r="E4267" s="128"/>
    </row>
    <row r="4268" spans="1:5" x14ac:dyDescent="0.2">
      <c r="A4268" s="12">
        <v>4207</v>
      </c>
      <c r="B4268" s="138">
        <f>('FP Info 3'!J10)*100000</f>
        <v>3155</v>
      </c>
      <c r="C4268" s="2" t="s">
        <v>594</v>
      </c>
      <c r="D4268" s="2" t="str">
        <f t="shared" si="65"/>
        <v>Error?</v>
      </c>
    </row>
    <row r="4269" spans="1:5" x14ac:dyDescent="0.2">
      <c r="A4269" s="12">
        <v>4208</v>
      </c>
      <c r="B4269" s="138">
        <f>'FP Info 3'!J16</f>
        <v>20559088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36802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368745908</v>
      </c>
      <c r="D4995" s="2" t="str">
        <f t="shared" si="77"/>
        <v>Error?</v>
      </c>
    </row>
    <row r="4996" spans="1:4" x14ac:dyDescent="0.2">
      <c r="A4996" s="12">
        <v>4935</v>
      </c>
      <c r="B4996" s="138">
        <f>'FP Info 3'!H31</f>
        <v>25443467.652000003</v>
      </c>
      <c r="D4996" s="2" t="str">
        <f t="shared" si="77"/>
        <v>Error?</v>
      </c>
    </row>
    <row r="4997" spans="1:4" x14ac:dyDescent="0.2">
      <c r="A4997" s="12">
        <v>4936</v>
      </c>
      <c r="B4997" s="138">
        <f>'FP Info 3'!H37</f>
        <v>9555000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9701699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9701699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153516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153516</v>
      </c>
      <c r="C5087" s="2" t="s">
        <v>594</v>
      </c>
      <c r="D5087" s="2" t="str">
        <f t="shared" si="78"/>
        <v>Error?</v>
      </c>
    </row>
    <row r="5088" spans="1:4" x14ac:dyDescent="0.2">
      <c r="A5088" s="5">
        <v>5027</v>
      </c>
      <c r="B5088" s="138">
        <f>'Revenues 9-14'!C65</f>
        <v>175151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175151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25245</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25245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41650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41650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1760</v>
      </c>
      <c r="D5113" s="2" t="str">
        <f t="shared" si="78"/>
        <v>Error?</v>
      </c>
    </row>
    <row r="5114" spans="1:4" x14ac:dyDescent="0.2">
      <c r="A5114" s="5">
        <v>5053</v>
      </c>
      <c r="B5114" s="138">
        <f>'Revenues 9-14'!C96</f>
        <v>25491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41928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2592</v>
      </c>
      <c r="D5119" s="2" t="str">
        <f t="shared" ref="D5119:D5182" si="79">IF(ISBLANK(B5119),"OK",IF(A5119-B5119=0,"OK","Error?"))</f>
        <v>Error?</v>
      </c>
    </row>
    <row r="5120" spans="1:4" x14ac:dyDescent="0.2">
      <c r="A5120" s="5">
        <v>5059</v>
      </c>
      <c r="B5120" s="138">
        <f>'Revenues 9-14'!C108</f>
        <v>108573</v>
      </c>
      <c r="C5120" s="2" t="s">
        <v>594</v>
      </c>
      <c r="D5120" s="2" t="str">
        <f t="shared" si="79"/>
        <v>Error?</v>
      </c>
    </row>
    <row r="5121" spans="1:4" x14ac:dyDescent="0.2">
      <c r="A5121" s="5">
        <v>5060</v>
      </c>
      <c r="B5121" s="138">
        <f>'Revenues 9-14'!C109</f>
        <v>10205834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273059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273059</v>
      </c>
      <c r="C5132" s="2" t="s">
        <v>594</v>
      </c>
      <c r="D5132" s="2" t="str">
        <f t="shared" si="79"/>
        <v>Error?</v>
      </c>
    </row>
    <row r="5133" spans="1:4" x14ac:dyDescent="0.2">
      <c r="A5133" s="5">
        <v>5072</v>
      </c>
      <c r="B5133" s="138">
        <f>'Revenues 9-14'!C124</f>
        <v>7320</v>
      </c>
      <c r="D5133" s="2" t="str">
        <f t="shared" si="79"/>
        <v>Error?</v>
      </c>
    </row>
    <row r="5134" spans="1:4" x14ac:dyDescent="0.2">
      <c r="A5134" s="5">
        <v>5073</v>
      </c>
      <c r="B5134" s="138">
        <f>'Revenues 9-14'!C125</f>
        <v>29378</v>
      </c>
      <c r="D5134" s="2" t="str">
        <f t="shared" si="79"/>
        <v>Error?</v>
      </c>
    </row>
    <row r="5135" spans="1:4" x14ac:dyDescent="0.2">
      <c r="A5135" s="5">
        <v>5074</v>
      </c>
      <c r="B5135" s="138">
        <f>'Revenues 9-14'!C126</f>
        <v>52275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88973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29790</v>
      </c>
      <c r="D5177" s="2" t="str">
        <f t="shared" si="79"/>
        <v>Error?</v>
      </c>
    </row>
    <row r="5178" spans="1:4" x14ac:dyDescent="0.2">
      <c r="A5178" s="5">
        <v>5117</v>
      </c>
      <c r="B5178" s="138">
        <f>'Revenues 9-14'!C154</f>
        <v>29790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120263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393322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24471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24471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71361</v>
      </c>
      <c r="D5278" s="2" t="str">
        <f t="shared" si="81"/>
        <v>Error?</v>
      </c>
    </row>
    <row r="5279" spans="1:4" x14ac:dyDescent="0.2">
      <c r="A5279" s="5">
        <v>5218</v>
      </c>
      <c r="B5279" s="138">
        <f>'Revenues 9-14'!C221</f>
        <v>2528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73889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100950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100950</v>
      </c>
      <c r="C5326" s="2" t="s">
        <v>594</v>
      </c>
      <c r="D5326" s="2" t="str">
        <f t="shared" si="82"/>
        <v>Error?</v>
      </c>
    </row>
    <row r="5327" spans="1:4" x14ac:dyDescent="0.2">
      <c r="A5327" s="5">
        <v>5266</v>
      </c>
      <c r="B5327" s="138">
        <f>'Revenues 9-14'!C275</f>
        <v>10700106</v>
      </c>
      <c r="C5327" s="2" t="s">
        <v>594</v>
      </c>
      <c r="D5327" s="2" t="str">
        <f t="shared" si="82"/>
        <v>Error?</v>
      </c>
    </row>
    <row r="5328" spans="1:4" x14ac:dyDescent="0.2">
      <c r="A5328" s="5">
        <v>5267</v>
      </c>
      <c r="B5328" s="138">
        <f>'Revenues 9-14'!D5</f>
        <v>1525448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1525448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1000</v>
      </c>
      <c r="D5354" s="2" t="str">
        <f t="shared" si="82"/>
        <v>Error?</v>
      </c>
    </row>
    <row r="5355" spans="1:4" x14ac:dyDescent="0.2">
      <c r="A5355" s="5">
        <v>5294</v>
      </c>
      <c r="B5355" s="138">
        <f>'Revenues 9-14'!D108</f>
        <v>1000</v>
      </c>
      <c r="C5355" s="2" t="s">
        <v>594</v>
      </c>
      <c r="D5355" s="2" t="str">
        <f t="shared" si="82"/>
        <v>Error?</v>
      </c>
    </row>
    <row r="5356" spans="1:4" x14ac:dyDescent="0.2">
      <c r="A5356" s="5">
        <v>5295</v>
      </c>
      <c r="B5356" s="138">
        <f>'Revenues 9-14'!D109</f>
        <v>1526448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1526448</v>
      </c>
      <c r="C5508" s="2" t="s">
        <v>594</v>
      </c>
      <c r="D5508" s="2" t="str">
        <f t="shared" si="85"/>
        <v>Error?</v>
      </c>
    </row>
    <row r="5509" spans="1:4" x14ac:dyDescent="0.2">
      <c r="A5509" s="5">
        <v>5448</v>
      </c>
      <c r="B5509" s="138">
        <f>'Revenues 9-14'!E5</f>
        <v>1010296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1010296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1010296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1010296</v>
      </c>
      <c r="C5552" s="2" t="s">
        <v>594</v>
      </c>
      <c r="D5552" s="2" t="str">
        <f t="shared" si="85"/>
        <v>Error?</v>
      </c>
    </row>
    <row r="5553" spans="1:4" x14ac:dyDescent="0.2">
      <c r="A5553" s="5">
        <v>5492</v>
      </c>
      <c r="B5553" s="138">
        <f>'Revenues 9-14'!F5</f>
        <v>50033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50033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50033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50033</v>
      </c>
      <c r="C5720" s="2" t="s">
        <v>594</v>
      </c>
      <c r="D5720" s="2" t="str">
        <f t="shared" si="88"/>
        <v>Error?</v>
      </c>
    </row>
    <row r="5721" spans="1:4" x14ac:dyDescent="0.2">
      <c r="A5721" s="5">
        <v>5660</v>
      </c>
      <c r="B5721" s="138">
        <f>'Revenues 9-14'!G5</f>
        <v>146626</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146626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63335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63335</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209961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30865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30865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30865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209961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30865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429.61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10908</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578216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642073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33248</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578216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578216</v>
      </c>
      <c r="D6216" s="2" t="str">
        <f t="shared" si="96"/>
        <v>Error?</v>
      </c>
      <c r="E6216" s="2" t="s">
        <v>199</v>
      </c>
    </row>
    <row r="6217" spans="1:5" x14ac:dyDescent="0.2">
      <c r="A6217">
        <v>6156</v>
      </c>
      <c r="B6217" s="138">
        <f>'Assets-Liab 5-6'!J4</f>
        <v>578216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46739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46739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46739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57326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57326</v>
      </c>
      <c r="D6229" s="2" t="str">
        <f t="shared" si="96"/>
        <v>Error?</v>
      </c>
      <c r="E6229" s="2" t="s">
        <v>199</v>
      </c>
    </row>
    <row r="6230" spans="1:5" x14ac:dyDescent="0.2">
      <c r="A6230">
        <v>6169</v>
      </c>
      <c r="B6230" s="138">
        <f>'Acct Summary 7-8'!J20</f>
        <v>-10587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66150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-10587</v>
      </c>
      <c r="D6263" s="2" t="str">
        <f t="shared" si="96"/>
        <v>Error?</v>
      </c>
      <c r="E6263" s="2" t="s">
        <v>199</v>
      </c>
    </row>
    <row r="6264" spans="1:5" x14ac:dyDescent="0.2">
      <c r="A6264">
        <v>6203</v>
      </c>
      <c r="B6264" s="138">
        <f>'Acct Summary 7-8'!J79</f>
        <v>588803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578216</v>
      </c>
      <c r="D6266" s="2" t="str">
        <f t="shared" si="96"/>
        <v>Error?</v>
      </c>
      <c r="E6266" s="2" t="s">
        <v>199</v>
      </c>
    </row>
    <row r="6267" spans="1:5" x14ac:dyDescent="0.2">
      <c r="A6267">
        <v>6206</v>
      </c>
      <c r="B6267" s="138">
        <f>'Acct Summary 7-8'!C82</f>
        <v>-261056</v>
      </c>
      <c r="D6267" s="2" t="str">
        <f t="shared" si="96"/>
        <v>Error?</v>
      </c>
      <c r="E6267" s="2" t="s">
        <v>199</v>
      </c>
    </row>
    <row r="6268" spans="1:5" x14ac:dyDescent="0.2">
      <c r="A6268">
        <v>6207</v>
      </c>
      <c r="B6268" s="138">
        <f>'Acct Summary 7-8'!D82</f>
        <v>459986</v>
      </c>
      <c r="D6268" s="2" t="str">
        <f t="shared" si="96"/>
        <v>Error?</v>
      </c>
      <c r="E6268" s="2" t="s">
        <v>199</v>
      </c>
    </row>
    <row r="6269" spans="1:5" x14ac:dyDescent="0.2">
      <c r="A6269">
        <v>6208</v>
      </c>
      <c r="B6269" s="138">
        <f>'Acct Summary 7-8'!E82</f>
        <v>74805</v>
      </c>
      <c r="D6269" s="2" t="str">
        <f t="shared" si="96"/>
        <v>Error?</v>
      </c>
      <c r="E6269" s="2" t="s">
        <v>199</v>
      </c>
    </row>
    <row r="6270" spans="1:5" x14ac:dyDescent="0.2">
      <c r="A6270">
        <v>6209</v>
      </c>
      <c r="B6270" s="138">
        <f>'Acct Summary 7-8'!F82</f>
        <v>-23629</v>
      </c>
      <c r="D6270" s="2" t="str">
        <f t="shared" si="96"/>
        <v>Error?</v>
      </c>
      <c r="E6270" s="2" t="s">
        <v>199</v>
      </c>
    </row>
    <row r="6271" spans="1:5" x14ac:dyDescent="0.2">
      <c r="A6271">
        <v>6210</v>
      </c>
      <c r="B6271" s="138">
        <f>'Acct Summary 7-8'!G82</f>
        <v>-7245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3464251</v>
      </c>
      <c r="D6273" s="2" t="str">
        <f t="shared" si="97"/>
        <v>Error?</v>
      </c>
      <c r="E6273" s="2" t="s">
        <v>199</v>
      </c>
    </row>
    <row r="6274" spans="1:5" x14ac:dyDescent="0.2">
      <c r="A6274">
        <v>6213</v>
      </c>
      <c r="B6274" s="138">
        <f>'Acct Summary 7-8'!J82</f>
        <v>-10587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-3.2037378250329325E-2</v>
      </c>
      <c r="D6276" s="2" t="str">
        <f t="shared" si="97"/>
        <v>Error?</v>
      </c>
      <c r="E6276" s="2" t="s">
        <v>199</v>
      </c>
    </row>
    <row r="6277" spans="1:5" x14ac:dyDescent="0.2">
      <c r="A6277">
        <v>6216</v>
      </c>
      <c r="B6277" s="138">
        <f>'Acct Summary 7-8'!D83</f>
        <v>7.9501132493533855E-2</v>
      </c>
      <c r="D6277" s="2" t="str">
        <f t="shared" si="97"/>
        <v>Error?</v>
      </c>
      <c r="E6277" s="2" t="s">
        <v>199</v>
      </c>
    </row>
    <row r="6278" spans="1:5" x14ac:dyDescent="0.2">
      <c r="A6278">
        <v>6217</v>
      </c>
      <c r="B6278" s="138">
        <f>'Acct Summary 7-8'!E83</f>
        <v>6.9064560892313567E-2</v>
      </c>
      <c r="D6278" s="2" t="str">
        <f t="shared" si="97"/>
        <v>Error?</v>
      </c>
      <c r="E6278" s="2" t="s">
        <v>199</v>
      </c>
    </row>
    <row r="6279" spans="1:5" x14ac:dyDescent="0.2">
      <c r="A6279">
        <v>6218</v>
      </c>
      <c r="B6279" s="138">
        <f>'Acct Summary 7-8'!F83</f>
        <v>-0.19641402470449368</v>
      </c>
      <c r="D6279" s="2" t="str">
        <f t="shared" si="97"/>
        <v>Error?</v>
      </c>
      <c r="E6279" s="2" t="s">
        <v>199</v>
      </c>
    </row>
    <row r="6280" spans="1:5" x14ac:dyDescent="0.2">
      <c r="A6280">
        <v>6219</v>
      </c>
      <c r="B6280" s="138">
        <f>'Acct Summary 7-8'!G83</f>
        <v>-1.5075533730076158E-2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0.53260124417336641</v>
      </c>
      <c r="D6282" s="2" t="str">
        <f t="shared" si="97"/>
        <v>Error?</v>
      </c>
      <c r="E6282" s="2" t="s">
        <v>199</v>
      </c>
    </row>
    <row r="6283" spans="1:5" x14ac:dyDescent="0.2">
      <c r="A6283">
        <v>6222</v>
      </c>
      <c r="B6283" s="138">
        <f>'Acct Summary 7-8'!J83</f>
        <v>-1.8309766592415292E-2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46739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46739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46739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145827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7862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145827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145827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57326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46739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23522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23522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33666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33666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57326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57326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57326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57326</v>
      </c>
      <c r="D7224" s="2" t="str">
        <f t="shared" si="111"/>
        <v>Error?</v>
      </c>
    </row>
    <row r="7225" spans="1:4" x14ac:dyDescent="0.2">
      <c r="A7225">
        <v>7164</v>
      </c>
      <c r="B7225" s="138">
        <f>'Expenditures 15-22'!K343</f>
        <v>-10587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7862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145827</v>
      </c>
      <c r="D7624" s="2" t="str">
        <f t="shared" si="124"/>
        <v>Error?</v>
      </c>
      <c r="E7624" s="2" t="s">
        <v>19</v>
      </c>
    </row>
    <row r="7625" spans="1:5" x14ac:dyDescent="0.2">
      <c r="A7625">
        <f t="shared" si="123"/>
        <v>7564</v>
      </c>
      <c r="B7625" s="138">
        <f>'Cap Outlay Deprec 26'!I17</f>
        <v>14582.7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547352.69999999995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2" t="str">
        <f>COVER!A17</f>
        <v>KENILWORTH SD 38</v>
      </c>
      <c r="B7" s="2403"/>
      <c r="C7" s="2403"/>
      <c r="D7" s="2440"/>
      <c r="E7" s="2441" t="str">
        <f>COVER!A13</f>
        <v>05-016-0380-02</v>
      </c>
      <c r="F7" s="2442"/>
      <c r="G7" s="2409" t="str">
        <f>COVER!T23</f>
        <v>065.019712</v>
      </c>
      <c r="H7" s="2410"/>
      <c r="I7" s="2410"/>
      <c r="J7" s="2410"/>
      <c r="K7" s="2410"/>
      <c r="L7" s="2411"/>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2"/>
      <c r="B9" s="2413"/>
      <c r="C9" s="2413"/>
      <c r="D9" s="2413"/>
      <c r="E9" s="2413"/>
      <c r="F9" s="2414"/>
      <c r="G9" s="2415" t="str">
        <f>COVER!T13</f>
        <v>GEORGE ROACH &amp; ASSOCIATES, P.C.</v>
      </c>
      <c r="H9" s="2416"/>
      <c r="I9" s="2416"/>
      <c r="J9" s="2416"/>
      <c r="K9" s="2416"/>
      <c r="L9" s="2417"/>
    </row>
    <row r="10" spans="1:29" ht="13.5" customHeight="1" x14ac:dyDescent="0.2">
      <c r="A10" s="2399" t="str">
        <f>COVER!A38</f>
        <v>Dr. Crystal LeRoy</v>
      </c>
      <c r="B10" s="2400"/>
      <c r="C10" s="2400"/>
      <c r="D10" s="2400"/>
      <c r="E10" s="2400"/>
      <c r="F10" s="2401"/>
      <c r="G10" s="2415" t="str">
        <f>COVER!T17</f>
        <v>44 N. WALKUP AVE.</v>
      </c>
      <c r="H10" s="2428"/>
      <c r="I10" s="2428"/>
      <c r="J10" s="2428"/>
      <c r="K10" s="2428"/>
      <c r="L10" s="2429"/>
    </row>
    <row r="11" spans="1:29" ht="13.5" customHeight="1" x14ac:dyDescent="0.2">
      <c r="A11" s="1184" t="s">
        <v>1599</v>
      </c>
      <c r="B11" s="1185"/>
      <c r="C11" s="1186"/>
      <c r="D11" s="1191"/>
      <c r="E11" s="1186"/>
      <c r="F11" s="1190"/>
      <c r="G11" s="2415" t="str">
        <f>COVER!T19</f>
        <v>CRYSTAL LAKE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JOE@GRA-CPA.COM</v>
      </c>
      <c r="J13" s="2437"/>
      <c r="K13" s="2437"/>
      <c r="L13" s="2438"/>
    </row>
    <row r="14" spans="1:29" ht="13.5" customHeight="1" x14ac:dyDescent="0.2">
      <c r="A14" s="2415" t="str">
        <f>COVER!A19</f>
        <v>542 ABBOTSFORD RD.</v>
      </c>
      <c r="B14" s="2428"/>
      <c r="C14" s="2428"/>
      <c r="D14" s="2428"/>
      <c r="E14" s="2428"/>
      <c r="F14" s="2429"/>
      <c r="G14" s="1195" t="s">
        <v>1247</v>
      </c>
      <c r="H14" s="1193"/>
      <c r="I14" s="1193"/>
      <c r="J14" s="1193"/>
      <c r="K14" s="1193"/>
      <c r="L14" s="1194"/>
    </row>
    <row r="15" spans="1:29" ht="13.5" customHeight="1" x14ac:dyDescent="0.2">
      <c r="A15" s="2415" t="str">
        <f>COVER!A21</f>
        <v xml:space="preserve">KENILWORTH  </v>
      </c>
      <c r="B15" s="2428"/>
      <c r="C15" s="2428"/>
      <c r="D15" s="2428"/>
      <c r="E15" s="2428"/>
      <c r="F15" s="2429"/>
      <c r="G15" s="2425" t="str">
        <f>COVER!T15</f>
        <v>JOSEPH TROYER</v>
      </c>
      <c r="H15" s="2426"/>
      <c r="I15" s="2426"/>
      <c r="J15" s="2426"/>
      <c r="K15" s="2426"/>
      <c r="L15" s="2427"/>
    </row>
    <row r="16" spans="1:29" ht="12.2" customHeight="1" x14ac:dyDescent="0.2">
      <c r="A16" s="2405">
        <f>COVER!A25</f>
        <v>60043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5" t="s">
        <v>1246</v>
      </c>
      <c r="H17" s="1193"/>
      <c r="I17" s="1193"/>
      <c r="J17" s="1193"/>
      <c r="K17" s="1197" t="s">
        <v>1245</v>
      </c>
      <c r="L17" s="1190"/>
      <c r="M17" s="1183"/>
    </row>
    <row r="18" spans="1:13" ht="12.2" customHeight="1" x14ac:dyDescent="0.2">
      <c r="A18" s="2399"/>
      <c r="B18" s="2400"/>
      <c r="C18" s="2400"/>
      <c r="D18" s="2400"/>
      <c r="E18" s="2400"/>
      <c r="F18" s="2401"/>
      <c r="G18" s="2402" t="str">
        <f>COVER!T21</f>
        <v>815-459-0700</v>
      </c>
      <c r="H18" s="2403"/>
      <c r="I18" s="2403"/>
      <c r="J18" s="2403"/>
      <c r="K18" s="2402" t="str">
        <f>COVER!X21</f>
        <v>815-477-8764</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3" t="str">
        <f>'Single Audit Cover'!A7</f>
        <v>KENILWORTH SD 38</v>
      </c>
      <c r="B1" s="2439"/>
      <c r="C1" s="2439"/>
      <c r="D1" s="2439"/>
    </row>
    <row r="2" spans="1:11" s="1214" customFormat="1" ht="12.75" x14ac:dyDescent="0.2">
      <c r="A2" s="2444" t="str">
        <f>'Single Audit Cover'!E7</f>
        <v>05-016-0380-02</v>
      </c>
      <c r="B2" s="2445"/>
      <c r="C2" s="2445"/>
      <c r="D2" s="2445"/>
    </row>
    <row r="3" spans="1:11" s="1214" customFormat="1" ht="12.75" x14ac:dyDescent="0.2">
      <c r="A3" s="2443" t="s">
        <v>1593</v>
      </c>
      <c r="B3" s="2439"/>
      <c r="C3" s="2439"/>
      <c r="D3" s="243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47" t="str">
        <f>'Single Audit Cover'!A7</f>
        <v>KENILWORTH SD 38</v>
      </c>
      <c r="B1" s="2447"/>
      <c r="C1" s="2447"/>
      <c r="D1" s="2447"/>
      <c r="E1" s="2447"/>
    </row>
    <row r="2" spans="1:5" x14ac:dyDescent="0.2">
      <c r="A2" s="2448" t="str">
        <f>'Single Audit Cover'!E7</f>
        <v>05-016-0380-02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9" t="s">
        <v>1305</v>
      </c>
    </row>
    <row r="10" spans="1:5" x14ac:dyDescent="0.2">
      <c r="A10" s="1260" t="s">
        <v>1304</v>
      </c>
      <c r="B10" s="1261" t="s">
        <v>1303</v>
      </c>
      <c r="C10" s="1261"/>
      <c r="D10" s="1262">
        <f>SUM('Acct Summary 7-8'!C7:K7)</f>
        <v>100950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100950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9"/>
      <c r="B24" s="2449"/>
      <c r="D24" s="1267"/>
    </row>
    <row r="25" spans="1:4" x14ac:dyDescent="0.2">
      <c r="A25" s="2446"/>
      <c r="B25" s="2446"/>
      <c r="D25" s="1267"/>
    </row>
    <row r="26" spans="1:4" x14ac:dyDescent="0.2">
      <c r="A26" s="2446"/>
      <c r="B26" s="2446"/>
      <c r="D26" s="1267"/>
    </row>
    <row r="27" spans="1:4" x14ac:dyDescent="0.2">
      <c r="A27" s="2446"/>
      <c r="B27" s="2446"/>
      <c r="D27" s="1267"/>
    </row>
    <row r="28" spans="1:4" x14ac:dyDescent="0.2">
      <c r="A28" s="2446"/>
      <c r="B28" s="2446"/>
      <c r="D28" s="1267"/>
    </row>
    <row r="29" spans="1:4" x14ac:dyDescent="0.2">
      <c r="A29" s="2446"/>
      <c r="B29" s="2446"/>
      <c r="D29" s="1267"/>
    </row>
    <row r="30" spans="1:4" x14ac:dyDescent="0.2">
      <c r="A30" s="2446"/>
      <c r="B30" s="2446"/>
      <c r="D30" s="1267"/>
    </row>
    <row r="32" spans="1:4" x14ac:dyDescent="0.2">
      <c r="A32" s="1259" t="s">
        <v>1295</v>
      </c>
      <c r="D32" s="1262">
        <f>SUM(D19:D30)</f>
        <v>100950</v>
      </c>
    </row>
    <row r="33" spans="1:4" x14ac:dyDescent="0.2">
      <c r="D33" s="1268"/>
    </row>
    <row r="34" spans="1:4" x14ac:dyDescent="0.2">
      <c r="A34" s="316" t="s">
        <v>1294</v>
      </c>
    </row>
    <row r="35" spans="1:4" x14ac:dyDescent="0.2">
      <c r="A35" s="316" t="s">
        <v>1293</v>
      </c>
      <c r="B35" s="1257" t="s">
        <v>1292</v>
      </c>
      <c r="D35" s="1269"/>
    </row>
    <row r="37" spans="1:4" x14ac:dyDescent="0.2">
      <c r="A37" s="1259" t="s">
        <v>1291</v>
      </c>
    </row>
    <row r="39" spans="1:4" ht="13.35" customHeight="1" x14ac:dyDescent="0.2">
      <c r="A39" s="1266" t="s">
        <v>1290</v>
      </c>
    </row>
    <row r="40" spans="1:4" x14ac:dyDescent="0.2">
      <c r="A40" s="2446"/>
      <c r="B40" s="2446"/>
      <c r="D40" s="1267"/>
    </row>
    <row r="41" spans="1:4" x14ac:dyDescent="0.2">
      <c r="A41" s="2446"/>
      <c r="B41" s="2446"/>
      <c r="D41" s="1270"/>
    </row>
    <row r="42" spans="1:4" x14ac:dyDescent="0.2">
      <c r="A42" s="2446"/>
      <c r="B42" s="2446"/>
      <c r="D42" s="1270"/>
    </row>
    <row r="43" spans="1:4" x14ac:dyDescent="0.2">
      <c r="A43" s="2446"/>
      <c r="B43" s="2446"/>
      <c r="D43" s="1270"/>
    </row>
    <row r="44" spans="1:4" x14ac:dyDescent="0.2">
      <c r="A44" s="2446"/>
      <c r="B44" s="2446"/>
      <c r="D44" s="1270"/>
    </row>
    <row r="45" spans="1:4" x14ac:dyDescent="0.2">
      <c r="A45" s="2446"/>
      <c r="B45" s="2446"/>
      <c r="D45" s="1270"/>
    </row>
    <row r="47" spans="1:4" x14ac:dyDescent="0.2">
      <c r="B47" s="1271" t="s">
        <v>1289</v>
      </c>
      <c r="C47" s="1271"/>
      <c r="D47" s="1272">
        <f>SUM(D35:D45)</f>
        <v>0</v>
      </c>
    </row>
    <row r="49" spans="2:4" x14ac:dyDescent="0.2">
      <c r="B49" s="1271" t="s">
        <v>1288</v>
      </c>
      <c r="C49" s="1271"/>
      <c r="D49" s="1272">
        <f>D32-D47</f>
        <v>100950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52" t="str">
        <f>'Single Audit Cover'!A7</f>
        <v>KENILWORTH SD 38</v>
      </c>
      <c r="B1" s="2452"/>
      <c r="C1" s="2452"/>
      <c r="D1" s="2452"/>
      <c r="E1" s="2452"/>
      <c r="F1" s="2452"/>
    </row>
    <row r="2" spans="1:7" ht="13.5" customHeight="1" x14ac:dyDescent="0.2">
      <c r="A2" s="2453" t="str">
        <f>'Single Audit Cover'!E7</f>
        <v>05-016-0380-02</v>
      </c>
      <c r="B2" s="2453"/>
      <c r="C2" s="2453"/>
      <c r="D2" s="2453"/>
      <c r="E2" s="2453"/>
      <c r="F2" s="2453"/>
      <c r="G2" s="1274"/>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6"/>
      <c r="D5" s="316"/>
    </row>
    <row r="6" spans="1:7" ht="13.5" customHeight="1" x14ac:dyDescent="0.2">
      <c r="A6" s="1275" t="s">
        <v>1831</v>
      </c>
      <c r="C6" s="316"/>
      <c r="D6" s="316"/>
    </row>
    <row r="7" spans="1:7" ht="60.95" customHeight="1" x14ac:dyDescent="0.2">
      <c r="A7" s="2451" t="s">
        <v>1832</v>
      </c>
      <c r="B7" s="2451"/>
      <c r="C7" s="2451"/>
      <c r="D7" s="2451"/>
      <c r="E7" s="2451"/>
      <c r="F7" s="2451"/>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1" t="s">
        <v>1834</v>
      </c>
      <c r="B13" s="2451"/>
      <c r="C13" s="2451"/>
      <c r="D13" s="2451"/>
      <c r="E13" s="2451"/>
      <c r="F13" s="2451"/>
    </row>
    <row r="14" spans="1:7" ht="9.75" customHeight="1" x14ac:dyDescent="0.2">
      <c r="C14" s="1259"/>
      <c r="D14" s="1259"/>
    </row>
    <row r="15" spans="1:7" ht="13.5" customHeight="1" x14ac:dyDescent="0.2">
      <c r="C15" s="1870" t="s">
        <v>1332</v>
      </c>
      <c r="D15" s="2457" t="s">
        <v>1331</v>
      </c>
      <c r="E15" s="2457"/>
      <c r="F15" s="2457"/>
    </row>
    <row r="16" spans="1:7" ht="13.5" customHeight="1" x14ac:dyDescent="0.2">
      <c r="A16" s="1281"/>
      <c r="B16" s="1275" t="s">
        <v>1330</v>
      </c>
      <c r="C16" s="1870" t="s">
        <v>1329</v>
      </c>
      <c r="D16" s="2458" t="s">
        <v>1670</v>
      </c>
      <c r="E16" s="2458"/>
      <c r="F16" s="2458"/>
    </row>
    <row r="17" spans="1:6" ht="20.45" customHeight="1" x14ac:dyDescent="0.2">
      <c r="A17" s="1282"/>
      <c r="B17" s="1283"/>
      <c r="C17" s="1284"/>
      <c r="D17" s="2456"/>
      <c r="E17" s="2456"/>
      <c r="F17" s="2456"/>
    </row>
    <row r="18" spans="1:6" ht="20.65" customHeight="1" x14ac:dyDescent="0.2">
      <c r="A18" s="1282"/>
      <c r="B18" s="1283"/>
      <c r="C18" s="1284"/>
      <c r="D18" s="2456"/>
      <c r="E18" s="2456"/>
      <c r="F18" s="2456"/>
    </row>
    <row r="19" spans="1:6" ht="20.65" customHeight="1" x14ac:dyDescent="0.2">
      <c r="A19" s="1282"/>
      <c r="B19" s="1283"/>
      <c r="C19" s="1284"/>
      <c r="D19" s="2456"/>
      <c r="E19" s="2456"/>
      <c r="F19" s="2456"/>
    </row>
    <row r="20" spans="1:6" ht="20.65" customHeight="1" x14ac:dyDescent="0.2">
      <c r="A20" s="1282"/>
      <c r="B20" s="1283"/>
      <c r="C20" s="1284"/>
      <c r="D20" s="2456"/>
      <c r="E20" s="2456"/>
      <c r="F20" s="2456"/>
    </row>
    <row r="21" spans="1:6" ht="20.65" customHeight="1" x14ac:dyDescent="0.2">
      <c r="A21" s="1282"/>
      <c r="B21" s="1283"/>
      <c r="C21" s="1284"/>
      <c r="D21" s="2456"/>
      <c r="E21" s="2456"/>
      <c r="F21" s="2456"/>
    </row>
    <row r="22" spans="1:6" ht="20.65" customHeight="1" x14ac:dyDescent="0.2">
      <c r="A22" s="1282"/>
      <c r="B22" s="1283"/>
      <c r="C22" s="1284"/>
      <c r="D22" s="2456"/>
      <c r="E22" s="2456"/>
      <c r="F22" s="2456"/>
    </row>
    <row r="23" spans="1:6" ht="20.65" customHeight="1" x14ac:dyDescent="0.2">
      <c r="A23" s="1282"/>
      <c r="B23" s="1283"/>
      <c r="C23" s="1284"/>
      <c r="D23" s="2456"/>
      <c r="E23" s="2456"/>
      <c r="F23" s="2456"/>
    </row>
    <row r="24" spans="1:6" ht="20.65" customHeight="1" x14ac:dyDescent="0.2">
      <c r="A24" s="1282"/>
      <c r="B24" s="1283"/>
      <c r="C24" s="1284"/>
      <c r="D24" s="2456"/>
      <c r="E24" s="2456"/>
      <c r="F24" s="2456"/>
    </row>
    <row r="25" spans="1:6" ht="20.65" customHeight="1" x14ac:dyDescent="0.2">
      <c r="A25" s="1282"/>
      <c r="B25" s="1283"/>
      <c r="C25" s="1284"/>
      <c r="D25" s="2456"/>
      <c r="E25" s="2456"/>
      <c r="F25" s="2456"/>
    </row>
    <row r="26" spans="1:6" ht="20.65" customHeight="1" x14ac:dyDescent="0.2">
      <c r="A26" s="1282"/>
      <c r="B26" s="1283"/>
      <c r="C26" s="1284"/>
      <c r="D26" s="2456"/>
      <c r="E26" s="2456"/>
      <c r="F26" s="2456"/>
    </row>
    <row r="27" spans="1:6" ht="20.65" customHeight="1" x14ac:dyDescent="0.2">
      <c r="A27" s="1282"/>
      <c r="B27" s="1283"/>
      <c r="C27" s="1284"/>
      <c r="D27" s="2456"/>
      <c r="E27" s="2456"/>
      <c r="F27" s="2456"/>
    </row>
    <row r="28" spans="1:6" ht="20.65" customHeight="1" x14ac:dyDescent="0.2">
      <c r="A28" s="1282"/>
      <c r="B28" s="1283"/>
      <c r="C28" s="1284"/>
      <c r="D28" s="2456"/>
      <c r="E28" s="2456"/>
      <c r="F28" s="2456"/>
    </row>
    <row r="29" spans="1:6" ht="20.65" customHeight="1" x14ac:dyDescent="0.2">
      <c r="A29" s="1282"/>
      <c r="B29" s="1283"/>
      <c r="C29" s="1284"/>
      <c r="D29" s="2456"/>
      <c r="E29" s="2456"/>
      <c r="F29" s="2456"/>
    </row>
    <row r="30" spans="1:6" ht="12" customHeight="1" x14ac:dyDescent="0.2">
      <c r="A30" s="327"/>
      <c r="B30" s="327"/>
      <c r="C30" s="1477"/>
      <c r="D30" s="1927"/>
      <c r="E30" s="1285"/>
    </row>
    <row r="31" spans="1:6" ht="12" customHeight="1" x14ac:dyDescent="0.2">
      <c r="A31" s="1286" t="s">
        <v>1630</v>
      </c>
      <c r="B31" s="327"/>
      <c r="C31" s="1477"/>
      <c r="D31" s="1927"/>
      <c r="E31" s="1285"/>
    </row>
    <row r="32" spans="1:6" ht="30" customHeight="1" x14ac:dyDescent="0.2">
      <c r="A32" s="2460" t="s">
        <v>1835</v>
      </c>
      <c r="B32" s="2460"/>
      <c r="C32" s="2460"/>
      <c r="D32" s="2460"/>
      <c r="E32" s="2460"/>
      <c r="F32" s="2460"/>
    </row>
    <row r="33" spans="1:6" ht="13.5" customHeight="1" x14ac:dyDescent="0.2">
      <c r="A33" s="327" t="s">
        <v>1509</v>
      </c>
      <c r="B33" s="327"/>
      <c r="C33" s="1287">
        <v>0</v>
      </c>
      <c r="D33" s="1927"/>
      <c r="E33" s="1285"/>
    </row>
    <row r="34" spans="1:6" ht="13.5" customHeight="1" x14ac:dyDescent="0.2">
      <c r="A34" s="327" t="s">
        <v>1948</v>
      </c>
      <c r="B34" s="327"/>
      <c r="C34" s="1288">
        <v>0</v>
      </c>
      <c r="D34" s="1927" t="s">
        <v>1671</v>
      </c>
      <c r="E34" s="2461">
        <f>+C33+C34</f>
        <v>0</v>
      </c>
      <c r="F34" s="2462"/>
    </row>
    <row r="35" spans="1:6" ht="12" customHeight="1" x14ac:dyDescent="0.2">
      <c r="A35" s="327"/>
      <c r="B35" s="327"/>
      <c r="C35" s="1928"/>
      <c r="D35" s="1927"/>
      <c r="E35" s="1289"/>
      <c r="F35" s="1290"/>
    </row>
    <row r="36" spans="1:6" ht="13.5" customHeight="1" x14ac:dyDescent="0.2">
      <c r="A36" s="1286" t="s">
        <v>1631</v>
      </c>
      <c r="B36" s="327"/>
      <c r="C36" s="1477"/>
      <c r="D36" s="1927"/>
      <c r="E36" s="1285"/>
    </row>
    <row r="37" spans="1:6" ht="14.25" customHeight="1" x14ac:dyDescent="0.2">
      <c r="A37" s="327" t="s">
        <v>1563</v>
      </c>
      <c r="B37" s="327"/>
      <c r="C37" s="1929"/>
      <c r="D37" s="1927"/>
      <c r="E37" s="1285"/>
    </row>
    <row r="38" spans="1:6" ht="14.25" customHeight="1" x14ac:dyDescent="0.2">
      <c r="A38" s="327"/>
      <c r="B38" s="327" t="s">
        <v>1510</v>
      </c>
      <c r="C38" s="1291"/>
      <c r="D38" s="1927"/>
      <c r="E38" s="1285"/>
    </row>
    <row r="39" spans="1:6" ht="14.25" customHeight="1" x14ac:dyDescent="0.2">
      <c r="A39" s="327"/>
      <c r="B39" s="327" t="s">
        <v>1511</v>
      </c>
      <c r="C39" s="1291"/>
      <c r="D39" s="1927"/>
      <c r="E39" s="1285"/>
    </row>
    <row r="40" spans="1:6" ht="14.25" customHeight="1" x14ac:dyDescent="0.2">
      <c r="A40" s="327"/>
      <c r="B40" s="327" t="s">
        <v>1512</v>
      </c>
      <c r="C40" s="1291"/>
      <c r="D40" s="1927"/>
      <c r="E40" s="1285"/>
    </row>
    <row r="41" spans="1:6" ht="14.25" customHeight="1" x14ac:dyDescent="0.2">
      <c r="A41" s="327"/>
      <c r="B41" s="327" t="s">
        <v>1513</v>
      </c>
      <c r="C41" s="1291"/>
      <c r="D41" s="1927"/>
      <c r="E41" s="1285"/>
    </row>
    <row r="42" spans="1:6" ht="14.25" customHeight="1" x14ac:dyDescent="0.2">
      <c r="A42" s="327" t="s">
        <v>1514</v>
      </c>
      <c r="B42" s="327"/>
      <c r="C42" s="1925"/>
      <c r="D42" s="1927"/>
      <c r="E42" s="1285"/>
    </row>
    <row r="43" spans="1:6" ht="14.25" customHeight="1" x14ac:dyDescent="0.2">
      <c r="A43" s="327" t="s">
        <v>1515</v>
      </c>
      <c r="B43" s="327"/>
      <c r="C43" s="1292"/>
      <c r="D43" s="1927"/>
      <c r="E43" s="1285"/>
    </row>
    <row r="44" spans="1:6" ht="14.25" customHeight="1" x14ac:dyDescent="0.2">
      <c r="A44" s="327"/>
      <c r="B44" s="327"/>
      <c r="C44" s="1929" t="s">
        <v>1516</v>
      </c>
      <c r="D44" s="1927"/>
      <c r="E44" s="1285"/>
    </row>
    <row r="45" spans="1:6" ht="13.5" customHeight="1" x14ac:dyDescent="0.2">
      <c r="B45" s="321"/>
      <c r="C45" s="1293"/>
      <c r="D45" s="1293"/>
    </row>
    <row r="46" spans="1:6" x14ac:dyDescent="0.2">
      <c r="A46" s="1294" t="s">
        <v>1836</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63" t="s">
        <v>1672</v>
      </c>
      <c r="C49" s="2463"/>
      <c r="D49" s="2463"/>
      <c r="E49" s="1398"/>
    </row>
    <row r="50" spans="1:5" s="1299" customFormat="1" ht="3.75" customHeight="1" x14ac:dyDescent="0.2">
      <c r="A50" s="1298"/>
      <c r="B50" s="1869"/>
      <c r="C50" s="1869"/>
      <c r="D50" s="1869"/>
      <c r="E50" s="1398"/>
    </row>
    <row r="51" spans="1:5" s="1299" customFormat="1" ht="20.25" customHeight="1" x14ac:dyDescent="0.2">
      <c r="A51" s="1300">
        <v>6</v>
      </c>
      <c r="B51" s="2459" t="s">
        <v>1632</v>
      </c>
      <c r="C51" s="2459"/>
      <c r="D51" s="2459"/>
    </row>
    <row r="52" spans="1:5" ht="14.25" customHeight="1" x14ac:dyDescent="0.2">
      <c r="A52" s="1300"/>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08" t="str">
        <f>'Single Audit Cover'!A7</f>
        <v>KENILWORTH SD 38</v>
      </c>
      <c r="C1" s="2464"/>
      <c r="D1" s="2464"/>
      <c r="E1" s="2464"/>
      <c r="F1" s="2464"/>
      <c r="G1" s="2464"/>
      <c r="H1" s="2464"/>
      <c r="I1" s="2464"/>
      <c r="J1" s="2464"/>
      <c r="K1" s="2464"/>
      <c r="L1" s="2464"/>
      <c r="M1" s="2464"/>
    </row>
    <row r="2" spans="2:14" ht="15" x14ac:dyDescent="0.2">
      <c r="B2" s="2453" t="str">
        <f>'Single Audit Cover'!E7</f>
        <v>05-016-0380-02</v>
      </c>
      <c r="C2" s="2453"/>
      <c r="D2" s="2453"/>
      <c r="E2" s="2453"/>
      <c r="F2" s="2453"/>
      <c r="G2" s="2453"/>
      <c r="H2" s="2453"/>
      <c r="I2" s="2453"/>
      <c r="J2" s="2453"/>
      <c r="K2" s="2453"/>
      <c r="L2" s="2453"/>
      <c r="M2" s="2453"/>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1838</v>
      </c>
      <c r="D9" s="1313" t="s">
        <v>1839</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3" t="s">
        <v>1735</v>
      </c>
      <c r="B4" s="343"/>
      <c r="C4" s="343"/>
      <c r="D4" s="343"/>
      <c r="E4" s="343"/>
      <c r="F4" s="343"/>
      <c r="G4" s="343"/>
      <c r="H4" s="343"/>
      <c r="I4" s="343"/>
      <c r="J4" s="343"/>
      <c r="K4" s="343"/>
    </row>
    <row r="5" spans="1:11" x14ac:dyDescent="0.2">
      <c r="A5" s="237" t="s">
        <v>1736</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1955" t="s">
        <v>2094</v>
      </c>
      <c r="I53" s="237" t="s">
        <v>1562</v>
      </c>
    </row>
    <row r="54" spans="1:10" s="181" customFormat="1" x14ac:dyDescent="0.2">
      <c r="A54" s="219"/>
      <c r="B54" s="220"/>
      <c r="C54" s="179">
        <v>23</v>
      </c>
      <c r="D54" s="243" t="s">
        <v>1429</v>
      </c>
      <c r="E54" s="248"/>
      <c r="F54" s="249"/>
    </row>
    <row r="55" spans="1:10" s="181" customFormat="1" x14ac:dyDescent="0.2">
      <c r="A55" s="214"/>
      <c r="B55" s="250"/>
      <c r="C55" s="250"/>
      <c r="D55" s="231" t="s">
        <v>1895</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093"/>
      <c r="C57" s="2094"/>
      <c r="D57" s="2094"/>
      <c r="E57" s="2094"/>
      <c r="F57" s="2094"/>
      <c r="G57" s="2094"/>
      <c r="H57" s="2094"/>
      <c r="I57" s="2094"/>
      <c r="J57" s="2095"/>
    </row>
    <row r="58" spans="1:10" s="181" customFormat="1" x14ac:dyDescent="0.2">
      <c r="A58" s="252"/>
      <c r="B58" s="2096"/>
      <c r="C58" s="2097"/>
      <c r="D58" s="2097"/>
      <c r="E58" s="2097"/>
      <c r="F58" s="2097"/>
      <c r="G58" s="2097"/>
      <c r="H58" s="2097"/>
      <c r="I58" s="2097"/>
      <c r="J58" s="2098"/>
    </row>
    <row r="59" spans="1:10" s="181" customFormat="1" x14ac:dyDescent="0.2">
      <c r="A59" s="252"/>
      <c r="B59" s="2096"/>
      <c r="C59" s="2097"/>
      <c r="D59" s="2097"/>
      <c r="E59" s="2097"/>
      <c r="F59" s="2097"/>
      <c r="G59" s="2097"/>
      <c r="H59" s="2097"/>
      <c r="I59" s="2097"/>
      <c r="J59" s="2098"/>
    </row>
    <row r="60" spans="1:10" s="181" customFormat="1" x14ac:dyDescent="0.2">
      <c r="A60" s="252"/>
      <c r="B60" s="2096"/>
      <c r="C60" s="2097"/>
      <c r="D60" s="2097"/>
      <c r="E60" s="2097"/>
      <c r="F60" s="2097"/>
      <c r="G60" s="2097"/>
      <c r="H60" s="2097"/>
      <c r="I60" s="2097"/>
      <c r="J60" s="2098"/>
    </row>
    <row r="61" spans="1:10" s="181" customFormat="1" x14ac:dyDescent="0.2">
      <c r="A61" s="252"/>
      <c r="B61" s="2096"/>
      <c r="C61" s="2097"/>
      <c r="D61" s="2097"/>
      <c r="E61" s="2097"/>
      <c r="F61" s="2097"/>
      <c r="G61" s="2097"/>
      <c r="H61" s="2097"/>
      <c r="I61" s="2097"/>
      <c r="J61" s="2098"/>
    </row>
    <row r="62" spans="1:10" s="181" customFormat="1" x14ac:dyDescent="0.2">
      <c r="A62" s="252"/>
      <c r="B62" s="2096"/>
      <c r="C62" s="2097"/>
      <c r="D62" s="2097"/>
      <c r="E62" s="2097"/>
      <c r="F62" s="2097"/>
      <c r="G62" s="2097"/>
      <c r="H62" s="2097"/>
      <c r="I62" s="2097"/>
      <c r="J62" s="2098"/>
    </row>
    <row r="63" spans="1:10" s="181" customFormat="1" x14ac:dyDescent="0.2">
      <c r="A63" s="252"/>
      <c r="B63" s="2096"/>
      <c r="C63" s="2097"/>
      <c r="D63" s="2097"/>
      <c r="E63" s="2097"/>
      <c r="F63" s="2097"/>
      <c r="G63" s="2097"/>
      <c r="H63" s="2097"/>
      <c r="I63" s="2097"/>
      <c r="J63" s="2098"/>
    </row>
    <row r="64" spans="1:10" s="181" customFormat="1" x14ac:dyDescent="0.2">
      <c r="A64" s="252"/>
      <c r="B64" s="2096"/>
      <c r="C64" s="2097"/>
      <c r="D64" s="2097"/>
      <c r="E64" s="2097"/>
      <c r="F64" s="2097"/>
      <c r="G64" s="2097"/>
      <c r="H64" s="2097"/>
      <c r="I64" s="2097"/>
      <c r="J64" s="2098"/>
    </row>
    <row r="65" spans="1:10" s="181" customFormat="1" x14ac:dyDescent="0.2">
      <c r="A65" s="252"/>
      <c r="B65" s="2096"/>
      <c r="C65" s="2097"/>
      <c r="D65" s="2097"/>
      <c r="E65" s="2097"/>
      <c r="F65" s="2097"/>
      <c r="G65" s="2097"/>
      <c r="H65" s="2097"/>
      <c r="I65" s="2097"/>
      <c r="J65" s="2098"/>
    </row>
    <row r="66" spans="1:10" s="181" customFormat="1" x14ac:dyDescent="0.2">
      <c r="A66" s="252"/>
      <c r="B66" s="2096"/>
      <c r="C66" s="2097"/>
      <c r="D66" s="2097"/>
      <c r="E66" s="2097"/>
      <c r="F66" s="2097"/>
      <c r="G66" s="2097"/>
      <c r="H66" s="2097"/>
      <c r="I66" s="2097"/>
      <c r="J66" s="2098"/>
    </row>
    <row r="67" spans="1:10" s="181" customFormat="1" ht="9" customHeight="1" x14ac:dyDescent="0.2">
      <c r="A67" s="253"/>
      <c r="B67" s="2099"/>
      <c r="C67" s="2100"/>
      <c r="D67" s="2100"/>
      <c r="E67" s="2100"/>
      <c r="F67" s="2100"/>
      <c r="G67" s="2100"/>
      <c r="H67" s="2100"/>
      <c r="I67" s="2100"/>
      <c r="J67" s="2101"/>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086" t="s">
        <v>1390</v>
      </c>
      <c r="B70" s="2089"/>
      <c r="C70" s="2089"/>
      <c r="D70" s="2089"/>
      <c r="E70" s="2090"/>
      <c r="F70" s="2090"/>
      <c r="G70" s="2090"/>
      <c r="H70" s="2090"/>
      <c r="I70" s="2090"/>
    </row>
    <row r="71" spans="1:10" s="181" customFormat="1" x14ac:dyDescent="0.2">
      <c r="A71" s="219"/>
      <c r="C71" s="256"/>
      <c r="D71" s="257" t="s">
        <v>1389</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2069</v>
      </c>
      <c r="B73" s="254"/>
      <c r="C73" s="255"/>
      <c r="D73" s="255"/>
      <c r="E73" s="255"/>
      <c r="F73" s="255"/>
      <c r="G73" s="255"/>
      <c r="H73" s="255"/>
    </row>
    <row r="74" spans="1:10" s="181" customFormat="1" x14ac:dyDescent="0.2">
      <c r="A74" s="258" t="s">
        <v>1497</v>
      </c>
      <c r="B74" s="254"/>
      <c r="C74" s="255"/>
      <c r="D74" s="255"/>
      <c r="E74" s="255"/>
      <c r="F74" s="255"/>
      <c r="G74" s="255"/>
      <c r="H74" s="255"/>
    </row>
    <row r="75" spans="1:10" s="181" customFormat="1" x14ac:dyDescent="0.2">
      <c r="A75" s="258" t="s">
        <v>1689</v>
      </c>
      <c r="B75" s="254"/>
      <c r="C75" s="255"/>
      <c r="D75" s="255"/>
      <c r="E75" s="255"/>
      <c r="F75" s="255"/>
      <c r="G75" s="255"/>
      <c r="H75" s="255"/>
    </row>
    <row r="76" spans="1:10" s="181" customFormat="1" ht="18.75" customHeight="1" x14ac:dyDescent="0.2">
      <c r="A76" s="239" t="s">
        <v>1498</v>
      </c>
      <c r="B76" s="254"/>
      <c r="C76" s="255"/>
      <c r="D76" s="255"/>
      <c r="E76" s="255"/>
      <c r="F76" s="255"/>
      <c r="G76" s="255"/>
      <c r="H76" s="255"/>
    </row>
    <row r="77" spans="1:10" s="181" customFormat="1" x14ac:dyDescent="0.2">
      <c r="C77" s="179">
        <v>24</v>
      </c>
      <c r="D77" s="247" t="s">
        <v>1745</v>
      </c>
      <c r="G77" s="296" t="s">
        <v>2020</v>
      </c>
      <c r="I77" s="1860"/>
      <c r="J77" s="260"/>
    </row>
    <row r="78" spans="1:10" s="181" customFormat="1" ht="6" customHeight="1" x14ac:dyDescent="0.2">
      <c r="A78" s="219"/>
      <c r="B78" s="261"/>
      <c r="C78" s="179"/>
      <c r="D78" s="247"/>
      <c r="E78" s="248"/>
      <c r="F78" s="249"/>
    </row>
    <row r="79" spans="1:10" s="181" customFormat="1" x14ac:dyDescent="0.2">
      <c r="A79" s="219"/>
      <c r="B79" s="261"/>
      <c r="C79" s="179">
        <v>25</v>
      </c>
      <c r="D79" s="247" t="s">
        <v>1743</v>
      </c>
      <c r="E79" s="248"/>
      <c r="F79" s="249"/>
    </row>
    <row r="80" spans="1:10" s="181" customFormat="1" x14ac:dyDescent="0.2">
      <c r="A80" s="219"/>
      <c r="B80" s="261"/>
      <c r="C80" s="179"/>
      <c r="D80" s="247" t="s">
        <v>1744</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091" t="s">
        <v>1387</v>
      </c>
      <c r="B83" s="2091"/>
      <c r="C83" s="2091"/>
      <c r="D83" s="2092"/>
      <c r="E83" s="262" t="s">
        <v>1424</v>
      </c>
      <c r="F83" s="262" t="s">
        <v>1425</v>
      </c>
      <c r="G83" s="262" t="s">
        <v>1426</v>
      </c>
      <c r="H83" s="262" t="s">
        <v>1427</v>
      </c>
      <c r="I83" s="262" t="s">
        <v>1428</v>
      </c>
      <c r="J83" s="263" t="s">
        <v>158</v>
      </c>
    </row>
    <row r="84" spans="1:10" s="181" customFormat="1" ht="13.5" customHeight="1" thickTop="1" x14ac:dyDescent="0.2">
      <c r="A84" s="264" t="s">
        <v>1519</v>
      </c>
      <c r="B84" s="265"/>
      <c r="C84" s="266"/>
      <c r="D84" s="267"/>
      <c r="E84" s="268"/>
      <c r="F84" s="268"/>
      <c r="G84" s="268"/>
      <c r="H84" s="268"/>
      <c r="I84" s="268"/>
      <c r="J84" s="269"/>
    </row>
    <row r="85" spans="1:10" s="181" customFormat="1" ht="13.5" customHeight="1" x14ac:dyDescent="0.2">
      <c r="A85" s="270" t="s">
        <v>2067</v>
      </c>
      <c r="B85" s="271"/>
      <c r="C85" s="272"/>
      <c r="D85" s="273"/>
      <c r="E85" s="274"/>
      <c r="F85" s="275"/>
      <c r="G85" s="275"/>
      <c r="H85" s="275"/>
      <c r="I85" s="275"/>
      <c r="J85" s="276">
        <f>SUM(E85:I85)</f>
        <v>0</v>
      </c>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1388</v>
      </c>
      <c r="B87" s="282"/>
      <c r="C87" s="283"/>
      <c r="D87" s="280"/>
      <c r="E87" s="268"/>
      <c r="F87" s="268"/>
      <c r="G87" s="268"/>
      <c r="H87" s="268"/>
      <c r="I87" s="268"/>
      <c r="J87" s="269"/>
    </row>
    <row r="88" spans="1:10" s="181" customFormat="1" ht="13.5" customHeight="1" x14ac:dyDescent="0.2">
      <c r="A88" s="284" t="s">
        <v>2067</v>
      </c>
      <c r="B88" s="285"/>
      <c r="C88" s="286"/>
      <c r="D88" s="287"/>
      <c r="E88" s="275"/>
      <c r="F88" s="275"/>
      <c r="G88" s="275"/>
      <c r="H88" s="275"/>
      <c r="I88" s="275"/>
      <c r="J88" s="276">
        <f>SUM(E88:I88)</f>
        <v>0</v>
      </c>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158</v>
      </c>
      <c r="B90" s="282"/>
      <c r="C90" s="283"/>
      <c r="D90" s="292"/>
      <c r="E90" s="293"/>
      <c r="F90" s="293"/>
      <c r="G90" s="293"/>
      <c r="H90" s="293"/>
      <c r="I90" s="293"/>
      <c r="J90" s="294">
        <f>SUM(J85:J89)</f>
        <v>0</v>
      </c>
    </row>
    <row r="91" spans="1:10" s="181" customFormat="1" x14ac:dyDescent="0.2">
      <c r="A91" s="219"/>
      <c r="B91" s="261"/>
      <c r="C91" s="179"/>
      <c r="E91" s="259"/>
      <c r="F91" s="295"/>
      <c r="H91" s="296"/>
    </row>
    <row r="92" spans="1:10" s="181" customFormat="1" x14ac:dyDescent="0.2">
      <c r="A92" s="219"/>
      <c r="B92" s="247" t="s">
        <v>1738</v>
      </c>
      <c r="C92" s="179"/>
      <c r="E92" s="259"/>
      <c r="F92" s="295"/>
      <c r="H92" s="296"/>
    </row>
    <row r="93" spans="1:10" s="181" customFormat="1" ht="16.5" customHeight="1" x14ac:dyDescent="0.2">
      <c r="A93" s="219"/>
      <c r="B93" s="297" t="s">
        <v>2068</v>
      </c>
      <c r="C93" s="179"/>
      <c r="E93" s="259"/>
      <c r="F93" s="295"/>
      <c r="H93" s="296"/>
    </row>
    <row r="94" spans="1:10" s="181" customFormat="1" x14ac:dyDescent="0.2">
      <c r="A94" s="298" t="s">
        <v>1398</v>
      </c>
      <c r="B94" s="299"/>
      <c r="C94" s="299"/>
      <c r="D94" s="300"/>
      <c r="E94" s="301"/>
      <c r="F94" s="302"/>
      <c r="G94" s="303"/>
      <c r="H94" s="304"/>
      <c r="I94" s="305"/>
    </row>
    <row r="95" spans="1:10" s="181" customFormat="1" x14ac:dyDescent="0.2">
      <c r="A95" s="306"/>
      <c r="B95" s="307" t="s">
        <v>1739</v>
      </c>
      <c r="C95" s="308"/>
      <c r="D95" s="309"/>
      <c r="E95" s="303"/>
      <c r="F95" s="303"/>
      <c r="G95" s="303"/>
      <c r="H95" s="303"/>
      <c r="I95" s="303"/>
    </row>
    <row r="96" spans="1:10" s="181" customFormat="1" x14ac:dyDescent="0.2">
      <c r="A96" s="306" t="s">
        <v>1231</v>
      </c>
      <c r="B96" s="344" t="s">
        <v>1741</v>
      </c>
      <c r="C96" s="308"/>
      <c r="D96" s="310"/>
      <c r="E96" s="310"/>
      <c r="F96" s="310"/>
      <c r="G96" s="310"/>
      <c r="H96" s="310"/>
      <c r="I96" s="303"/>
    </row>
    <row r="97" spans="1:9" s="181" customFormat="1" x14ac:dyDescent="0.2">
      <c r="A97" s="306"/>
      <c r="B97" s="307" t="s">
        <v>1740</v>
      </c>
      <c r="C97" s="308"/>
      <c r="D97" s="310"/>
      <c r="E97" s="310"/>
      <c r="F97" s="310"/>
      <c r="G97" s="310"/>
      <c r="H97" s="310"/>
      <c r="I97" s="303"/>
    </row>
    <row r="98" spans="1:9" s="181" customFormat="1" x14ac:dyDescent="0.2">
      <c r="A98" s="307"/>
      <c r="B98" s="311" t="s">
        <v>1742</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1228</v>
      </c>
      <c r="C101" s="309"/>
      <c r="D101" s="309"/>
      <c r="E101" s="303"/>
      <c r="F101" s="303"/>
      <c r="G101" s="303"/>
      <c r="H101" s="303"/>
      <c r="I101" s="303"/>
    </row>
    <row r="102" spans="1:9" s="181" customFormat="1" x14ac:dyDescent="0.2">
      <c r="A102" s="315"/>
      <c r="B102" s="2073"/>
      <c r="C102" s="2074"/>
      <c r="D102" s="2074"/>
      <c r="E102" s="2074"/>
      <c r="F102" s="2074"/>
      <c r="G102" s="2074"/>
      <c r="H102" s="2074"/>
      <c r="I102" s="2075"/>
    </row>
    <row r="103" spans="1:9" s="181" customFormat="1" ht="11.25" customHeight="1" x14ac:dyDescent="0.2">
      <c r="A103" s="315"/>
      <c r="B103" s="2076"/>
      <c r="C103" s="2077"/>
      <c r="D103" s="2077"/>
      <c r="E103" s="2077"/>
      <c r="F103" s="2077"/>
      <c r="G103" s="2077"/>
      <c r="H103" s="2077"/>
      <c r="I103" s="2078"/>
    </row>
    <row r="104" spans="1:9" s="181" customFormat="1" ht="11.25" customHeight="1" x14ac:dyDescent="0.2">
      <c r="A104" s="315"/>
      <c r="B104" s="2076"/>
      <c r="C104" s="2077"/>
      <c r="D104" s="2077"/>
      <c r="E104" s="2077"/>
      <c r="F104" s="2077"/>
      <c r="G104" s="2077"/>
      <c r="H104" s="2077"/>
      <c r="I104" s="2078"/>
    </row>
    <row r="105" spans="1:9" s="181" customFormat="1" x14ac:dyDescent="0.2">
      <c r="A105" s="315"/>
      <c r="B105" s="2076"/>
      <c r="C105" s="2077"/>
      <c r="D105" s="2077"/>
      <c r="E105" s="2077"/>
      <c r="F105" s="2077"/>
      <c r="G105" s="2077"/>
      <c r="H105" s="2077"/>
      <c r="I105" s="2078"/>
    </row>
    <row r="106" spans="1:9" s="181" customFormat="1" ht="11.25" customHeight="1" x14ac:dyDescent="0.2">
      <c r="A106" s="315"/>
      <c r="B106" s="2076"/>
      <c r="C106" s="2077"/>
      <c r="D106" s="2077"/>
      <c r="E106" s="2077"/>
      <c r="F106" s="2077"/>
      <c r="G106" s="2077"/>
      <c r="H106" s="2077"/>
      <c r="I106" s="2078"/>
    </row>
    <row r="107" spans="1:9" s="181" customFormat="1" ht="11.25" customHeight="1" x14ac:dyDescent="0.2">
      <c r="A107" s="315"/>
      <c r="B107" s="2076"/>
      <c r="C107" s="2077"/>
      <c r="D107" s="2077"/>
      <c r="E107" s="2077"/>
      <c r="F107" s="2077"/>
      <c r="G107" s="2077"/>
      <c r="H107" s="2077"/>
      <c r="I107" s="2078"/>
    </row>
    <row r="108" spans="1:9" s="181" customFormat="1" ht="11.25" customHeight="1" x14ac:dyDescent="0.2">
      <c r="A108" s="315"/>
      <c r="B108" s="2076"/>
      <c r="C108" s="2077"/>
      <c r="D108" s="2077"/>
      <c r="E108" s="2077"/>
      <c r="F108" s="2077"/>
      <c r="G108" s="2077"/>
      <c r="H108" s="2077"/>
      <c r="I108" s="2078"/>
    </row>
    <row r="109" spans="1:9" s="181" customFormat="1" ht="11.25" customHeight="1" x14ac:dyDescent="0.2">
      <c r="A109" s="315"/>
      <c r="B109" s="2076"/>
      <c r="C109" s="2077"/>
      <c r="D109" s="2077"/>
      <c r="E109" s="2077"/>
      <c r="F109" s="2077"/>
      <c r="G109" s="2077"/>
      <c r="H109" s="2077"/>
      <c r="I109" s="2078"/>
    </row>
    <row r="110" spans="1:9" s="181" customFormat="1" ht="11.25" customHeight="1" x14ac:dyDescent="0.2">
      <c r="A110" s="315"/>
      <c r="B110" s="2076"/>
      <c r="C110" s="2077"/>
      <c r="D110" s="2077"/>
      <c r="E110" s="2077"/>
      <c r="F110" s="2077"/>
      <c r="G110" s="2077"/>
      <c r="H110" s="2077"/>
      <c r="I110" s="2078"/>
    </row>
    <row r="111" spans="1:9" s="181" customFormat="1" ht="11.25" customHeight="1" x14ac:dyDescent="0.2">
      <c r="A111" s="315"/>
      <c r="B111" s="2076"/>
      <c r="C111" s="2077"/>
      <c r="D111" s="2077"/>
      <c r="E111" s="2077"/>
      <c r="F111" s="2077"/>
      <c r="G111" s="2077"/>
      <c r="H111" s="2077"/>
      <c r="I111" s="2078"/>
    </row>
    <row r="112" spans="1:9" s="181" customFormat="1" ht="11.25" customHeight="1" x14ac:dyDescent="0.2">
      <c r="A112" s="315"/>
      <c r="B112" s="2079"/>
      <c r="C112" s="2080"/>
      <c r="D112" s="2080"/>
      <c r="E112" s="2080"/>
      <c r="F112" s="2080"/>
      <c r="G112" s="2080"/>
      <c r="H112" s="2080"/>
      <c r="I112" s="2081"/>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082" t="s">
        <v>2083</v>
      </c>
      <c r="D114" s="2082"/>
      <c r="E114" s="303"/>
      <c r="F114" s="303"/>
      <c r="G114" s="303"/>
      <c r="H114" s="303"/>
      <c r="I114" s="303"/>
    </row>
    <row r="115" spans="1:9" s="181" customFormat="1" ht="11.25" customHeight="1" x14ac:dyDescent="0.2">
      <c r="A115" s="315"/>
      <c r="B115" s="315"/>
      <c r="C115" s="317"/>
      <c r="D115" s="318" t="s">
        <v>1229</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083" t="s">
        <v>1397</v>
      </c>
      <c r="D117" s="2084"/>
      <c r="E117" s="2085"/>
      <c r="F117" s="2085"/>
      <c r="G117" s="2085"/>
      <c r="H117" s="2085"/>
      <c r="I117" s="303"/>
    </row>
    <row r="118" spans="1:9" s="181" customFormat="1" ht="24" customHeight="1" x14ac:dyDescent="0.2">
      <c r="A118" s="315"/>
      <c r="B118" s="315"/>
      <c r="C118" s="315"/>
      <c r="D118" s="322"/>
      <c r="E118" s="321"/>
      <c r="F118" s="323"/>
      <c r="G118" s="1862"/>
      <c r="H118" s="321"/>
      <c r="I118" s="303"/>
    </row>
    <row r="119" spans="1:9" s="181" customFormat="1" ht="11.25" customHeight="1" x14ac:dyDescent="0.2">
      <c r="A119" s="324"/>
      <c r="B119" s="324"/>
      <c r="C119" s="325"/>
      <c r="D119" s="326" t="s">
        <v>379</v>
      </c>
      <c r="E119" s="309"/>
      <c r="F119" s="1861" t="s">
        <v>2021</v>
      </c>
      <c r="G119" s="327"/>
      <c r="H119" s="327"/>
      <c r="I119" s="303"/>
    </row>
    <row r="120" spans="1:9" x14ac:dyDescent="0.2">
      <c r="A120" s="328"/>
      <c r="B120" s="180"/>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1" t="str">
        <f>'Single Audit Cover'!A7</f>
        <v>KENILWORTH SD 38</v>
      </c>
      <c r="C1" s="2472"/>
      <c r="D1" s="2472"/>
      <c r="E1" s="2472"/>
      <c r="F1" s="2472"/>
      <c r="G1" s="2472"/>
      <c r="H1" s="2472"/>
      <c r="I1" s="2472"/>
      <c r="J1" s="1421"/>
    </row>
    <row r="2" spans="2:10" s="316" customFormat="1" ht="12.75" customHeight="1" x14ac:dyDescent="0.2">
      <c r="B2" s="2473" t="str">
        <f>'Single Audit Cover'!E7</f>
        <v>05-016-0380-02</v>
      </c>
      <c r="C2" s="2474"/>
      <c r="D2" s="2474"/>
      <c r="E2" s="2474"/>
      <c r="F2" s="2474"/>
      <c r="G2" s="2474"/>
      <c r="H2" s="2474"/>
      <c r="I2" s="2474"/>
      <c r="J2" s="1421"/>
    </row>
    <row r="3" spans="2:10" s="316" customFormat="1" ht="12.75" customHeight="1" x14ac:dyDescent="0.2">
      <c r="B3" s="2475" t="s">
        <v>1347</v>
      </c>
      <c r="C3" s="2476"/>
      <c r="D3" s="2476"/>
      <c r="E3" s="2476"/>
      <c r="F3" s="2476"/>
      <c r="G3" s="2476"/>
      <c r="H3" s="2476"/>
      <c r="I3" s="2476"/>
      <c r="J3" s="1422"/>
    </row>
    <row r="4" spans="2:10" s="316" customFormat="1" ht="12.75" customHeight="1" x14ac:dyDescent="0.2">
      <c r="B4" s="2475" t="str">
        <f>'Single Audit Cover'!A4</f>
        <v>Year Ending June 30, 2018</v>
      </c>
      <c r="C4" s="2476"/>
      <c r="D4" s="2476"/>
      <c r="E4" s="2476"/>
      <c r="F4" s="2476"/>
      <c r="G4" s="2476"/>
      <c r="H4" s="2476"/>
      <c r="I4" s="2476"/>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75" t="s">
        <v>1346</v>
      </c>
      <c r="C7" s="2476"/>
      <c r="D7" s="2476"/>
      <c r="E7" s="2476"/>
      <c r="F7" s="2476"/>
      <c r="G7" s="2476"/>
      <c r="H7" s="2476"/>
      <c r="I7" s="2476"/>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77"/>
      <c r="D11" s="2477"/>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78"/>
      <c r="E29" s="2478"/>
      <c r="F29" s="2478"/>
      <c r="G29" s="2478"/>
      <c r="H29" s="2478"/>
      <c r="I29" s="2478"/>
    </row>
    <row r="30" spans="2:9" s="316" customFormat="1" x14ac:dyDescent="0.2">
      <c r="B30" s="1367"/>
      <c r="C30" s="321"/>
      <c r="D30" s="1432" t="s">
        <v>1851</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79" t="s">
        <v>1854</v>
      </c>
      <c r="D37" s="2480"/>
      <c r="E37" s="2480"/>
      <c r="F37" s="2481"/>
      <c r="G37" s="2479" t="s">
        <v>1674</v>
      </c>
      <c r="H37" s="2480"/>
      <c r="I37" s="2481"/>
    </row>
    <row r="38" spans="2:9" ht="16.5" customHeight="1" x14ac:dyDescent="0.2">
      <c r="B38" s="1443"/>
      <c r="C38" s="2467"/>
      <c r="D38" s="2468"/>
      <c r="E38" s="2468"/>
      <c r="F38" s="2469"/>
      <c r="G38" s="2482"/>
      <c r="H38" s="2483"/>
      <c r="I38" s="2484"/>
    </row>
    <row r="39" spans="2:9" ht="16.5" customHeight="1" x14ac:dyDescent="0.2">
      <c r="B39" s="1443"/>
      <c r="C39" s="2467"/>
      <c r="D39" s="2468"/>
      <c r="E39" s="2468"/>
      <c r="F39" s="2469"/>
      <c r="G39" s="2470"/>
      <c r="H39" s="2470"/>
      <c r="I39" s="2470"/>
    </row>
    <row r="40" spans="2:9" ht="16.5" customHeight="1" x14ac:dyDescent="0.2">
      <c r="B40" s="1443"/>
      <c r="C40" s="2467"/>
      <c r="D40" s="2468"/>
      <c r="E40" s="2468"/>
      <c r="F40" s="2469"/>
      <c r="G40" s="2470"/>
      <c r="H40" s="2470"/>
      <c r="I40" s="2470"/>
    </row>
    <row r="41" spans="2:9" ht="16.5" customHeight="1" x14ac:dyDescent="0.2">
      <c r="B41" s="1443"/>
      <c r="C41" s="2467"/>
      <c r="D41" s="2468"/>
      <c r="E41" s="2468"/>
      <c r="F41" s="2469"/>
      <c r="G41" s="2470"/>
      <c r="H41" s="2470"/>
      <c r="I41" s="2470"/>
    </row>
    <row r="42" spans="2:9" ht="16.5" customHeight="1" x14ac:dyDescent="0.2">
      <c r="B42" s="1443"/>
      <c r="C42" s="2467"/>
      <c r="D42" s="2468"/>
      <c r="E42" s="2468"/>
      <c r="F42" s="2469"/>
      <c r="G42" s="2470"/>
      <c r="H42" s="2470"/>
      <c r="I42" s="2470"/>
    </row>
    <row r="43" spans="2:9" ht="16.5" customHeight="1" x14ac:dyDescent="0.2">
      <c r="B43" s="1443"/>
      <c r="C43" s="2485" t="s">
        <v>1675</v>
      </c>
      <c r="D43" s="2486"/>
      <c r="E43" s="2486"/>
      <c r="F43" s="2487"/>
      <c r="G43" s="2488">
        <f>SUM(G38:I42)</f>
        <v>0</v>
      </c>
      <c r="H43" s="2488"/>
      <c r="I43" s="2488"/>
    </row>
    <row r="44" spans="2:9" ht="12.75" customHeight="1" x14ac:dyDescent="0.2"/>
    <row r="45" spans="2:9" ht="12.75" customHeight="1" x14ac:dyDescent="0.2">
      <c r="B45" s="1434" t="s">
        <v>1951</v>
      </c>
      <c r="D45" s="2489">
        <v>0</v>
      </c>
      <c r="E45" s="2490"/>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1"/>
      <c r="F49" s="2491"/>
      <c r="G49" s="2491"/>
      <c r="H49" s="321"/>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1" t="str">
        <f>'Single Audit Cover'!A7</f>
        <v>KENILWORTH SD 38</v>
      </c>
      <c r="C1" s="2471"/>
      <c r="D1" s="2471"/>
      <c r="E1" s="2471"/>
      <c r="F1" s="2471"/>
      <c r="G1" s="2471"/>
      <c r="H1" s="2471"/>
      <c r="I1" s="2471"/>
      <c r="J1" s="2471"/>
      <c r="K1" s="2471"/>
      <c r="L1" s="1373"/>
      <c r="M1" s="1373"/>
    </row>
    <row r="2" spans="1:13" ht="12" customHeight="1" x14ac:dyDescent="0.2">
      <c r="B2" s="2473" t="str">
        <f>'Single Audit Cover'!E7</f>
        <v>05-016-0380-02</v>
      </c>
      <c r="C2" s="2473"/>
      <c r="D2" s="2473"/>
      <c r="E2" s="2473"/>
      <c r="F2" s="2473"/>
      <c r="G2" s="2473"/>
      <c r="H2" s="2473"/>
      <c r="I2" s="2473"/>
      <c r="J2" s="2473"/>
      <c r="K2" s="2473"/>
      <c r="L2" s="1374"/>
      <c r="M2" s="1375"/>
    </row>
    <row r="3" spans="1:13" ht="10.35" customHeight="1" x14ac:dyDescent="0.2">
      <c r="B3" s="2494" t="s">
        <v>1347</v>
      </c>
      <c r="C3" s="2494"/>
      <c r="D3" s="2494"/>
      <c r="E3" s="2494"/>
      <c r="F3" s="2494"/>
      <c r="G3" s="2494"/>
      <c r="H3" s="2494"/>
      <c r="I3" s="2494"/>
      <c r="J3" s="2494"/>
      <c r="K3" s="2494"/>
      <c r="L3" s="1376"/>
      <c r="M3" s="1376"/>
    </row>
    <row r="4" spans="1:13" ht="14.25" customHeight="1" x14ac:dyDescent="0.2">
      <c r="B4" s="2495" t="str">
        <f>'Single Audit Cover'!A4</f>
        <v>Year Ending June 30, 2018</v>
      </c>
      <c r="C4" s="2495"/>
      <c r="D4" s="2495"/>
      <c r="E4" s="2495"/>
      <c r="F4" s="2495"/>
      <c r="G4" s="2495"/>
      <c r="H4" s="2495"/>
      <c r="I4" s="2495"/>
      <c r="J4" s="2495"/>
      <c r="K4" s="2495"/>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3"/>
      <c r="C14" s="2493"/>
      <c r="D14" s="2493"/>
      <c r="E14" s="2493"/>
      <c r="F14" s="2493"/>
      <c r="G14" s="2493"/>
      <c r="H14" s="2493"/>
      <c r="I14" s="2493"/>
      <c r="J14" s="2493"/>
      <c r="K14" s="249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3"/>
      <c r="C17" s="2493"/>
      <c r="D17" s="2493"/>
      <c r="E17" s="2493"/>
      <c r="F17" s="2493"/>
      <c r="G17" s="2493"/>
      <c r="H17" s="2493"/>
      <c r="I17" s="2493"/>
      <c r="J17" s="2493"/>
      <c r="K17" s="2493"/>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7"/>
      <c r="C20" s="2497"/>
      <c r="D20" s="2493"/>
      <c r="E20" s="2493"/>
      <c r="F20" s="2493"/>
      <c r="G20" s="2493"/>
      <c r="H20" s="2493"/>
      <c r="I20" s="2493"/>
      <c r="J20" s="2493"/>
      <c r="K20" s="249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3"/>
      <c r="C23" s="2493"/>
      <c r="D23" s="2493"/>
      <c r="E23" s="2493"/>
      <c r="F23" s="2493"/>
      <c r="G23" s="2493"/>
      <c r="H23" s="2493"/>
      <c r="I23" s="2493"/>
      <c r="J23" s="2493"/>
      <c r="K23" s="249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3"/>
      <c r="C26" s="2493"/>
      <c r="D26" s="2493"/>
      <c r="E26" s="2493"/>
      <c r="F26" s="2493"/>
      <c r="G26" s="2493"/>
      <c r="H26" s="2493"/>
      <c r="I26" s="2493"/>
      <c r="J26" s="2493"/>
      <c r="K26" s="249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2"/>
      <c r="C29" s="2492"/>
      <c r="D29" s="2493"/>
      <c r="E29" s="2493"/>
      <c r="F29" s="2493"/>
      <c r="G29" s="2493"/>
      <c r="H29" s="2493"/>
      <c r="I29" s="2493"/>
      <c r="J29" s="2493"/>
      <c r="K29" s="2493"/>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1847</v>
      </c>
      <c r="C31" s="1402"/>
      <c r="D31" s="1377"/>
      <c r="E31" s="1378"/>
      <c r="F31" s="1378"/>
      <c r="G31" s="1379"/>
      <c r="H31" s="1378"/>
      <c r="I31" s="1379"/>
      <c r="J31" s="1378"/>
      <c r="K31" s="1378"/>
      <c r="L31" s="1380"/>
    </row>
    <row r="32" spans="2:12" s="321" customFormat="1" ht="44.25" customHeight="1" x14ac:dyDescent="0.2">
      <c r="B32" s="2492"/>
      <c r="C32" s="2492"/>
      <c r="D32" s="2493"/>
      <c r="E32" s="2493"/>
      <c r="F32" s="2493"/>
      <c r="G32" s="2493"/>
      <c r="H32" s="2493"/>
      <c r="I32" s="2493"/>
      <c r="J32" s="2493"/>
      <c r="K32" s="2493"/>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1"/>
      <c r="E35" s="321"/>
      <c r="F35" s="321"/>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8" t="str">
        <f>'Single Audit Cover'!A7</f>
        <v>KENILWORTH SD 38</v>
      </c>
      <c r="C1" s="2498"/>
      <c r="D1" s="2498"/>
      <c r="E1" s="2498"/>
      <c r="F1" s="2498"/>
      <c r="G1" s="2498"/>
      <c r="H1" s="2498"/>
      <c r="I1" s="2498"/>
      <c r="J1" s="2498"/>
      <c r="K1" s="2498"/>
      <c r="L1" s="1464"/>
    </row>
    <row r="2" spans="1:12" ht="12.75" customHeight="1" x14ac:dyDescent="0.2">
      <c r="B2" s="2499" t="str">
        <f>'Single Audit Cover'!E7</f>
        <v>05-016-0380-02</v>
      </c>
      <c r="C2" s="2499"/>
      <c r="D2" s="2499"/>
      <c r="E2" s="2499"/>
      <c r="F2" s="2499"/>
      <c r="G2" s="2499"/>
      <c r="H2" s="2499"/>
      <c r="I2" s="2499"/>
      <c r="J2" s="2499"/>
      <c r="K2" s="2499"/>
      <c r="L2" s="1465"/>
    </row>
    <row r="3" spans="1:12" ht="12.75" customHeight="1" x14ac:dyDescent="0.2">
      <c r="B3" s="2494" t="s">
        <v>1347</v>
      </c>
      <c r="C3" s="2494"/>
      <c r="D3" s="2494"/>
      <c r="E3" s="2494"/>
      <c r="F3" s="2494"/>
      <c r="G3" s="2494"/>
      <c r="H3" s="2494"/>
      <c r="I3" s="2494"/>
      <c r="J3" s="2494"/>
      <c r="K3" s="2494"/>
      <c r="L3" s="1376"/>
    </row>
    <row r="4" spans="1:12" ht="12.75" customHeight="1" x14ac:dyDescent="0.2">
      <c r="B4" s="2494" t="str">
        <f>'Single Audit Cover'!A4</f>
        <v>Year Ending June 30, 2018</v>
      </c>
      <c r="C4" s="2494"/>
      <c r="D4" s="2494"/>
      <c r="E4" s="2494"/>
      <c r="F4" s="2494"/>
      <c r="G4" s="2494"/>
      <c r="H4" s="2494"/>
      <c r="I4" s="2494"/>
      <c r="J4" s="2494"/>
      <c r="K4" s="2494"/>
      <c r="L4" s="1376"/>
    </row>
    <row r="5" spans="1:12" ht="5.25" customHeight="1" x14ac:dyDescent="0.2">
      <c r="B5" s="1259" t="s">
        <v>1231</v>
      </c>
      <c r="C5" s="1259"/>
      <c r="L5" s="321"/>
    </row>
    <row r="6" spans="1:12" ht="30.75" customHeight="1" x14ac:dyDescent="0.2">
      <c r="A6" s="321"/>
      <c r="B6" s="2500" t="s">
        <v>1375</v>
      </c>
      <c r="C6" s="2500"/>
      <c r="D6" s="2500"/>
      <c r="E6" s="2500"/>
      <c r="F6" s="2500"/>
      <c r="G6" s="2500"/>
      <c r="H6" s="2500"/>
      <c r="I6" s="2500"/>
      <c r="J6" s="2500"/>
      <c r="K6" s="2500"/>
      <c r="L6" s="321"/>
    </row>
    <row r="7" spans="1:12" ht="4.5" customHeight="1" x14ac:dyDescent="0.2">
      <c r="B7" s="1378"/>
      <c r="C7" s="1378"/>
      <c r="D7" s="1378"/>
      <c r="E7" s="1378"/>
      <c r="F7" s="1378"/>
      <c r="G7" s="1379"/>
      <c r="H7" s="1378"/>
      <c r="I7" s="1379"/>
      <c r="J7" s="1378"/>
      <c r="K7" s="1378"/>
      <c r="L7" s="321"/>
    </row>
    <row r="8" spans="1:12" ht="13.5" customHeight="1" x14ac:dyDescent="0.2">
      <c r="B8" s="1386" t="s">
        <v>1859</v>
      </c>
      <c r="C8" s="1466" t="s">
        <v>1952</v>
      </c>
      <c r="D8" s="1467"/>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78"/>
      <c r="G12" s="2478"/>
      <c r="H12" s="2478"/>
      <c r="I12" s="2478"/>
      <c r="J12" s="2478"/>
      <c r="K12" s="2478"/>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501"/>
      <c r="E14" s="2501"/>
      <c r="F14" s="2501"/>
      <c r="H14" s="1474" t="s">
        <v>1370</v>
      </c>
      <c r="I14" s="2502"/>
      <c r="J14" s="2502"/>
      <c r="K14" s="2502"/>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502"/>
      <c r="E16" s="2502"/>
      <c r="F16" s="2502"/>
      <c r="G16" s="2502"/>
      <c r="H16" s="2502"/>
      <c r="I16" s="2502"/>
      <c r="J16" s="2502"/>
      <c r="K16" s="2502"/>
      <c r="L16" s="321"/>
    </row>
    <row r="17" spans="2:12" ht="13.5" customHeight="1" x14ac:dyDescent="0.2">
      <c r="B17" s="1386" t="s">
        <v>1368</v>
      </c>
      <c r="C17" s="1386"/>
      <c r="D17" s="2503"/>
      <c r="E17" s="2503"/>
      <c r="F17" s="2503"/>
      <c r="G17" s="2503"/>
      <c r="H17" s="2503"/>
      <c r="I17" s="2503"/>
      <c r="J17" s="2503"/>
      <c r="K17" s="2503"/>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493"/>
      <c r="C20" s="2493"/>
      <c r="D20" s="2493"/>
      <c r="E20" s="2493"/>
      <c r="F20" s="2493"/>
      <c r="G20" s="2493"/>
      <c r="H20" s="2493"/>
      <c r="I20" s="2493"/>
      <c r="J20" s="2493"/>
      <c r="K20" s="2493"/>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1"/>
      <c r="E22" s="321"/>
      <c r="F22" s="321"/>
      <c r="G22" s="1382"/>
      <c r="H22" s="321"/>
      <c r="I22" s="1382"/>
      <c r="J22" s="321"/>
      <c r="K22" s="321"/>
      <c r="L22" s="321"/>
    </row>
    <row r="23" spans="2:12" ht="37.5" customHeight="1" x14ac:dyDescent="0.2">
      <c r="B23" s="2493"/>
      <c r="C23" s="2493"/>
      <c r="D23" s="2493"/>
      <c r="E23" s="2493"/>
      <c r="F23" s="2493"/>
      <c r="G23" s="2493"/>
      <c r="H23" s="2493"/>
      <c r="I23" s="2493"/>
      <c r="J23" s="2493"/>
      <c r="K23" s="2493"/>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1861</v>
      </c>
      <c r="C25" s="1476"/>
      <c r="D25" s="321"/>
      <c r="E25" s="321"/>
      <c r="F25" s="321"/>
      <c r="G25" s="1382"/>
      <c r="H25" s="321"/>
      <c r="I25" s="1382"/>
      <c r="J25" s="321"/>
      <c r="K25" s="321"/>
      <c r="L25" s="321"/>
    </row>
    <row r="26" spans="2:12" ht="37.5" customHeight="1" x14ac:dyDescent="0.2">
      <c r="B26" s="2493"/>
      <c r="C26" s="2493"/>
      <c r="D26" s="2493"/>
      <c r="E26" s="2493"/>
      <c r="F26" s="2493"/>
      <c r="G26" s="2493"/>
      <c r="H26" s="2493"/>
      <c r="I26" s="2493"/>
      <c r="J26" s="2493"/>
      <c r="K26" s="2493"/>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1862</v>
      </c>
      <c r="C28" s="1476"/>
      <c r="D28" s="321"/>
      <c r="E28" s="321"/>
      <c r="F28" s="321"/>
      <c r="G28" s="1382"/>
      <c r="H28" s="321"/>
      <c r="I28" s="1382"/>
      <c r="J28" s="321"/>
      <c r="K28" s="321"/>
      <c r="L28" s="321"/>
    </row>
    <row r="29" spans="2:12" ht="37.5" customHeight="1" x14ac:dyDescent="0.2">
      <c r="B29" s="2493"/>
      <c r="C29" s="2493"/>
      <c r="D29" s="2493"/>
      <c r="E29" s="2493"/>
      <c r="F29" s="2493"/>
      <c r="G29" s="2493"/>
      <c r="H29" s="2493"/>
      <c r="I29" s="2493"/>
      <c r="J29" s="2493"/>
      <c r="K29" s="2493"/>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493"/>
      <c r="C32" s="2493"/>
      <c r="D32" s="2493"/>
      <c r="E32" s="2493"/>
      <c r="F32" s="2493"/>
      <c r="G32" s="2493"/>
      <c r="H32" s="2493"/>
      <c r="I32" s="2493"/>
      <c r="J32" s="2493"/>
      <c r="K32" s="2493"/>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493"/>
      <c r="C35" s="2493"/>
      <c r="D35" s="2493"/>
      <c r="E35" s="2493"/>
      <c r="F35" s="2493"/>
      <c r="G35" s="2493"/>
      <c r="H35" s="2493"/>
      <c r="I35" s="2493"/>
      <c r="J35" s="2493"/>
      <c r="K35" s="2493"/>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493"/>
      <c r="C38" s="2493"/>
      <c r="D38" s="2493"/>
      <c r="E38" s="2493"/>
      <c r="F38" s="2493"/>
      <c r="G38" s="2493"/>
      <c r="H38" s="2493"/>
      <c r="I38" s="2493"/>
      <c r="J38" s="2493"/>
      <c r="K38" s="2493"/>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1863</v>
      </c>
      <c r="C40" s="1402"/>
      <c r="D40" s="1377"/>
      <c r="E40" s="1378"/>
      <c r="F40" s="1378"/>
      <c r="G40" s="1379"/>
      <c r="H40" s="1378"/>
      <c r="I40" s="1379"/>
      <c r="J40" s="1378"/>
      <c r="K40" s="1378"/>
    </row>
    <row r="41" spans="2:12" s="321" customFormat="1" ht="33.75" customHeight="1" x14ac:dyDescent="0.2">
      <c r="B41" s="2493"/>
      <c r="C41" s="2493"/>
      <c r="D41" s="2493"/>
      <c r="E41" s="2493"/>
      <c r="F41" s="2493"/>
      <c r="G41" s="2493"/>
      <c r="H41" s="2493"/>
      <c r="I41" s="2493"/>
      <c r="J41" s="2493"/>
      <c r="K41" s="2493"/>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1"/>
      <c r="E48" s="321"/>
      <c r="F48" s="321"/>
    </row>
    <row r="49" spans="2:3" s="316" customFormat="1" ht="10.5" customHeight="1" x14ac:dyDescent="0.2">
      <c r="B49" s="1419" t="s">
        <v>1865</v>
      </c>
      <c r="C49" s="1419"/>
    </row>
    <row r="50" spans="2:3" s="316" customFormat="1" ht="11.1" customHeight="1" x14ac:dyDescent="0.2">
      <c r="B50" s="1419" t="s">
        <v>1866</v>
      </c>
      <c r="C50" s="1419"/>
    </row>
    <row r="51" spans="2:3" s="316" customFormat="1" ht="11.1" customHeight="1" x14ac:dyDescent="0.2">
      <c r="B51" s="1419" t="s">
        <v>1867</v>
      </c>
      <c r="C51" s="1419"/>
    </row>
    <row r="52" spans="2:3" s="316"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71" t="str">
        <f>'Single Audit Cover'!A7</f>
        <v>KENILWORTH SD 38</v>
      </c>
      <c r="C1" s="2471"/>
      <c r="D1" s="2471"/>
      <c r="E1" s="1490"/>
    </row>
    <row r="2" spans="2:5" s="1281" customFormat="1" ht="12.75" customHeight="1" x14ac:dyDescent="0.2">
      <c r="B2" s="2473" t="str">
        <f>'Single Audit Cover'!E7</f>
        <v>05-016-0380-02</v>
      </c>
      <c r="C2" s="2473"/>
      <c r="D2" s="2473"/>
      <c r="E2" s="1491"/>
    </row>
    <row r="3" spans="2:5" ht="12.75" customHeight="1" x14ac:dyDescent="0.2">
      <c r="B3" s="2494" t="s">
        <v>1869</v>
      </c>
      <c r="C3" s="2494"/>
      <c r="D3" s="2494"/>
      <c r="E3" s="1273"/>
    </row>
    <row r="4" spans="2:5" s="1281" customFormat="1" ht="12.75" customHeight="1" x14ac:dyDescent="0.2">
      <c r="B4" s="2504" t="str">
        <f>'Single Audit Cover'!A4</f>
        <v>Year Ending June 30, 2018</v>
      </c>
      <c r="C4" s="2504"/>
      <c r="D4" s="2504"/>
      <c r="E4" s="1492"/>
    </row>
    <row r="5" spans="2:5" s="1281" customFormat="1" ht="40.15" customHeight="1" x14ac:dyDescent="0.2">
      <c r="B5" s="1493" t="s">
        <v>1870</v>
      </c>
      <c r="C5" s="327"/>
      <c r="D5" s="327"/>
      <c r="E5" s="327"/>
    </row>
    <row r="6" spans="2:5" s="1281" customFormat="1" ht="13.5" customHeight="1" x14ac:dyDescent="0.2">
      <c r="B6" s="1494" t="s">
        <v>1382</v>
      </c>
      <c r="C6" s="1494" t="s">
        <v>1381</v>
      </c>
      <c r="D6" s="1494" t="s">
        <v>1871</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H31" sqref="H31"/>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102" t="s">
        <v>404</v>
      </c>
      <c r="B1" s="2102"/>
      <c r="C1" s="2102"/>
      <c r="D1" s="2102"/>
      <c r="E1" s="2102"/>
      <c r="F1" s="2102"/>
      <c r="G1" s="2102"/>
      <c r="H1" s="2102"/>
      <c r="I1" s="2102"/>
      <c r="J1" s="2102"/>
      <c r="K1" s="2102"/>
      <c r="L1" s="2102"/>
      <c r="M1" s="2102"/>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478</v>
      </c>
      <c r="B5" s="348" t="s">
        <v>1746</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1747</v>
      </c>
      <c r="E7" s="222"/>
      <c r="F7" s="350" t="s">
        <v>290</v>
      </c>
      <c r="G7" s="222"/>
      <c r="H7" s="222"/>
      <c r="I7" s="222"/>
      <c r="J7" s="351">
        <v>368745908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1217</v>
      </c>
      <c r="E9" s="348"/>
      <c r="F9" s="353" t="s">
        <v>925</v>
      </c>
      <c r="G9" s="348"/>
      <c r="H9" s="352" t="s">
        <v>157</v>
      </c>
      <c r="I9" s="348"/>
      <c r="J9" s="353" t="s">
        <v>1059</v>
      </c>
      <c r="K9" s="348"/>
      <c r="L9" s="352" t="s">
        <v>427</v>
      </c>
      <c r="M9" s="222"/>
    </row>
    <row r="10" spans="1:14" ht="13.35" customHeight="1" x14ac:dyDescent="0.2">
      <c r="A10" s="343" t="s">
        <v>986</v>
      </c>
      <c r="C10" s="222"/>
      <c r="D10" s="354">
        <v>2.7144999999999999E-2</v>
      </c>
      <c r="E10" s="355" t="s">
        <v>1062</v>
      </c>
      <c r="F10" s="354">
        <v>4.2700000000000004E-3</v>
      </c>
      <c r="G10" s="355" t="s">
        <v>1062</v>
      </c>
      <c r="H10" s="354">
        <v>1.3899999999999999E-4</v>
      </c>
      <c r="I10" s="355" t="s">
        <v>1063</v>
      </c>
      <c r="J10" s="1753">
        <f>ROUND(D10+F10+H10,5)</f>
        <v>3.1550000000000002E-2</v>
      </c>
      <c r="K10" s="222"/>
      <c r="L10" s="354"/>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6"/>
      <c r="M11" s="222"/>
    </row>
    <row r="12" spans="1:14" ht="10.5" hidden="1" customHeight="1" x14ac:dyDescent="0.2">
      <c r="B12" s="222"/>
      <c r="C12" s="222"/>
      <c r="D12" s="357"/>
      <c r="E12" s="358"/>
      <c r="F12" s="358"/>
      <c r="G12" s="358"/>
      <c r="H12" s="358"/>
      <c r="I12" s="358"/>
      <c r="J12" s="358"/>
      <c r="K12" s="222"/>
      <c r="L12" s="356"/>
      <c r="M12" s="222"/>
    </row>
    <row r="13" spans="1:14" ht="14.25" customHeight="1" x14ac:dyDescent="0.2">
      <c r="A13" s="348" t="s">
        <v>99</v>
      </c>
      <c r="B13" s="348" t="s">
        <v>1748</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548</v>
      </c>
      <c r="E15" s="222"/>
      <c r="F15" s="353" t="s">
        <v>1060</v>
      </c>
      <c r="G15" s="222"/>
      <c r="H15" s="353" t="s">
        <v>1061</v>
      </c>
      <c r="I15" s="222"/>
      <c r="J15" s="352" t="s">
        <v>410</v>
      </c>
      <c r="K15" s="222"/>
      <c r="L15" s="222"/>
      <c r="M15" s="222"/>
    </row>
    <row r="16" spans="1:14" ht="13.35" customHeight="1" x14ac:dyDescent="0.2">
      <c r="A16" s="348"/>
      <c r="B16" s="222"/>
      <c r="C16" s="222"/>
      <c r="D16" s="1754">
        <f>SUM('Acct Summary 7-8'!C8,'Acct Summary 7-8'!D8,'Acct Summary 7-8'!F8,'Acct Summary 7-8'!I8)</f>
        <v>12307452</v>
      </c>
      <c r="E16" s="355"/>
      <c r="F16" s="1754">
        <f>SUM('Acct Summary 7-8'!C17,'Acct Summary 7-8'!D17,'Acct Summary 7-8'!F17)</f>
        <v>12101286</v>
      </c>
      <c r="G16" s="355"/>
      <c r="H16" s="1754">
        <f>SUM(D16-F16)</f>
        <v>206166</v>
      </c>
      <c r="I16" s="222"/>
      <c r="J16" s="1754">
        <f>SUM('Acct Summary 7-8'!C81,'Acct Summary 7-8'!D81,'Acct Summary 7-8'!F81,'Acct Summary 7-8'!I81)</f>
        <v>20559088</v>
      </c>
      <c r="K16" s="222"/>
      <c r="L16" s="222"/>
      <c r="M16" s="222"/>
    </row>
    <row r="17" spans="1:13" ht="12.2" customHeight="1" x14ac:dyDescent="0.2">
      <c r="A17" s="348"/>
      <c r="B17" s="259" t="s">
        <v>8</v>
      </c>
      <c r="C17" s="237" t="s">
        <v>1463</v>
      </c>
      <c r="D17" s="222"/>
      <c r="E17" s="222"/>
      <c r="F17" s="222"/>
      <c r="G17" s="222"/>
      <c r="H17" s="222"/>
      <c r="I17" s="222"/>
      <c r="J17" s="222"/>
      <c r="K17" s="222"/>
      <c r="L17" s="222"/>
      <c r="M17" s="222"/>
    </row>
    <row r="18" spans="1:13" ht="12.2" customHeight="1" x14ac:dyDescent="0.2">
      <c r="A18" s="348"/>
      <c r="B18" s="222"/>
      <c r="C18" s="237" t="s">
        <v>527</v>
      </c>
      <c r="D18" s="222"/>
      <c r="E18" s="222"/>
      <c r="F18" s="222"/>
      <c r="G18" s="222"/>
      <c r="H18" s="222"/>
      <c r="I18" s="222"/>
      <c r="J18" s="222"/>
      <c r="K18" s="222"/>
      <c r="L18" s="222"/>
      <c r="M18" s="222"/>
    </row>
    <row r="19" spans="1:13" s="328" customFormat="1" ht="10.5" customHeight="1" x14ac:dyDescent="0.2"/>
    <row r="20" spans="1:13" ht="12.75" customHeight="1" x14ac:dyDescent="0.2">
      <c r="A20" s="348" t="s">
        <v>866</v>
      </c>
      <c r="B20" s="348" t="s">
        <v>1749</v>
      </c>
      <c r="C20" s="222"/>
      <c r="D20" s="222"/>
      <c r="E20" s="222"/>
      <c r="F20" s="222"/>
      <c r="G20" s="222"/>
      <c r="H20" s="222"/>
      <c r="I20" s="222"/>
      <c r="J20" s="222"/>
      <c r="K20" s="222"/>
      <c r="L20" s="222"/>
      <c r="M20" s="222"/>
    </row>
    <row r="21" spans="1:13" x14ac:dyDescent="0.2">
      <c r="A21" s="348"/>
      <c r="B21" s="222"/>
      <c r="C21" s="222"/>
      <c r="D21" s="359" t="s">
        <v>412</v>
      </c>
      <c r="E21" s="360"/>
      <c r="F21" s="359" t="s">
        <v>411</v>
      </c>
      <c r="G21" s="360"/>
      <c r="H21" s="359" t="s">
        <v>413</v>
      </c>
      <c r="I21" s="360"/>
      <c r="J21" s="359" t="s">
        <v>43</v>
      </c>
      <c r="K21" s="360"/>
      <c r="L21" s="361" t="s">
        <v>566</v>
      </c>
      <c r="M21" s="222"/>
    </row>
    <row r="22" spans="1:13" ht="13.35" customHeight="1" x14ac:dyDescent="0.2">
      <c r="A22" s="348"/>
      <c r="B22" s="222"/>
      <c r="C22" s="222"/>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2"/>
      <c r="C23" s="222"/>
      <c r="D23" s="359" t="s">
        <v>1123</v>
      </c>
      <c r="E23" s="360"/>
      <c r="F23" s="359" t="s">
        <v>158</v>
      </c>
      <c r="G23" s="222"/>
      <c r="H23" s="222"/>
      <c r="I23" s="222"/>
      <c r="J23" s="222"/>
      <c r="K23" s="222"/>
      <c r="L23" s="222"/>
      <c r="M23" s="222"/>
    </row>
    <row r="24" spans="1:13" ht="13.35" customHeight="1" x14ac:dyDescent="0.2">
      <c r="A24" s="348"/>
      <c r="B24" s="222"/>
      <c r="C24" s="355"/>
      <c r="D24" s="1754">
        <f>'Short-Term Long-Term Debt 24'!F27</f>
        <v>0</v>
      </c>
      <c r="E24" s="355" t="s">
        <v>1063</v>
      </c>
      <c r="F24" s="1755">
        <f>SUM(D22,F22,H22,J22,L22, D24)</f>
        <v>0</v>
      </c>
      <c r="G24" s="222"/>
      <c r="H24" s="222"/>
      <c r="I24" s="222"/>
      <c r="J24" s="222"/>
      <c r="K24" s="222"/>
      <c r="L24" s="222"/>
      <c r="M24" s="222"/>
    </row>
    <row r="25" spans="1:13" ht="11.25" customHeight="1" x14ac:dyDescent="0.2">
      <c r="A25" s="348"/>
      <c r="B25" s="181" t="s">
        <v>9</v>
      </c>
      <c r="C25" s="237" t="s">
        <v>883</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2"/>
      <c r="C27" s="363"/>
      <c r="D27" s="222"/>
      <c r="E27" s="222"/>
      <c r="F27" s="222"/>
      <c r="G27" s="222"/>
      <c r="H27" s="222"/>
      <c r="I27" s="222"/>
      <c r="J27" s="222"/>
      <c r="K27" s="222"/>
      <c r="L27" s="222"/>
      <c r="M27" s="222"/>
    </row>
    <row r="28" spans="1:13" ht="12.75" customHeight="1" x14ac:dyDescent="0.2">
      <c r="A28" s="348" t="s">
        <v>100</v>
      </c>
      <c r="B28" s="348" t="s">
        <v>143</v>
      </c>
      <c r="C28" s="222"/>
      <c r="D28" s="222"/>
      <c r="E28" s="222"/>
      <c r="F28" s="222"/>
      <c r="G28" s="222"/>
      <c r="H28" s="222"/>
      <c r="I28" s="222"/>
      <c r="J28" s="222"/>
      <c r="K28" s="222"/>
      <c r="L28" s="222"/>
      <c r="M28" s="222"/>
    </row>
    <row r="29" spans="1:13" ht="12.2" customHeight="1" x14ac:dyDescent="0.2">
      <c r="A29" s="348"/>
      <c r="B29" s="237" t="s">
        <v>403</v>
      </c>
      <c r="C29" s="222"/>
      <c r="D29" s="222"/>
      <c r="E29" s="222"/>
      <c r="F29" s="222"/>
      <c r="G29" s="222"/>
      <c r="H29" s="222"/>
      <c r="I29" s="222"/>
      <c r="J29" s="222"/>
      <c r="K29" s="222"/>
      <c r="L29" s="222"/>
      <c r="M29" s="222"/>
    </row>
    <row r="30" spans="1:13" ht="10.9" customHeight="1" x14ac:dyDescent="0.2">
      <c r="A30" s="348"/>
      <c r="B30" s="364"/>
      <c r="C30" s="222"/>
      <c r="D30" s="222"/>
      <c r="E30" s="222"/>
      <c r="F30" s="222"/>
      <c r="G30" s="222"/>
      <c r="H30" s="222"/>
      <c r="I30" s="222"/>
      <c r="J30" s="222"/>
      <c r="K30" s="222"/>
      <c r="L30" s="222"/>
      <c r="M30" s="222"/>
    </row>
    <row r="31" spans="1:13" ht="13.35" customHeight="1" x14ac:dyDescent="0.2">
      <c r="B31" s="365" t="s">
        <v>2077</v>
      </c>
      <c r="C31" s="366" t="s">
        <v>607</v>
      </c>
      <c r="D31" s="237" t="s">
        <v>1132</v>
      </c>
      <c r="E31" s="222"/>
      <c r="F31" s="222"/>
      <c r="G31" s="362"/>
      <c r="H31" s="1756">
        <f>IF(B31="X",(J7*0.069),IF(B32="X",(J7*0.138),"Enter x in a.or b."))</f>
        <v>25443467.652000003</v>
      </c>
      <c r="I31" s="367"/>
      <c r="J31" s="222"/>
      <c r="K31" s="222"/>
      <c r="L31" s="222"/>
      <c r="M31" s="222"/>
    </row>
    <row r="32" spans="1:13" ht="13.35" customHeight="1" x14ac:dyDescent="0.2">
      <c r="B32" s="368"/>
      <c r="C32" s="369" t="s">
        <v>608</v>
      </c>
      <c r="D32" s="237" t="s">
        <v>443</v>
      </c>
      <c r="E32" s="222"/>
      <c r="F32" s="222"/>
      <c r="G32" s="222"/>
      <c r="H32" s="222"/>
      <c r="I32" s="222"/>
      <c r="J32" s="222"/>
      <c r="K32" s="222"/>
      <c r="L32" s="222"/>
      <c r="M32" s="222"/>
    </row>
    <row r="33" spans="1:13" ht="8.25" customHeight="1" x14ac:dyDescent="0.2">
      <c r="B33" s="222"/>
      <c r="C33" s="370"/>
      <c r="D33" s="237"/>
      <c r="E33" s="222"/>
      <c r="F33" s="222"/>
      <c r="G33" s="222"/>
      <c r="H33" s="222"/>
      <c r="I33" s="222"/>
      <c r="J33" s="222"/>
      <c r="K33" s="222"/>
      <c r="L33" s="222"/>
      <c r="M33" s="222"/>
    </row>
    <row r="34" spans="1:13" ht="12.2" customHeight="1" x14ac:dyDescent="0.2">
      <c r="B34" s="222" t="s">
        <v>407</v>
      </c>
      <c r="C34" s="371"/>
      <c r="D34" s="222"/>
      <c r="E34" s="222"/>
      <c r="F34" s="222"/>
      <c r="G34" s="222"/>
      <c r="H34" s="222"/>
      <c r="I34" s="222"/>
      <c r="J34" s="222"/>
      <c r="K34" s="222"/>
      <c r="L34" s="222"/>
      <c r="M34" s="222"/>
    </row>
    <row r="35" spans="1:13" ht="8.25" customHeight="1" x14ac:dyDescent="0.2">
      <c r="B35" s="222"/>
      <c r="C35" s="371"/>
      <c r="D35" s="222"/>
      <c r="E35" s="222"/>
      <c r="F35" s="222"/>
      <c r="H35" s="372"/>
      <c r="I35" s="222"/>
      <c r="J35" s="222"/>
      <c r="K35" s="222"/>
      <c r="L35" s="222"/>
      <c r="M35" s="222"/>
    </row>
    <row r="36" spans="1:13" ht="13.5" customHeight="1" x14ac:dyDescent="0.2">
      <c r="B36" s="222"/>
      <c r="C36" s="373" t="s">
        <v>609</v>
      </c>
      <c r="D36" s="247" t="s">
        <v>0</v>
      </c>
      <c r="E36" s="222"/>
      <c r="F36" s="222"/>
      <c r="G36" s="374" t="s">
        <v>408</v>
      </c>
      <c r="H36" s="375"/>
      <c r="I36" s="222"/>
      <c r="J36" s="222"/>
      <c r="K36" s="222"/>
      <c r="L36" s="222"/>
      <c r="M36" s="222"/>
    </row>
    <row r="37" spans="1:13" ht="13.5" customHeight="1" x14ac:dyDescent="0.2">
      <c r="B37" s="222"/>
      <c r="C37" s="373"/>
      <c r="D37" s="247" t="s">
        <v>1197</v>
      </c>
      <c r="E37" s="222"/>
      <c r="F37" s="222"/>
      <c r="G37" s="376">
        <v>511</v>
      </c>
      <c r="H37" s="1755">
        <f>'Assets-Liab 5-6'!N36</f>
        <v>9555000</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567</v>
      </c>
      <c r="B40" s="348" t="s">
        <v>204</v>
      </c>
      <c r="C40" s="348"/>
      <c r="D40" s="348"/>
      <c r="E40" s="348"/>
      <c r="F40" s="348"/>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7"/>
      <c r="C44" s="225" t="s">
        <v>320</v>
      </c>
      <c r="E44" s="222"/>
      <c r="F44" s="222"/>
      <c r="G44" s="222"/>
      <c r="H44" s="222"/>
      <c r="I44" s="222"/>
      <c r="J44" s="222"/>
      <c r="K44" s="222"/>
      <c r="L44" s="222"/>
      <c r="M44" s="222"/>
    </row>
    <row r="45" spans="1:13" ht="13.5" customHeight="1" x14ac:dyDescent="0.2">
      <c r="B45" s="377"/>
      <c r="C45" s="225" t="s">
        <v>399</v>
      </c>
      <c r="E45" s="222"/>
      <c r="F45" s="222"/>
      <c r="G45" s="222"/>
      <c r="H45" s="222"/>
      <c r="I45" s="222"/>
      <c r="J45" s="222"/>
      <c r="K45" s="222"/>
      <c r="L45" s="222"/>
      <c r="M45" s="222"/>
    </row>
    <row r="46" spans="1:13" ht="13.5" customHeight="1" x14ac:dyDescent="0.2">
      <c r="B46" s="377"/>
      <c r="C46" s="225" t="s">
        <v>918</v>
      </c>
      <c r="E46" s="222"/>
      <c r="F46" s="222"/>
      <c r="G46" s="222"/>
      <c r="H46" s="222"/>
      <c r="I46" s="222"/>
      <c r="J46" s="222"/>
      <c r="K46" s="222"/>
      <c r="L46" s="222"/>
      <c r="M46" s="222"/>
    </row>
    <row r="47" spans="1:13" ht="13.5" customHeight="1" x14ac:dyDescent="0.2">
      <c r="B47" s="377"/>
      <c r="C47" s="225" t="s">
        <v>57</v>
      </c>
      <c r="E47" s="222"/>
      <c r="F47" s="222"/>
      <c r="G47" s="222"/>
      <c r="H47" s="222"/>
      <c r="I47" s="222"/>
      <c r="J47" s="222"/>
      <c r="K47" s="222"/>
      <c r="L47" s="222"/>
      <c r="M47" s="222"/>
    </row>
    <row r="48" spans="1:13" ht="13.5" customHeight="1" x14ac:dyDescent="0.2">
      <c r="B48" s="377"/>
      <c r="C48" s="225" t="s">
        <v>58</v>
      </c>
      <c r="E48" s="222"/>
      <c r="F48" s="222"/>
      <c r="G48" s="222"/>
      <c r="H48" s="222"/>
      <c r="I48" s="222"/>
      <c r="J48" s="222"/>
      <c r="K48" s="222"/>
      <c r="L48" s="222"/>
      <c r="M48" s="222"/>
    </row>
    <row r="49" spans="1:13" ht="13.5" customHeight="1" x14ac:dyDescent="0.2">
      <c r="B49" s="377"/>
      <c r="C49" s="225" t="s">
        <v>357</v>
      </c>
      <c r="E49" s="222"/>
      <c r="F49" s="222"/>
      <c r="G49" s="222"/>
      <c r="H49" s="222"/>
      <c r="I49" s="222"/>
      <c r="J49" s="222"/>
      <c r="K49" s="222"/>
      <c r="L49" s="222"/>
      <c r="M49" s="222"/>
    </row>
    <row r="50" spans="1:13" ht="13.5" customHeight="1" x14ac:dyDescent="0.2">
      <c r="B50" s="377"/>
      <c r="C50" s="225" t="s">
        <v>358</v>
      </c>
      <c r="E50" s="222"/>
      <c r="F50" s="222"/>
      <c r="G50" s="222"/>
      <c r="H50" s="222"/>
      <c r="I50" s="222"/>
      <c r="J50" s="222"/>
      <c r="K50" s="222"/>
      <c r="L50" s="222"/>
      <c r="M50" s="222"/>
    </row>
    <row r="51" spans="1:13" ht="13.5" customHeight="1" x14ac:dyDescent="0.2">
      <c r="B51" s="377"/>
      <c r="C51" s="225" t="s">
        <v>565</v>
      </c>
      <c r="E51" s="222"/>
      <c r="F51" s="222"/>
      <c r="G51" s="222"/>
      <c r="H51" s="222"/>
      <c r="I51" s="222"/>
      <c r="J51" s="222"/>
      <c r="K51" s="222"/>
      <c r="L51" s="222"/>
      <c r="M51" s="222"/>
    </row>
    <row r="52" spans="1:13" ht="6" customHeight="1" x14ac:dyDescent="0.2">
      <c r="B52" s="222"/>
      <c r="C52" s="378"/>
      <c r="D52" s="237"/>
      <c r="E52" s="222"/>
      <c r="F52" s="222"/>
      <c r="G52" s="222"/>
      <c r="H52" s="222"/>
      <c r="I52" s="222"/>
      <c r="J52" s="222"/>
      <c r="K52" s="222"/>
      <c r="L52" s="222"/>
      <c r="M52" s="222"/>
    </row>
    <row r="53" spans="1:13" ht="15" customHeight="1" x14ac:dyDescent="0.2">
      <c r="B53" s="364"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79"/>
    </row>
    <row r="55" spans="1:13" ht="12.75" customHeight="1" x14ac:dyDescent="0.2">
      <c r="B55" s="2106"/>
      <c r="C55" s="2107"/>
      <c r="D55" s="2107"/>
      <c r="E55" s="2107"/>
      <c r="F55" s="2107"/>
      <c r="G55" s="2107"/>
      <c r="H55" s="2107"/>
      <c r="I55" s="2107"/>
      <c r="J55" s="2107"/>
      <c r="K55" s="2107"/>
      <c r="L55" s="2108"/>
      <c r="M55" s="379"/>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0"/>
      <c r="C61" s="2114"/>
      <c r="D61" s="2115"/>
      <c r="E61" s="381"/>
      <c r="F61" s="381"/>
      <c r="G61" s="381"/>
      <c r="H61" s="381"/>
      <c r="I61" s="381"/>
      <c r="J61" s="381"/>
      <c r="K61" s="381"/>
      <c r="L61" s="381"/>
      <c r="M61" s="222"/>
    </row>
    <row r="62" spans="1:13" x14ac:dyDescent="0.15">
      <c r="A62" s="247"/>
      <c r="B62" s="380"/>
      <c r="C62" s="247"/>
      <c r="E62" s="381"/>
      <c r="F62" s="381"/>
      <c r="G62" s="381"/>
      <c r="H62" s="381"/>
      <c r="I62" s="381"/>
      <c r="J62" s="381"/>
      <c r="K62" s="381"/>
      <c r="L62" s="381"/>
      <c r="M62" s="222"/>
    </row>
    <row r="63" spans="1:13" ht="12.2" customHeight="1" x14ac:dyDescent="0.15">
      <c r="A63" s="382"/>
      <c r="B63" s="381"/>
      <c r="C63" s="381"/>
      <c r="D63" s="381"/>
      <c r="E63" s="381"/>
      <c r="F63" s="381"/>
      <c r="G63" s="381"/>
      <c r="H63" s="381"/>
      <c r="I63" s="381"/>
      <c r="J63" s="381"/>
      <c r="K63" s="381"/>
      <c r="L63" s="381"/>
      <c r="M63" s="222"/>
    </row>
    <row r="64" spans="1:13" ht="12.2" customHeight="1" x14ac:dyDescent="0.15">
      <c r="A64" s="382"/>
      <c r="B64" s="381"/>
      <c r="C64" s="381"/>
      <c r="D64" s="381"/>
      <c r="E64" s="381"/>
      <c r="F64" s="381"/>
      <c r="G64" s="381"/>
      <c r="H64" s="381"/>
      <c r="I64" s="381"/>
      <c r="J64" s="381"/>
      <c r="K64" s="381"/>
      <c r="L64" s="381"/>
      <c r="M64" s="222"/>
    </row>
    <row r="65" spans="1:13" ht="9.6" customHeight="1" x14ac:dyDescent="0.15">
      <c r="A65" s="382"/>
      <c r="B65" s="381"/>
      <c r="C65" s="381"/>
      <c r="D65" s="381"/>
      <c r="E65" s="381"/>
      <c r="F65" s="381"/>
      <c r="G65" s="381"/>
      <c r="H65" s="381"/>
      <c r="I65" s="381"/>
      <c r="J65" s="381"/>
      <c r="K65" s="381"/>
      <c r="L65" s="381"/>
      <c r="M65" s="222"/>
    </row>
    <row r="66" spans="1:13" ht="12.2" customHeight="1" x14ac:dyDescent="0.2">
      <c r="A66" s="382"/>
      <c r="B66" s="363"/>
      <c r="C66" s="363"/>
      <c r="D66" s="363"/>
      <c r="E66" s="363"/>
      <c r="F66" s="363"/>
      <c r="G66" s="363"/>
      <c r="H66" s="363"/>
      <c r="I66" s="363"/>
      <c r="J66" s="363"/>
      <c r="K66" s="363"/>
      <c r="L66" s="363"/>
      <c r="M66" s="222"/>
    </row>
    <row r="67" spans="1:13" ht="12.2" customHeight="1" x14ac:dyDescent="0.2">
      <c r="A67" s="382"/>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7"/>
      <c r="B1" s="2118"/>
      <c r="C1" s="2118"/>
      <c r="D1" s="383"/>
      <c r="E1" s="383"/>
      <c r="F1" s="383"/>
      <c r="G1" s="383"/>
      <c r="H1" s="383"/>
      <c r="I1" s="383"/>
      <c r="J1" s="383"/>
      <c r="K1" s="383"/>
      <c r="L1" s="383"/>
      <c r="M1" s="383"/>
      <c r="N1" s="383"/>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KENILWORTH SD 38</v>
      </c>
      <c r="E7" s="390"/>
      <c r="G7" s="251"/>
      <c r="H7" s="386"/>
      <c r="I7" s="386"/>
      <c r="J7" s="386"/>
      <c r="K7" s="386"/>
      <c r="L7" s="328"/>
      <c r="M7" s="328"/>
      <c r="N7" s="328"/>
      <c r="O7" s="328"/>
      <c r="P7" s="328"/>
    </row>
    <row r="8" spans="1:18" ht="12.75" x14ac:dyDescent="0.2">
      <c r="A8" s="328"/>
      <c r="B8" s="328"/>
      <c r="C8" s="388" t="s">
        <v>1187</v>
      </c>
      <c r="D8" s="391" t="str">
        <f>COVER!A13</f>
        <v>05-016-0380-02</v>
      </c>
      <c r="E8" s="392"/>
      <c r="G8" s="328"/>
      <c r="H8" s="328"/>
      <c r="I8" s="328"/>
      <c r="J8" s="328"/>
      <c r="K8" s="328"/>
      <c r="L8" s="328"/>
      <c r="M8" s="328"/>
      <c r="N8" s="328"/>
      <c r="O8" s="328"/>
      <c r="P8" s="328"/>
    </row>
    <row r="9" spans="1:18" ht="12.75" x14ac:dyDescent="0.2">
      <c r="A9" s="328"/>
      <c r="B9" s="328"/>
      <c r="C9" s="388" t="s">
        <v>737</v>
      </c>
      <c r="D9" s="393" t="str">
        <f>COVER!A15</f>
        <v>COOK</v>
      </c>
      <c r="E9" s="216"/>
      <c r="G9" s="216"/>
      <c r="H9" s="394"/>
      <c r="I9" s="216"/>
      <c r="J9" s="216"/>
      <c r="K9" s="394"/>
      <c r="L9" s="216"/>
      <c r="M9" s="216"/>
      <c r="N9" s="216"/>
      <c r="O9" s="216"/>
      <c r="P9" s="216"/>
    </row>
    <row r="10" spans="1:18" x14ac:dyDescent="0.2">
      <c r="A10" s="216"/>
      <c r="B10" s="395"/>
      <c r="C10" s="216"/>
      <c r="D10" s="216"/>
      <c r="E10" s="216"/>
      <c r="F10" s="216"/>
      <c r="G10" s="216"/>
      <c r="H10" s="394"/>
      <c r="I10" s="216"/>
      <c r="J10" s="216"/>
      <c r="K10" s="394"/>
      <c r="L10" s="216"/>
      <c r="M10" s="216"/>
      <c r="N10" s="216"/>
      <c r="O10" s="216"/>
      <c r="P10" s="216"/>
    </row>
    <row r="11" spans="1:18" ht="12.75" x14ac:dyDescent="0.2">
      <c r="A11" s="216"/>
      <c r="B11" s="396" t="s">
        <v>1040</v>
      </c>
      <c r="C11" s="397" t="s">
        <v>1203</v>
      </c>
      <c r="D11" s="216"/>
      <c r="E11" s="216"/>
      <c r="F11" s="216"/>
      <c r="G11" s="216"/>
      <c r="H11" s="335" t="s">
        <v>158</v>
      </c>
      <c r="I11" s="335"/>
      <c r="J11" s="335"/>
      <c r="K11" s="398" t="s">
        <v>1204</v>
      </c>
      <c r="L11" s="335"/>
      <c r="M11" s="335" t="s">
        <v>1205</v>
      </c>
      <c r="N11" s="335"/>
      <c r="O11" s="399" t="str">
        <f>IF(K12&gt;0.24999,"4",IF(K12&gt;0.09999,"3",IF(K12&gt;=0,"2",1)))</f>
        <v>4</v>
      </c>
      <c r="P11" s="216"/>
      <c r="Q11" s="216"/>
    </row>
    <row r="12" spans="1:18" s="407" customFormat="1" ht="11.25" x14ac:dyDescent="0.2">
      <c r="A12" s="218"/>
      <c r="B12" s="400"/>
      <c r="C12" s="218" t="s">
        <v>1432</v>
      </c>
      <c r="D12" s="218"/>
      <c r="E12" s="218"/>
      <c r="F12" s="218" t="s">
        <v>1152</v>
      </c>
      <c r="G12" s="401"/>
      <c r="H12" s="402">
        <f>SUM('Acct Summary 7-8'!C81+'Acct Summary 7-8'!D81+'Acct Summary 7-8'!F81+'Acct Summary 7-8'!I81+IF('Acct Summary 7-8'!G81&lt;0,'Acct Summary 7-8'!G81,"0")+IF('Acct Summary 7-8'!J81&lt;0,'Acct Summary 7-8'!J81,"0"))</f>
        <v>20559088</v>
      </c>
      <c r="I12" s="403"/>
      <c r="J12" s="403"/>
      <c r="K12" s="404">
        <f>TRUNC((H12/H13*100000),5)/100000</f>
        <v>1.6704585157</v>
      </c>
      <c r="L12" s="405"/>
      <c r="M12" s="359" t="s">
        <v>1206</v>
      </c>
      <c r="N12" s="359"/>
      <c r="O12" s="406">
        <v>0.35</v>
      </c>
      <c r="P12" s="218"/>
      <c r="Q12" s="218"/>
    </row>
    <row r="13" spans="1:18" s="407" customFormat="1" ht="12.75" x14ac:dyDescent="0.2">
      <c r="A13" s="218"/>
      <c r="B13" s="400"/>
      <c r="C13" s="2119" t="s">
        <v>1391</v>
      </c>
      <c r="D13" s="2120"/>
      <c r="E13" s="218"/>
      <c r="F13" s="408" t="s">
        <v>826</v>
      </c>
      <c r="G13" s="401"/>
      <c r="H13" s="402">
        <f>SUM('Acct Summary 7-8'!C8+'Acct Summary 7-8'!D8+'Acct Summary 7-8'!F8+'Acct Summary 7-8'!I8)+H14</f>
        <v>12307452</v>
      </c>
      <c r="I13" s="403"/>
      <c r="J13" s="403"/>
      <c r="K13" s="409"/>
      <c r="L13" s="218"/>
      <c r="M13" s="359" t="s">
        <v>1207</v>
      </c>
      <c r="N13" s="359"/>
      <c r="O13" s="410">
        <f>(O11*O12)</f>
        <v>1.4</v>
      </c>
      <c r="P13" s="218"/>
      <c r="Q13" s="218"/>
      <c r="R13" s="411"/>
    </row>
    <row r="14" spans="1:18" s="407" customFormat="1" ht="12.75" x14ac:dyDescent="0.2">
      <c r="A14" s="218"/>
      <c r="B14" s="400"/>
      <c r="C14" s="240" t="s">
        <v>1464</v>
      </c>
      <c r="D14" s="412"/>
      <c r="E14" s="218"/>
      <c r="F14" s="408" t="s">
        <v>828</v>
      </c>
      <c r="G14" s="401"/>
      <c r="H14" s="402">
        <f>-SUM('Acct Summary 7-8'!C54:D56,'Acct Summary 7-8'!C58:D60,'Acct Summary 7-8'!C62:D64,'Acct Summary 7-8'!C66:D68,'Acct Summary 7-8'!C70:D72,'Acct Summary 7-8'!C74:D74)</f>
        <v>0</v>
      </c>
      <c r="I14" s="403"/>
      <c r="J14" s="403"/>
      <c r="K14" s="409"/>
      <c r="L14" s="218"/>
      <c r="M14" s="359"/>
      <c r="N14" s="359"/>
      <c r="O14" s="410"/>
      <c r="P14" s="218"/>
      <c r="Q14" s="218"/>
      <c r="R14" s="411"/>
    </row>
    <row r="15" spans="1:18" ht="11.45" customHeight="1" x14ac:dyDescent="0.2">
      <c r="A15" s="216"/>
      <c r="B15" s="395"/>
      <c r="C15" s="218" t="s">
        <v>1478</v>
      </c>
      <c r="D15" s="216"/>
      <c r="E15" s="216"/>
      <c r="F15" s="218"/>
      <c r="G15" s="413"/>
      <c r="H15" s="394"/>
      <c r="I15" s="216"/>
      <c r="J15" s="216"/>
      <c r="K15" s="394"/>
      <c r="L15" s="216"/>
      <c r="M15" s="414"/>
      <c r="N15" s="414"/>
      <c r="O15" s="216"/>
      <c r="P15" s="216"/>
      <c r="Q15" s="216"/>
      <c r="R15" s="383"/>
    </row>
    <row r="16" spans="1:18" ht="12.75" x14ac:dyDescent="0.2">
      <c r="A16" s="216"/>
      <c r="B16" s="396" t="s">
        <v>1041</v>
      </c>
      <c r="C16" s="397" t="s">
        <v>1208</v>
      </c>
      <c r="D16" s="216"/>
      <c r="E16" s="216"/>
      <c r="F16" s="216"/>
      <c r="G16" s="216"/>
      <c r="H16" s="335" t="s">
        <v>158</v>
      </c>
      <c r="I16" s="335"/>
      <c r="J16" s="335"/>
      <c r="K16" s="398" t="s">
        <v>1204</v>
      </c>
      <c r="L16" s="335"/>
      <c r="M16" s="335" t="s">
        <v>1205</v>
      </c>
      <c r="N16" s="335"/>
      <c r="O16" s="399">
        <f>IF(K17&gt;1.2,"1",IF(K17&gt;1.1,"2",IF(K17&gt;1,"3",4)))</f>
        <v>4</v>
      </c>
      <c r="P16" s="216"/>
      <c r="R16" s="383"/>
    </row>
    <row r="17" spans="1:18" s="407" customFormat="1" ht="11.25" x14ac:dyDescent="0.2">
      <c r="A17" s="218"/>
      <c r="B17" s="400"/>
      <c r="C17" s="218" t="s">
        <v>830</v>
      </c>
      <c r="D17" s="218"/>
      <c r="E17" s="218"/>
      <c r="F17" s="218" t="s">
        <v>464</v>
      </c>
      <c r="G17" s="401"/>
      <c r="H17" s="402">
        <f>SUM('Acct Summary 7-8'!C17+'Acct Summary 7-8'!D17+'Acct Summary 7-8'!F17)</f>
        <v>12101286</v>
      </c>
      <c r="I17" s="403"/>
      <c r="J17" s="415"/>
      <c r="K17" s="404">
        <f>TRUNC((H17/H18*100000),5)/100000</f>
        <v>0.98324868539999999</v>
      </c>
      <c r="L17" s="405"/>
      <c r="M17" s="416" t="s">
        <v>1233</v>
      </c>
      <c r="O17" s="417" t="str">
        <f>IF(AND(O16="2", J20 &gt; 2),"1",IF(AND(O16 = "1", J20 &gt; 2),"2",IF(AND(O16="1", J20 &gt;1),"1","0")))</f>
        <v>0</v>
      </c>
      <c r="P17" s="218"/>
    </row>
    <row r="18" spans="1:18" s="407" customFormat="1" ht="11.25" x14ac:dyDescent="0.2">
      <c r="A18" s="218"/>
      <c r="B18" s="400"/>
      <c r="C18" s="2119" t="s">
        <v>1384</v>
      </c>
      <c r="D18" s="2120"/>
      <c r="E18" s="218"/>
      <c r="F18" s="418" t="s">
        <v>827</v>
      </c>
      <c r="G18" s="401"/>
      <c r="H18" s="402">
        <f>SUM('Acct Summary 7-8'!C8+'Acct Summary 7-8'!D8+'Acct Summary 7-8'!F8+'Acct Summary 7-8'!I8)+H19</f>
        <v>12307452</v>
      </c>
      <c r="I18" s="403"/>
      <c r="J18" s="403"/>
      <c r="K18" s="409"/>
      <c r="L18" s="218"/>
      <c r="M18" s="359" t="s">
        <v>1206</v>
      </c>
      <c r="N18" s="359"/>
      <c r="O18" s="409">
        <v>0.35</v>
      </c>
      <c r="P18" s="218"/>
    </row>
    <row r="19" spans="1:18" s="407" customFormat="1" ht="11.25" x14ac:dyDescent="0.2">
      <c r="A19" s="218"/>
      <c r="B19" s="400"/>
      <c r="C19" s="240" t="s">
        <v>1464</v>
      </c>
      <c r="D19" s="412"/>
      <c r="E19" s="218"/>
      <c r="F19" s="418" t="s">
        <v>828</v>
      </c>
      <c r="G19" s="401"/>
      <c r="H19" s="402">
        <f>-SUM('Acct Summary 7-8'!C54:D56,'Acct Summary 7-8'!C58:D60,'Acct Summary 7-8'!C62:D64,'Acct Summary 7-8'!C66:D68,'Acct Summary 7-8'!C70:D72,'Acct Summary 7-8'!C74:D74)</f>
        <v>0</v>
      </c>
      <c r="I19" s="403"/>
      <c r="J19" s="403"/>
      <c r="K19" s="409"/>
      <c r="L19" s="218"/>
      <c r="M19" s="359"/>
      <c r="N19" s="359"/>
      <c r="O19" s="409"/>
      <c r="P19" s="218"/>
    </row>
    <row r="20" spans="1:18" s="407" customFormat="1" ht="12.75" x14ac:dyDescent="0.2">
      <c r="A20" s="218"/>
      <c r="B20" s="400"/>
      <c r="C20" s="218" t="s">
        <v>1478</v>
      </c>
      <c r="D20" s="218"/>
      <c r="E20" s="218"/>
      <c r="F20" s="218"/>
      <c r="G20" s="401"/>
      <c r="H20" s="419"/>
      <c r="I20" s="403"/>
      <c r="J20" s="420" t="str">
        <f>IF(K17&lt;=1,"0",TRUNC(((K12-0.1)/(K17-1)*100),5)/100)</f>
        <v>0</v>
      </c>
      <c r="K20" s="404" t="str">
        <f>IF(K17&lt;=1,"0",IF(AND(O16="2", J20 &gt; 2),TRUNC(((K12-0.1)/(K17-1)*100),5)/100,IF(AND(O16 = "1", J20 &gt; 2),TRUNC(((K12-0.1)/(K17-1)*100),5)/100,IF(AND(O16="1", J20 &gt;1),TRUNC(((K12-0.1)/(K17-1)*100),5)/100,""))))</f>
        <v>0</v>
      </c>
      <c r="L20" s="218"/>
      <c r="M20" s="359" t="s">
        <v>1207</v>
      </c>
      <c r="N20" s="359"/>
      <c r="O20" s="410">
        <f>(O16+O17)*O18</f>
        <v>1.4</v>
      </c>
      <c r="P20" s="218"/>
      <c r="R20" s="411"/>
    </row>
    <row r="21" spans="1:18" ht="11.45" customHeight="1" x14ac:dyDescent="0.2">
      <c r="A21" s="216"/>
      <c r="B21" s="395"/>
      <c r="C21" s="218" t="s">
        <v>496</v>
      </c>
      <c r="D21" s="216"/>
      <c r="E21" s="216"/>
      <c r="F21" s="216"/>
      <c r="G21" s="413"/>
      <c r="H21" s="394"/>
      <c r="I21" s="216"/>
      <c r="J21" s="216"/>
      <c r="K21" s="394"/>
      <c r="L21" s="216"/>
      <c r="M21" s="414"/>
      <c r="N21" s="414"/>
      <c r="O21" s="216"/>
      <c r="P21" s="216"/>
      <c r="R21" s="383"/>
    </row>
    <row r="22" spans="1:18" ht="11.45" customHeight="1" x14ac:dyDescent="0.2">
      <c r="A22" s="216"/>
      <c r="B22" s="395"/>
      <c r="C22" s="218"/>
      <c r="D22" s="216"/>
      <c r="E22" s="216"/>
      <c r="F22" s="216"/>
      <c r="G22" s="413"/>
      <c r="H22" s="394"/>
      <c r="I22" s="216"/>
      <c r="J22" s="216"/>
      <c r="K22" s="394"/>
      <c r="L22" s="216"/>
      <c r="M22" s="414"/>
      <c r="N22" s="414"/>
      <c r="O22" s="216"/>
      <c r="P22" s="216"/>
      <c r="R22" s="383"/>
    </row>
    <row r="23" spans="1:18" ht="12.75" x14ac:dyDescent="0.2">
      <c r="A23" s="216"/>
      <c r="B23" s="396" t="s">
        <v>627</v>
      </c>
      <c r="C23" s="397" t="s">
        <v>1209</v>
      </c>
      <c r="D23" s="216"/>
      <c r="E23" s="216"/>
      <c r="F23" s="216"/>
      <c r="G23" s="216"/>
      <c r="H23" s="335" t="s">
        <v>158</v>
      </c>
      <c r="I23" s="335"/>
      <c r="J23" s="335"/>
      <c r="K23" s="398" t="s">
        <v>1210</v>
      </c>
      <c r="L23" s="335"/>
      <c r="M23" s="335" t="s">
        <v>1205</v>
      </c>
      <c r="N23" s="335"/>
      <c r="O23" s="399" t="str">
        <f>IF(K24&gt;=180,"4",IF(K24&gt;=90,"3",IF(K24&gt;=30,"2",1)))</f>
        <v>4</v>
      </c>
      <c r="P23" s="216"/>
      <c r="R23" s="383"/>
    </row>
    <row r="24" spans="1:18" s="407" customFormat="1" ht="11.25" x14ac:dyDescent="0.2">
      <c r="A24" s="218"/>
      <c r="B24" s="400"/>
      <c r="C24" s="2116" t="s">
        <v>1479</v>
      </c>
      <c r="D24" s="2116"/>
      <c r="E24" s="218"/>
      <c r="F24" s="218" t="s">
        <v>465</v>
      </c>
      <c r="G24" s="401"/>
      <c r="H24" s="402">
        <f>SUM('Assets-Liab 5-6'!C4+'Assets-Liab 5-6'!D4+'Assets-Liab 5-6'!F4+'Assets-Liab 5-6'!I4+'Assets-Liab 5-6'!C5+'Assets-Liab 5-6'!D5+'Assets-Liab 5-6'!F5+'Assets-Liab 5-6'!I5)</f>
        <v>21412104</v>
      </c>
      <c r="I24" s="421"/>
      <c r="J24" s="421"/>
      <c r="K24" s="422">
        <f>TRUNC(((H24/H25*100000)/100000),2)</f>
        <v>636.98</v>
      </c>
      <c r="L24" s="423"/>
      <c r="M24" s="359" t="s">
        <v>1206</v>
      </c>
      <c r="N24" s="359"/>
      <c r="O24" s="410">
        <v>0.1</v>
      </c>
      <c r="P24" s="218"/>
    </row>
    <row r="25" spans="1:18" s="407" customFormat="1" ht="12.75" x14ac:dyDescent="0.2">
      <c r="A25" s="218"/>
      <c r="B25" s="400"/>
      <c r="C25" s="218" t="s">
        <v>831</v>
      </c>
      <c r="D25" s="218"/>
      <c r="E25" s="218"/>
      <c r="F25" s="218" t="s">
        <v>466</v>
      </c>
      <c r="G25" s="401"/>
      <c r="H25" s="422">
        <f>ROUND((H17/360),5)</f>
        <v>33614.68333</v>
      </c>
      <c r="I25" s="424"/>
      <c r="J25" s="424"/>
      <c r="K25" s="409"/>
      <c r="L25" s="218"/>
      <c r="M25" s="359" t="s">
        <v>1207</v>
      </c>
      <c r="N25" s="359"/>
      <c r="O25" s="410">
        <f>O23*O24</f>
        <v>0.4</v>
      </c>
      <c r="P25" s="218"/>
      <c r="R25" s="411"/>
    </row>
    <row r="26" spans="1:18" ht="12.2" customHeight="1" x14ac:dyDescent="0.2">
      <c r="A26" s="216"/>
      <c r="B26" s="395"/>
      <c r="C26" s="216"/>
      <c r="D26" s="216"/>
      <c r="E26" s="216"/>
      <c r="F26" s="216"/>
      <c r="G26" s="216"/>
      <c r="H26" s="394"/>
      <c r="I26" s="216"/>
      <c r="J26" s="216"/>
      <c r="K26" s="394"/>
      <c r="L26" s="216"/>
      <c r="M26" s="414"/>
      <c r="N26" s="414"/>
      <c r="O26" s="216"/>
      <c r="P26" s="216"/>
    </row>
    <row r="27" spans="1:18" ht="12.75" x14ac:dyDescent="0.2">
      <c r="A27" s="216"/>
      <c r="B27" s="396" t="s">
        <v>511</v>
      </c>
      <c r="C27" s="397"/>
      <c r="D27" s="216"/>
      <c r="E27" s="216"/>
      <c r="F27" s="216"/>
      <c r="G27" s="216"/>
      <c r="H27" s="335" t="s">
        <v>158</v>
      </c>
      <c r="I27" s="335"/>
      <c r="J27" s="335"/>
      <c r="K27" s="398" t="s">
        <v>512</v>
      </c>
      <c r="L27" s="335"/>
      <c r="M27" s="335" t="s">
        <v>1205</v>
      </c>
      <c r="N27" s="335"/>
      <c r="O27" s="425" t="str">
        <f>IF(K28&gt;=75,"4",IF(K28&gt;=50,"3",IF(K28&gt;=25,"2",1)))</f>
        <v>4</v>
      </c>
      <c r="P27" s="216"/>
    </row>
    <row r="28" spans="1:18" s="407" customFormat="1" ht="11.25" x14ac:dyDescent="0.2">
      <c r="A28" s="218"/>
      <c r="B28" s="400"/>
      <c r="C28" s="218" t="s">
        <v>2070</v>
      </c>
      <c r="D28" s="218"/>
      <c r="E28" s="218"/>
      <c r="F28" s="218"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8"/>
    </row>
    <row r="29" spans="1:18" s="407" customFormat="1" ht="11.25" x14ac:dyDescent="0.2">
      <c r="A29" s="218"/>
      <c r="B29" s="400"/>
      <c r="C29" s="218" t="s">
        <v>829</v>
      </c>
      <c r="D29" s="218"/>
      <c r="E29" s="218"/>
      <c r="F29" s="218" t="s">
        <v>833</v>
      </c>
      <c r="G29" s="401"/>
      <c r="H29" s="430">
        <f>ROUND((0.85*'FP Info 3'!J7*'FP Info 3'!J10),5)</f>
        <v>9888843.3877900001</v>
      </c>
      <c r="I29" s="427"/>
      <c r="J29" s="427"/>
      <c r="K29" s="409"/>
      <c r="L29" s="218"/>
      <c r="M29" s="359" t="s">
        <v>1207</v>
      </c>
      <c r="N29" s="359"/>
      <c r="O29" s="410">
        <f>O27*O28</f>
        <v>0.4</v>
      </c>
      <c r="P29" s="218"/>
    </row>
    <row r="30" spans="1:18" s="407" customFormat="1" ht="11.25" x14ac:dyDescent="0.2">
      <c r="A30" s="218"/>
      <c r="B30" s="400"/>
      <c r="C30" s="218"/>
      <c r="D30" s="218"/>
      <c r="E30" s="218"/>
      <c r="F30" s="431"/>
      <c r="G30" s="401"/>
      <c r="H30" s="409"/>
      <c r="I30" s="409"/>
      <c r="J30" s="409"/>
      <c r="K30" s="409"/>
      <c r="L30" s="218"/>
      <c r="M30" s="432"/>
      <c r="N30" s="432"/>
      <c r="O30" s="409"/>
      <c r="P30" s="218"/>
    </row>
    <row r="31" spans="1:18" ht="12.75" x14ac:dyDescent="0.2">
      <c r="A31" s="216"/>
      <c r="B31" s="396" t="s">
        <v>583</v>
      </c>
      <c r="C31" s="397"/>
      <c r="D31" s="216"/>
      <c r="E31" s="216"/>
      <c r="F31" s="216"/>
      <c r="G31" s="413"/>
      <c r="H31" s="335" t="s">
        <v>158</v>
      </c>
      <c r="I31" s="335"/>
      <c r="J31" s="335"/>
      <c r="K31" s="398" t="s">
        <v>512</v>
      </c>
      <c r="L31" s="335"/>
      <c r="M31" s="335" t="s">
        <v>1205</v>
      </c>
      <c r="N31" s="335"/>
      <c r="O31" s="399" t="str">
        <f>IF(K32&gt;=75,"4",IF(K32&gt;=50,"3",IF(K32&gt;=25,"2",1)))</f>
        <v>3</v>
      </c>
      <c r="P31" s="216"/>
    </row>
    <row r="32" spans="1:18" s="407" customFormat="1" ht="11.25" x14ac:dyDescent="0.2">
      <c r="A32" s="218"/>
      <c r="B32" s="400"/>
      <c r="C32" s="218" t="s">
        <v>902</v>
      </c>
      <c r="D32" s="218"/>
      <c r="E32" s="218"/>
      <c r="F32" s="218"/>
      <c r="G32" s="401"/>
      <c r="H32" s="402">
        <f>'FP Info 3'!H37</f>
        <v>9555000</v>
      </c>
      <c r="I32" s="419"/>
      <c r="J32" s="419"/>
      <c r="K32" s="422">
        <f>TRUNC(100-((((H32/H33*100))*100)/100),2)</f>
        <v>62.44</v>
      </c>
      <c r="L32" s="405"/>
      <c r="M32" s="359" t="s">
        <v>1206</v>
      </c>
      <c r="N32" s="359"/>
      <c r="O32" s="433">
        <v>0.1</v>
      </c>
    </row>
    <row r="33" spans="1:17" s="407" customFormat="1" ht="11.25" x14ac:dyDescent="0.2">
      <c r="A33" s="218"/>
      <c r="B33" s="400"/>
      <c r="C33" s="218" t="s">
        <v>832</v>
      </c>
      <c r="D33" s="218"/>
      <c r="E33" s="218"/>
      <c r="F33" s="218"/>
      <c r="G33" s="401"/>
      <c r="H33" s="402">
        <f>IF('FP Info 3'!H31="Enter X in a or b"," ",'FP Info 3'!H31)</f>
        <v>25443467.652000003</v>
      </c>
      <c r="I33" s="419"/>
      <c r="J33" s="419"/>
      <c r="K33" s="402"/>
      <c r="L33" s="218"/>
      <c r="M33" s="434" t="s">
        <v>1207</v>
      </c>
      <c r="N33" s="434"/>
      <c r="O33" s="433">
        <f>(O31*O32)</f>
        <v>0.30000000000000004</v>
      </c>
    </row>
    <row r="34" spans="1:17" ht="12.2" customHeight="1" x14ac:dyDescent="0.2">
      <c r="A34" s="216"/>
      <c r="B34" s="395"/>
      <c r="C34" s="216"/>
      <c r="D34" s="216"/>
      <c r="E34" s="216"/>
      <c r="F34" s="216"/>
      <c r="G34" s="216"/>
      <c r="H34" s="394"/>
      <c r="I34" s="216"/>
      <c r="J34" s="216"/>
      <c r="K34" s="394"/>
      <c r="L34" s="216"/>
      <c r="M34" s="414"/>
      <c r="N34" s="414"/>
      <c r="O34" s="394"/>
    </row>
    <row r="35" spans="1:17" ht="14.25" customHeight="1" x14ac:dyDescent="0.25">
      <c r="A35" s="216"/>
      <c r="B35" s="395"/>
      <c r="C35" s="216"/>
      <c r="D35" s="216"/>
      <c r="E35" s="216"/>
      <c r="F35" s="216"/>
      <c r="G35" s="216"/>
      <c r="H35" s="435"/>
      <c r="I35" s="413"/>
      <c r="J35" s="413"/>
      <c r="K35" s="216"/>
      <c r="L35" s="436"/>
      <c r="M35" s="437" t="s">
        <v>313</v>
      </c>
      <c r="N35" s="413"/>
      <c r="O35" s="438">
        <f>(O13+O20+O25+O29+O33)</f>
        <v>3.8999999999999995</v>
      </c>
      <c r="P35" s="439" t="s">
        <v>205</v>
      </c>
    </row>
    <row r="36" spans="1:17" x14ac:dyDescent="0.2">
      <c r="A36" s="216"/>
      <c r="B36" s="395"/>
      <c r="C36" s="216"/>
      <c r="D36" s="216"/>
      <c r="E36" s="216"/>
      <c r="F36" s="216"/>
      <c r="G36" s="216"/>
      <c r="H36" s="435"/>
      <c r="I36" s="413"/>
      <c r="J36" s="413"/>
      <c r="K36" s="435"/>
      <c r="L36" s="413"/>
      <c r="M36" s="440"/>
      <c r="N36" s="440"/>
      <c r="O36" s="413"/>
    </row>
    <row r="37" spans="1:17" ht="12.75" x14ac:dyDescent="0.2">
      <c r="A37" s="216"/>
      <c r="B37" s="395"/>
      <c r="C37" s="216"/>
      <c r="D37" s="216"/>
      <c r="E37" s="216"/>
      <c r="F37" s="216"/>
      <c r="G37" s="216"/>
      <c r="H37" s="216"/>
      <c r="I37" s="413"/>
      <c r="J37" s="413"/>
      <c r="K37" s="435"/>
      <c r="L37" s="413"/>
      <c r="M37" s="437" t="s">
        <v>1691</v>
      </c>
      <c r="N37" s="413"/>
      <c r="O37" s="441" t="str">
        <f>IF(O35&gt;3.53,"RECOGNITION",IF(O35&gt;3.07,"REVIEW ",IF(O35&gt;2.61,"WARNING","WATCH")))</f>
        <v>RECOGNITION</v>
      </c>
    </row>
    <row r="38" spans="1:17" ht="16.5" customHeight="1" x14ac:dyDescent="0.2">
      <c r="A38" s="216"/>
      <c r="B38" s="395"/>
      <c r="C38" s="216"/>
      <c r="D38" s="216"/>
      <c r="E38" s="216"/>
      <c r="F38" s="216"/>
      <c r="G38" s="216"/>
      <c r="H38" s="394"/>
      <c r="I38" s="216"/>
      <c r="J38" s="216"/>
      <c r="K38" s="394"/>
      <c r="L38" s="216"/>
      <c r="M38" s="216"/>
      <c r="N38" s="216"/>
      <c r="O38" s="216"/>
      <c r="P38" s="216"/>
    </row>
    <row r="39" spans="1:17" ht="15.75" x14ac:dyDescent="0.2">
      <c r="A39" s="216"/>
      <c r="B39" s="395"/>
      <c r="C39" s="216"/>
      <c r="D39" s="216"/>
      <c r="E39" s="216"/>
      <c r="F39" s="442" t="s">
        <v>205</v>
      </c>
      <c r="H39" s="443" t="s">
        <v>1110</v>
      </c>
      <c r="I39" s="407"/>
      <c r="J39" s="407"/>
      <c r="K39" s="409"/>
      <c r="L39" s="407"/>
      <c r="M39" s="407"/>
      <c r="N39" s="407"/>
      <c r="O39" s="218"/>
      <c r="P39" s="216"/>
      <c r="Q39" s="216"/>
    </row>
    <row r="40" spans="1:17" x14ac:dyDescent="0.2">
      <c r="A40" s="216"/>
      <c r="B40" s="395"/>
      <c r="C40" s="216"/>
      <c r="D40" s="216"/>
      <c r="E40" s="216"/>
      <c r="F40" s="216"/>
      <c r="G40" s="444"/>
      <c r="H40" s="445" t="s">
        <v>1586</v>
      </c>
      <c r="I40" s="407"/>
      <c r="J40" s="407"/>
      <c r="K40" s="409"/>
      <c r="L40" s="407"/>
      <c r="M40" s="407"/>
      <c r="N40" s="407"/>
      <c r="O40" s="218"/>
      <c r="P40" s="216"/>
      <c r="Q40" s="216"/>
    </row>
    <row r="41" spans="1:17" x14ac:dyDescent="0.2">
      <c r="G41" s="447"/>
      <c r="H41" s="218" t="s">
        <v>1587</v>
      </c>
      <c r="M41" s="216"/>
      <c r="O41" s="216"/>
      <c r="P41" s="216"/>
      <c r="Q41" s="216"/>
    </row>
    <row r="42" spans="1:17" x14ac:dyDescent="0.2">
      <c r="A42" s="384" t="s">
        <v>1588</v>
      </c>
      <c r="G42" s="447"/>
      <c r="H42" s="218"/>
      <c r="M42" s="216"/>
      <c r="O42" s="216"/>
      <c r="P42" s="216"/>
      <c r="Q42" s="216"/>
    </row>
    <row r="43" spans="1:17" x14ac:dyDescent="0.2">
      <c r="G43" s="447"/>
      <c r="H43" s="449"/>
      <c r="L43" s="216"/>
      <c r="M43" s="407"/>
    </row>
    <row r="44" spans="1:17" ht="15.75" x14ac:dyDescent="0.2">
      <c r="F44" s="450"/>
      <c r="H44" s="445"/>
      <c r="L44" s="216"/>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4"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5"/>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6" t="s">
        <v>1030</v>
      </c>
      <c r="B3" s="2127"/>
      <c r="C3" s="1580"/>
      <c r="D3" s="1581"/>
      <c r="E3" s="1581"/>
      <c r="F3" s="1581"/>
      <c r="G3" s="1581"/>
      <c r="H3" s="1581"/>
      <c r="I3" s="1581"/>
      <c r="J3" s="1581"/>
      <c r="K3" s="1581"/>
      <c r="L3" s="1581"/>
      <c r="M3" s="1582"/>
      <c r="N3" s="1583"/>
    </row>
    <row r="4" spans="1:14" ht="13.5" customHeight="1" x14ac:dyDescent="0.2">
      <c r="A4" s="462" t="s">
        <v>1750</v>
      </c>
      <c r="B4" s="463"/>
      <c r="C4" s="464">
        <v>9001498</v>
      </c>
      <c r="D4" s="465">
        <v>5785905</v>
      </c>
      <c r="E4" s="465">
        <v>1083117</v>
      </c>
      <c r="F4" s="465">
        <v>120302</v>
      </c>
      <c r="G4" s="465">
        <v>513828</v>
      </c>
      <c r="H4" s="465"/>
      <c r="I4" s="465">
        <v>6504399</v>
      </c>
      <c r="J4" s="466">
        <v>578216</v>
      </c>
      <c r="K4" s="465"/>
      <c r="L4" s="465">
        <v>166707</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v>10908</v>
      </c>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9012406</v>
      </c>
      <c r="D13" s="1758">
        <f t="shared" ref="D13:L13" si="0">SUM(D4:D12)</f>
        <v>5785905</v>
      </c>
      <c r="E13" s="1758">
        <f t="shared" si="0"/>
        <v>1083117</v>
      </c>
      <c r="F13" s="1758">
        <f t="shared" si="0"/>
        <v>120302</v>
      </c>
      <c r="G13" s="1758">
        <f t="shared" si="0"/>
        <v>513828</v>
      </c>
      <c r="H13" s="1758">
        <f t="shared" si="0"/>
        <v>0</v>
      </c>
      <c r="I13" s="1758">
        <f t="shared" si="0"/>
        <v>6504399</v>
      </c>
      <c r="J13" s="1758">
        <f t="shared" si="0"/>
        <v>578216</v>
      </c>
      <c r="K13" s="1758">
        <f t="shared" si="0"/>
        <v>0</v>
      </c>
      <c r="L13" s="1758">
        <f t="shared" si="0"/>
        <v>166707</v>
      </c>
      <c r="M13" s="467"/>
      <c r="N13" s="468"/>
    </row>
    <row r="14" spans="1:14" ht="18" customHeight="1" thickTop="1" x14ac:dyDescent="0.2">
      <c r="A14" s="2128" t="s">
        <v>149</v>
      </c>
      <c r="B14" s="2129"/>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26342</v>
      </c>
      <c r="N16" s="483"/>
    </row>
    <row r="17" spans="1:14" s="484" customFormat="1" ht="12.75" customHeight="1" x14ac:dyDescent="0.2">
      <c r="A17" s="481" t="s">
        <v>1470</v>
      </c>
      <c r="B17" s="482">
        <v>230</v>
      </c>
      <c r="C17" s="476"/>
      <c r="D17" s="476"/>
      <c r="E17" s="476"/>
      <c r="F17" s="476"/>
      <c r="G17" s="476"/>
      <c r="H17" s="476"/>
      <c r="I17" s="476"/>
      <c r="J17" s="476"/>
      <c r="K17" s="476"/>
      <c r="L17" s="476"/>
      <c r="M17" s="466">
        <v>16240001</v>
      </c>
      <c r="N17" s="483"/>
    </row>
    <row r="18" spans="1:14" s="484" customFormat="1" ht="12.75" customHeight="1" x14ac:dyDescent="0.2">
      <c r="A18" s="481" t="s">
        <v>1471</v>
      </c>
      <c r="B18" s="482">
        <v>240</v>
      </c>
      <c r="C18" s="476"/>
      <c r="D18" s="476"/>
      <c r="E18" s="476"/>
      <c r="F18" s="476"/>
      <c r="G18" s="476"/>
      <c r="H18" s="476"/>
      <c r="I18" s="476"/>
      <c r="J18" s="476"/>
      <c r="K18" s="476"/>
      <c r="L18" s="476"/>
      <c r="M18" s="466">
        <v>439079</v>
      </c>
      <c r="N18" s="483"/>
    </row>
    <row r="19" spans="1:14" s="484" customFormat="1" ht="12.75" customHeight="1" x14ac:dyDescent="0.2">
      <c r="A19" s="481" t="s">
        <v>1472</v>
      </c>
      <c r="B19" s="482">
        <v>250</v>
      </c>
      <c r="C19" s="476"/>
      <c r="D19" s="476"/>
      <c r="E19" s="476"/>
      <c r="F19" s="476"/>
      <c r="G19" s="476"/>
      <c r="H19" s="476"/>
      <c r="I19" s="476"/>
      <c r="J19" s="476"/>
      <c r="K19" s="476"/>
      <c r="L19" s="476"/>
      <c r="M19" s="466">
        <v>1804670</v>
      </c>
      <c r="N19" s="483"/>
    </row>
    <row r="20" spans="1:14" s="484" customFormat="1" ht="12.75" customHeight="1" x14ac:dyDescent="0.2">
      <c r="A20" s="481" t="s">
        <v>1473</v>
      </c>
      <c r="B20" s="482">
        <v>260</v>
      </c>
      <c r="C20" s="476"/>
      <c r="D20" s="476"/>
      <c r="E20" s="476"/>
      <c r="F20" s="476"/>
      <c r="G20" s="476"/>
      <c r="H20" s="476"/>
      <c r="I20" s="476"/>
      <c r="J20" s="476"/>
      <c r="K20" s="476"/>
      <c r="L20" s="476"/>
      <c r="M20" s="466"/>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1083117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8471883</v>
      </c>
    </row>
    <row r="23" spans="1:14" ht="13.5" customHeight="1" thickBot="1" x14ac:dyDescent="0.25">
      <c r="A23" s="1757" t="s">
        <v>664</v>
      </c>
      <c r="B23" s="1762"/>
      <c r="C23" s="467"/>
      <c r="D23" s="467"/>
      <c r="E23" s="467"/>
      <c r="F23" s="467"/>
      <c r="G23" s="467"/>
      <c r="H23" s="467"/>
      <c r="I23" s="467"/>
      <c r="J23" s="467"/>
      <c r="K23" s="467"/>
      <c r="L23" s="467"/>
      <c r="M23" s="1709">
        <f>SUM(M15:M22)</f>
        <v>18510092</v>
      </c>
      <c r="N23" s="1709">
        <f>SUM(N21:N22)</f>
        <v>9555000</v>
      </c>
    </row>
    <row r="24" spans="1:14" ht="18" customHeight="1" thickTop="1" x14ac:dyDescent="0.2">
      <c r="A24" s="2130" t="s">
        <v>619</v>
      </c>
      <c r="B24" s="2131"/>
      <c r="C24" s="1589"/>
      <c r="D24" s="1586"/>
      <c r="E24" s="1586"/>
      <c r="F24" s="1586"/>
      <c r="G24" s="1586"/>
      <c r="H24" s="1586"/>
      <c r="I24" s="1586"/>
      <c r="J24" s="1586"/>
      <c r="K24" s="1586"/>
      <c r="L24" s="1586"/>
      <c r="M24" s="1585"/>
      <c r="N24" s="1590"/>
    </row>
    <row r="25" spans="1:14" x14ac:dyDescent="0.2">
      <c r="A25" s="472" t="s">
        <v>666</v>
      </c>
      <c r="B25" s="469">
        <v>410</v>
      </c>
      <c r="C25" s="477"/>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v>642073</v>
      </c>
      <c r="D30" s="473"/>
      <c r="E30" s="466"/>
      <c r="F30" s="466"/>
      <c r="G30" s="466">
        <v>33248</v>
      </c>
      <c r="H30" s="466"/>
      <c r="I30" s="466"/>
      <c r="J30" s="466"/>
      <c r="K30" s="477"/>
      <c r="L30" s="467"/>
      <c r="M30" s="467"/>
      <c r="N30" s="467"/>
    </row>
    <row r="31" spans="1:14" ht="13.5" customHeight="1" x14ac:dyDescent="0.2">
      <c r="A31" s="472" t="s">
        <v>672</v>
      </c>
      <c r="B31" s="469">
        <v>480</v>
      </c>
      <c r="C31" s="465">
        <v>221851</v>
      </c>
      <c r="D31" s="466"/>
      <c r="E31" s="466"/>
      <c r="F31" s="465"/>
      <c r="G31" s="466"/>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166707</v>
      </c>
      <c r="M33" s="467"/>
      <c r="N33" s="468"/>
    </row>
    <row r="34" spans="1:14" ht="13.5" customHeight="1" thickBot="1" x14ac:dyDescent="0.25">
      <c r="A34" s="1759" t="s">
        <v>675</v>
      </c>
      <c r="B34" s="1760"/>
      <c r="C34" s="1761">
        <f>SUM(C25:C33)</f>
        <v>863924</v>
      </c>
      <c r="D34" s="1761">
        <f t="shared" ref="D34:K34" si="1">SUM(D25:D33)</f>
        <v>0</v>
      </c>
      <c r="E34" s="1761">
        <f t="shared" si="1"/>
        <v>0</v>
      </c>
      <c r="F34" s="1761">
        <f t="shared" si="1"/>
        <v>0</v>
      </c>
      <c r="G34" s="1761">
        <f t="shared" si="1"/>
        <v>33248</v>
      </c>
      <c r="H34" s="1761">
        <f t="shared" si="1"/>
        <v>0</v>
      </c>
      <c r="I34" s="1761">
        <f t="shared" si="1"/>
        <v>0</v>
      </c>
      <c r="J34" s="1761">
        <f t="shared" si="1"/>
        <v>0</v>
      </c>
      <c r="K34" s="1761">
        <f t="shared" si="1"/>
        <v>0</v>
      </c>
      <c r="L34" s="1742">
        <f>SUM(L33)</f>
        <v>166707</v>
      </c>
      <c r="M34" s="467"/>
      <c r="N34" s="479"/>
    </row>
    <row r="35" spans="1:14" ht="18" customHeight="1" thickTop="1" x14ac:dyDescent="0.2">
      <c r="A35" s="2132" t="s">
        <v>550</v>
      </c>
      <c r="B35" s="2133"/>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9555000</v>
      </c>
    </row>
    <row r="37" spans="1:14" ht="13.5" thickBot="1" x14ac:dyDescent="0.25">
      <c r="A37" s="1757" t="s">
        <v>674</v>
      </c>
      <c r="B37" s="1762"/>
      <c r="C37" s="476"/>
      <c r="D37" s="476"/>
      <c r="E37" s="476"/>
      <c r="F37" s="476"/>
      <c r="G37" s="476"/>
      <c r="H37" s="476"/>
      <c r="I37" s="476"/>
      <c r="J37" s="476"/>
      <c r="K37" s="476"/>
      <c r="L37" s="479"/>
      <c r="M37" s="467"/>
      <c r="N37" s="1709">
        <f>SUM(N36:N36)</f>
        <v>9555000</v>
      </c>
    </row>
    <row r="38" spans="1:14" s="328" customFormat="1" ht="13.5" customHeight="1" thickTop="1" x14ac:dyDescent="0.2">
      <c r="A38" s="495" t="s">
        <v>440</v>
      </c>
      <c r="B38" s="482">
        <v>714</v>
      </c>
      <c r="C38" s="465"/>
      <c r="D38" s="465">
        <v>5785905</v>
      </c>
      <c r="E38" s="465">
        <v>1083117</v>
      </c>
      <c r="F38" s="465">
        <v>120302</v>
      </c>
      <c r="G38" s="465">
        <v>480580</v>
      </c>
      <c r="H38" s="465"/>
      <c r="I38" s="465"/>
      <c r="J38" s="466">
        <v>578216</v>
      </c>
      <c r="K38" s="465"/>
      <c r="L38" s="480"/>
      <c r="M38" s="496"/>
      <c r="N38" s="496"/>
    </row>
    <row r="39" spans="1:14" s="328" customFormat="1" ht="13.5" customHeight="1" x14ac:dyDescent="0.2">
      <c r="A39" s="495" t="s">
        <v>360</v>
      </c>
      <c r="B39" s="482">
        <v>730</v>
      </c>
      <c r="C39" s="465">
        <v>8148482</v>
      </c>
      <c r="D39" s="465"/>
      <c r="E39" s="465"/>
      <c r="F39" s="465"/>
      <c r="G39" s="465"/>
      <c r="H39" s="465"/>
      <c r="I39" s="465">
        <v>6504399</v>
      </c>
      <c r="J39" s="466"/>
      <c r="K39" s="465"/>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18510092</v>
      </c>
      <c r="N40" s="496"/>
    </row>
    <row r="41" spans="1:14" ht="13.5" customHeight="1" thickBot="1" x14ac:dyDescent="0.25">
      <c r="A41" s="1757" t="s">
        <v>676</v>
      </c>
      <c r="B41" s="1727"/>
      <c r="C41" s="1709">
        <f>(SUM(C34,C37,C38,C39))</f>
        <v>9012406</v>
      </c>
      <c r="D41" s="1709">
        <f t="shared" ref="D41:L41" si="2">SUM(D34,D37,D38:D39)</f>
        <v>5785905</v>
      </c>
      <c r="E41" s="1709">
        <f t="shared" si="2"/>
        <v>1083117</v>
      </c>
      <c r="F41" s="1709">
        <f t="shared" si="2"/>
        <v>120302</v>
      </c>
      <c r="G41" s="1709">
        <f t="shared" si="2"/>
        <v>513828</v>
      </c>
      <c r="H41" s="1709">
        <f t="shared" si="2"/>
        <v>0</v>
      </c>
      <c r="I41" s="1709">
        <f t="shared" si="2"/>
        <v>6504399</v>
      </c>
      <c r="J41" s="1709">
        <f t="shared" si="2"/>
        <v>578216</v>
      </c>
      <c r="K41" s="1709">
        <f t="shared" si="2"/>
        <v>0</v>
      </c>
      <c r="L41" s="1709">
        <f t="shared" si="2"/>
        <v>166707</v>
      </c>
      <c r="M41" s="1709">
        <f>SUM(M40)</f>
        <v>18510092</v>
      </c>
      <c r="N41" s="1709">
        <f>SUM(N37)</f>
        <v>9555000</v>
      </c>
    </row>
    <row r="42" spans="1:14" ht="13.5" thickTop="1" x14ac:dyDescent="0.2"/>
    <row r="43" spans="1:14" x14ac:dyDescent="0.2">
      <c r="A43" s="247"/>
      <c r="C43" s="502"/>
    </row>
    <row r="44" spans="1:14" x14ac:dyDescent="0.2">
      <c r="A44" s="247"/>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portrait"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2" activePane="bottomLeft" state="frozenSplit"/>
      <selection activeCell="A47" sqref="A47"/>
      <selection pane="bottomLeft" activeCell="A80" sqref="A80:B8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2"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3"/>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4" t="s">
        <v>1237</v>
      </c>
      <c r="B3" s="2155"/>
      <c r="C3" s="1594"/>
      <c r="D3" s="1595"/>
      <c r="E3" s="1595"/>
      <c r="F3" s="1595"/>
      <c r="G3" s="1595"/>
      <c r="H3" s="1595"/>
      <c r="I3" s="1595"/>
      <c r="J3" s="1595"/>
      <c r="K3" s="1596"/>
      <c r="L3" s="505"/>
    </row>
    <row r="4" spans="1:13" ht="15.75" customHeight="1" x14ac:dyDescent="0.2">
      <c r="A4" s="1953" t="s">
        <v>1579</v>
      </c>
      <c r="B4" s="1954">
        <v>1000</v>
      </c>
      <c r="C4" s="1763">
        <f>'Revenues 9-14'!C109</f>
        <v>10205834</v>
      </c>
      <c r="D4" s="1763">
        <f>'Revenues 9-14'!D109</f>
        <v>1526448</v>
      </c>
      <c r="E4" s="1763">
        <f>'Revenues 9-14'!E109</f>
        <v>1010296</v>
      </c>
      <c r="F4" s="1763">
        <f>'Revenues 9-14'!F109</f>
        <v>50033</v>
      </c>
      <c r="G4" s="1763">
        <f>'Revenues 9-14'!G109</f>
        <v>209961</v>
      </c>
      <c r="H4" s="1763">
        <f>'Revenues 9-14'!H109</f>
        <v>0</v>
      </c>
      <c r="I4" s="1763">
        <f>'Revenues 9-14'!I109</f>
        <v>30865</v>
      </c>
      <c r="J4" s="1763">
        <f>'Revenues 9-14'!J109</f>
        <v>46739</v>
      </c>
      <c r="K4" s="1763">
        <f>'Revenues 9-14'!K109</f>
        <v>0</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393322</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1582</v>
      </c>
      <c r="B7" s="1599">
        <v>4000</v>
      </c>
      <c r="C7" s="1764">
        <f>'Revenues 9-14'!C274</f>
        <v>100950</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10700106</v>
      </c>
      <c r="D8" s="1709">
        <f t="shared" ref="D8:K8" si="0">SUM(D4:D7)</f>
        <v>1526448</v>
      </c>
      <c r="E8" s="1709">
        <f t="shared" si="0"/>
        <v>1010296</v>
      </c>
      <c r="F8" s="1709">
        <f t="shared" si="0"/>
        <v>50033</v>
      </c>
      <c r="G8" s="1709">
        <f t="shared" si="0"/>
        <v>209961</v>
      </c>
      <c r="H8" s="1709">
        <f t="shared" si="0"/>
        <v>0</v>
      </c>
      <c r="I8" s="1709">
        <f t="shared" si="0"/>
        <v>30865</v>
      </c>
      <c r="J8" s="1709">
        <f t="shared" si="0"/>
        <v>46739</v>
      </c>
      <c r="K8" s="1709">
        <f t="shared" si="0"/>
        <v>0</v>
      </c>
      <c r="L8" s="346"/>
    </row>
    <row r="9" spans="1:13" ht="15.75" thickTop="1" x14ac:dyDescent="0.2">
      <c r="A9" s="513" t="s">
        <v>1752</v>
      </c>
      <c r="B9" s="514">
        <v>3998</v>
      </c>
      <c r="C9" s="480">
        <v>4656050</v>
      </c>
      <c r="D9" s="515"/>
      <c r="E9" s="480"/>
      <c r="F9" s="480"/>
      <c r="G9" s="516"/>
      <c r="H9" s="480"/>
      <c r="I9" s="508" t="s">
        <v>1231</v>
      </c>
      <c r="J9" s="477"/>
      <c r="K9" s="480"/>
      <c r="L9" s="346"/>
    </row>
    <row r="10" spans="1:13" s="518" customFormat="1" ht="13.5" thickBot="1" x14ac:dyDescent="0.25">
      <c r="A10" s="1757" t="s">
        <v>1235</v>
      </c>
      <c r="B10" s="1730"/>
      <c r="C10" s="1709">
        <f>SUM(C8:C9)</f>
        <v>15356156</v>
      </c>
      <c r="D10" s="1709">
        <f t="shared" ref="D10:K10" si="1">SUM(D8:D9)</f>
        <v>1526448</v>
      </c>
      <c r="E10" s="1709">
        <f t="shared" si="1"/>
        <v>1010296</v>
      </c>
      <c r="F10" s="1709">
        <f t="shared" si="1"/>
        <v>50033</v>
      </c>
      <c r="G10" s="1709">
        <f t="shared" si="1"/>
        <v>209961</v>
      </c>
      <c r="H10" s="1709">
        <f t="shared" si="1"/>
        <v>0</v>
      </c>
      <c r="I10" s="1709">
        <f t="shared" si="1"/>
        <v>30865</v>
      </c>
      <c r="J10" s="1709">
        <f t="shared" si="1"/>
        <v>46739</v>
      </c>
      <c r="K10" s="1709">
        <f t="shared" si="1"/>
        <v>0</v>
      </c>
      <c r="L10" s="517"/>
    </row>
    <row r="11" spans="1:13" s="518" customFormat="1" ht="16.7" customHeight="1" thickTop="1" x14ac:dyDescent="0.2">
      <c r="A11" s="2128" t="s">
        <v>1238</v>
      </c>
      <c r="B11" s="2129"/>
      <c r="C11" s="1591"/>
      <c r="D11" s="1592"/>
      <c r="E11" s="1592"/>
      <c r="F11" s="1592"/>
      <c r="G11" s="1592"/>
      <c r="H11" s="1592"/>
      <c r="I11" s="1592"/>
      <c r="J11" s="1592"/>
      <c r="K11" s="1593"/>
      <c r="L11" s="517"/>
    </row>
    <row r="12" spans="1:13" ht="15.75" customHeight="1" x14ac:dyDescent="0.2">
      <c r="A12" s="1597" t="s">
        <v>476</v>
      </c>
      <c r="B12" s="1599">
        <v>1000</v>
      </c>
      <c r="C12" s="1763">
        <f>'Expenditures 15-22'!K33</f>
        <v>7108564</v>
      </c>
      <c r="D12" s="519" t="s">
        <v>1231</v>
      </c>
      <c r="E12" s="467" t="s">
        <v>1231</v>
      </c>
      <c r="F12" s="467" t="s">
        <v>1231</v>
      </c>
      <c r="G12" s="1763">
        <f>'Expenditures 15-22'!K229</f>
        <v>116708</v>
      </c>
      <c r="H12" s="520"/>
      <c r="I12" s="467" t="s">
        <v>1231</v>
      </c>
      <c r="J12" s="467" t="s">
        <v>1231</v>
      </c>
      <c r="K12" s="520" t="s">
        <v>1231</v>
      </c>
      <c r="L12" s="346"/>
    </row>
    <row r="13" spans="1:13" ht="15.75" customHeight="1" x14ac:dyDescent="0.2">
      <c r="A13" s="1597" t="s">
        <v>477</v>
      </c>
      <c r="B13" s="1599">
        <v>2000</v>
      </c>
      <c r="C13" s="1764">
        <f>'Expenditures 15-22'!K74</f>
        <v>3483788</v>
      </c>
      <c r="D13" s="1764">
        <f>'Expenditures 15-22'!K129</f>
        <v>1066462</v>
      </c>
      <c r="E13" s="468" t="s">
        <v>1231</v>
      </c>
      <c r="F13" s="1764">
        <f>'Expenditures 15-22'!K184</f>
        <v>73662</v>
      </c>
      <c r="G13" s="1764">
        <f>'Expenditures 15-22'!K279</f>
        <v>100498</v>
      </c>
      <c r="H13" s="1764">
        <f>'Expenditures 15-22'!K303</f>
        <v>0</v>
      </c>
      <c r="I13" s="467" t="s">
        <v>1231</v>
      </c>
      <c r="J13" s="1764">
        <f>'Expenditures 15-22'!K330</f>
        <v>57326</v>
      </c>
      <c r="K13" s="1768">
        <f>'Expenditures 15-22'!K352</f>
        <v>0</v>
      </c>
      <c r="L13" s="346"/>
    </row>
    <row r="14" spans="1:13" ht="15.75" customHeight="1" x14ac:dyDescent="0.2">
      <c r="A14" s="1597" t="s">
        <v>469</v>
      </c>
      <c r="B14" s="1599">
        <v>3000</v>
      </c>
      <c r="C14" s="1764">
        <f>'Expenditures 15-22'!K75</f>
        <v>0</v>
      </c>
      <c r="D14" s="1764">
        <f>'Expenditures 15-22'!K130</f>
        <v>0</v>
      </c>
      <c r="E14" s="519" t="s">
        <v>1231</v>
      </c>
      <c r="F14" s="1764">
        <f>'Expenditures 15-22'!K185</f>
        <v>0</v>
      </c>
      <c r="G14" s="1764">
        <f>'Expenditures 15-22'!K280</f>
        <v>0</v>
      </c>
      <c r="H14" s="511"/>
      <c r="I14" s="467" t="s">
        <v>1231</v>
      </c>
      <c r="J14" s="467" t="s">
        <v>1231</v>
      </c>
      <c r="K14" s="511" t="s">
        <v>1231</v>
      </c>
      <c r="L14" s="346"/>
    </row>
    <row r="15" spans="1:13" ht="15.75" customHeight="1" x14ac:dyDescent="0.2">
      <c r="A15" s="1597" t="s">
        <v>109</v>
      </c>
      <c r="B15" s="1599">
        <v>4000</v>
      </c>
      <c r="C15" s="1764">
        <f>'Expenditures 15-22'!K102</f>
        <v>368810</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935491</v>
      </c>
      <c r="F16" s="1764">
        <f>'Expenditures 15-22'!K208</f>
        <v>0</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10961162</v>
      </c>
      <c r="D17" s="1709">
        <f t="shared" si="2"/>
        <v>1066462</v>
      </c>
      <c r="E17" s="1709">
        <f t="shared" si="2"/>
        <v>935491</v>
      </c>
      <c r="F17" s="1709">
        <f t="shared" si="2"/>
        <v>73662</v>
      </c>
      <c r="G17" s="1709">
        <f t="shared" si="2"/>
        <v>217206</v>
      </c>
      <c r="H17" s="1709">
        <f t="shared" si="2"/>
        <v>0</v>
      </c>
      <c r="I17" s="467"/>
      <c r="J17" s="1709">
        <f>SUM(J12:J16)</f>
        <v>57326</v>
      </c>
      <c r="K17" s="1709">
        <f>SUM(K12:K16)</f>
        <v>0</v>
      </c>
      <c r="L17" s="346"/>
    </row>
    <row r="18" spans="1:12" ht="15" customHeight="1" thickTop="1" x14ac:dyDescent="0.2">
      <c r="A18" s="1765" t="s">
        <v>1753</v>
      </c>
      <c r="B18" s="1766">
        <v>4180</v>
      </c>
      <c r="C18" s="1763">
        <f t="shared" ref="C18:H18" si="3">C9</f>
        <v>4656050</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15617212</v>
      </c>
      <c r="D19" s="1709">
        <f t="shared" si="4"/>
        <v>1066462</v>
      </c>
      <c r="E19" s="1709">
        <f t="shared" si="4"/>
        <v>935491</v>
      </c>
      <c r="F19" s="1709">
        <f t="shared" si="4"/>
        <v>73662</v>
      </c>
      <c r="G19" s="1709">
        <f t="shared" si="4"/>
        <v>217206</v>
      </c>
      <c r="H19" s="1709">
        <f t="shared" si="4"/>
        <v>0</v>
      </c>
      <c r="I19" s="467"/>
      <c r="J19" s="1709">
        <f>SUM(J17:J18)</f>
        <v>57326</v>
      </c>
      <c r="K19" s="1709">
        <f>SUM(K17:K18)</f>
        <v>0</v>
      </c>
      <c r="L19" s="346"/>
    </row>
    <row r="20" spans="1:12" ht="16.5" thickTop="1" thickBot="1" x14ac:dyDescent="0.25">
      <c r="A20" s="2144" t="s">
        <v>1754</v>
      </c>
      <c r="B20" s="2145"/>
      <c r="C20" s="1767">
        <f>C8-C17</f>
        <v>-261056</v>
      </c>
      <c r="D20" s="1767">
        <f t="shared" ref="D20:K20" si="5">D8-D17</f>
        <v>459986</v>
      </c>
      <c r="E20" s="1767">
        <f t="shared" si="5"/>
        <v>74805</v>
      </c>
      <c r="F20" s="1767">
        <f t="shared" si="5"/>
        <v>-23629</v>
      </c>
      <c r="G20" s="1767">
        <f t="shared" si="5"/>
        <v>-7245</v>
      </c>
      <c r="H20" s="1767">
        <f t="shared" si="5"/>
        <v>0</v>
      </c>
      <c r="I20" s="1767">
        <f t="shared" si="5"/>
        <v>30865</v>
      </c>
      <c r="J20" s="1767">
        <f t="shared" si="5"/>
        <v>-10587</v>
      </c>
      <c r="K20" s="1767">
        <f t="shared" si="5"/>
        <v>0</v>
      </c>
      <c r="L20" s="346"/>
    </row>
    <row r="21" spans="1:12" ht="16.7" customHeight="1" thickTop="1" x14ac:dyDescent="0.2">
      <c r="A21" s="2156" t="s">
        <v>616</v>
      </c>
      <c r="B21" s="2157"/>
      <c r="C21" s="1591"/>
      <c r="D21" s="1592"/>
      <c r="E21" s="1592"/>
      <c r="F21" s="1592"/>
      <c r="G21" s="1592"/>
      <c r="H21" s="1592"/>
      <c r="I21" s="1592"/>
      <c r="J21" s="1592"/>
      <c r="K21" s="1593"/>
      <c r="L21" s="523"/>
    </row>
    <row r="22" spans="1:12" ht="15.75" customHeight="1" collapsed="1" x14ac:dyDescent="0.2">
      <c r="A22" s="2152" t="s">
        <v>617</v>
      </c>
      <c r="B22" s="2153"/>
      <c r="C22" s="476"/>
      <c r="D22" s="476"/>
      <c r="E22" s="476"/>
      <c r="F22" s="476"/>
      <c r="G22" s="476"/>
      <c r="H22" s="476"/>
      <c r="I22" s="476"/>
      <c r="J22" s="476"/>
      <c r="K22" s="476"/>
      <c r="L22" s="346"/>
    </row>
    <row r="23" spans="1:12" s="484" customFormat="1" ht="15.75" customHeight="1" x14ac:dyDescent="0.2">
      <c r="A23" s="2148" t="s">
        <v>311</v>
      </c>
      <c r="B23" s="2149"/>
      <c r="C23" s="479"/>
      <c r="D23" s="476"/>
      <c r="E23" s="476"/>
      <c r="F23" s="476"/>
      <c r="G23" s="476"/>
      <c r="H23" s="476"/>
      <c r="I23" s="476"/>
      <c r="J23" s="476"/>
      <c r="K23" s="476"/>
      <c r="L23" s="523"/>
    </row>
    <row r="24" spans="1:12" s="484" customFormat="1" ht="13.5" customHeight="1" x14ac:dyDescent="0.2">
      <c r="A24" s="1510" t="s">
        <v>1755</v>
      </c>
      <c r="B24" s="524">
        <v>7110</v>
      </c>
      <c r="C24" s="466"/>
      <c r="D24" s="476"/>
      <c r="E24" s="476"/>
      <c r="F24" s="476"/>
      <c r="G24" s="476"/>
      <c r="H24" s="476"/>
      <c r="I24" s="476"/>
      <c r="J24" s="476"/>
      <c r="K24" s="476"/>
      <c r="L24" s="523"/>
    </row>
    <row r="25" spans="1:12" s="484" customFormat="1" ht="13.5" customHeight="1" x14ac:dyDescent="0.2">
      <c r="A25" s="1510" t="s">
        <v>1756</v>
      </c>
      <c r="B25" s="524">
        <v>7110</v>
      </c>
      <c r="C25" s="466"/>
      <c r="D25" s="466"/>
      <c r="E25" s="466"/>
      <c r="F25" s="466"/>
      <c r="G25" s="466"/>
      <c r="H25" s="466"/>
      <c r="I25" s="476"/>
      <c r="J25" s="466"/>
      <c r="K25" s="466"/>
      <c r="L25" s="523"/>
    </row>
    <row r="26" spans="1:12" s="484" customFormat="1" ht="13.5" customHeight="1" x14ac:dyDescent="0.2">
      <c r="A26" s="1510" t="s">
        <v>193</v>
      </c>
      <c r="B26" s="482">
        <v>7120</v>
      </c>
      <c r="C26" s="466"/>
      <c r="D26" s="466"/>
      <c r="E26" s="466"/>
      <c r="F26" s="466"/>
      <c r="G26" s="466"/>
      <c r="H26" s="466"/>
      <c r="I26" s="476"/>
      <c r="J26" s="466"/>
      <c r="K26" s="466"/>
      <c r="L26" s="523"/>
    </row>
    <row r="27" spans="1:12" s="484" customFormat="1" ht="13.5" customHeight="1" x14ac:dyDescent="0.2">
      <c r="A27" s="1510" t="s">
        <v>194</v>
      </c>
      <c r="B27" s="482">
        <v>7130</v>
      </c>
      <c r="C27" s="466"/>
      <c r="D27" s="466"/>
      <c r="E27" s="525"/>
      <c r="F27" s="466"/>
      <c r="G27" s="479"/>
      <c r="H27" s="479"/>
      <c r="I27" s="479"/>
      <c r="J27" s="479"/>
      <c r="K27" s="479"/>
      <c r="L27" s="523"/>
    </row>
    <row r="28" spans="1:12" s="484" customFormat="1" ht="13.5" customHeight="1" x14ac:dyDescent="0.2">
      <c r="A28" s="1510" t="s">
        <v>1465</v>
      </c>
      <c r="B28" s="482">
        <v>7140</v>
      </c>
      <c r="C28" s="466"/>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1897</v>
      </c>
      <c r="B30" s="526">
        <v>7160</v>
      </c>
      <c r="C30" s="476"/>
      <c r="D30" s="466"/>
      <c r="E30" s="476"/>
      <c r="F30" s="476"/>
      <c r="G30" s="476"/>
      <c r="H30" s="476"/>
      <c r="I30" s="476"/>
      <c r="J30" s="476"/>
      <c r="K30" s="476"/>
      <c r="L30" s="523"/>
    </row>
    <row r="31" spans="1:12" s="484" customFormat="1" ht="26.25" x14ac:dyDescent="0.2">
      <c r="A31" s="1510" t="s">
        <v>1901</v>
      </c>
      <c r="B31" s="526">
        <v>7170</v>
      </c>
      <c r="C31" s="476"/>
      <c r="D31" s="476"/>
      <c r="E31" s="473"/>
      <c r="F31" s="476"/>
      <c r="G31" s="476"/>
      <c r="H31" s="476"/>
      <c r="I31" s="476"/>
      <c r="J31" s="476"/>
      <c r="K31" s="476"/>
      <c r="L31" s="523"/>
    </row>
    <row r="32" spans="1:12" s="484" customFormat="1" ht="15.75" customHeight="1" x14ac:dyDescent="0.2">
      <c r="A32" s="2150" t="s">
        <v>1038</v>
      </c>
      <c r="B32" s="2151"/>
      <c r="C32" s="476"/>
      <c r="D32" s="476"/>
      <c r="E32" s="474"/>
      <c r="F32" s="476"/>
      <c r="G32" s="476"/>
      <c r="H32" s="476"/>
      <c r="I32" s="476"/>
      <c r="J32" s="476"/>
      <c r="K32" s="476"/>
      <c r="L32" s="523"/>
    </row>
    <row r="33" spans="1:12" s="484" customFormat="1" x14ac:dyDescent="0.2">
      <c r="A33" s="1510" t="s">
        <v>432</v>
      </c>
      <c r="B33" s="524">
        <v>7210</v>
      </c>
      <c r="C33" s="466"/>
      <c r="D33" s="466"/>
      <c r="E33" s="466"/>
      <c r="F33" s="466"/>
      <c r="G33" s="476"/>
      <c r="H33" s="466"/>
      <c r="I33" s="466">
        <v>3200000</v>
      </c>
      <c r="J33" s="466"/>
      <c r="K33" s="466"/>
      <c r="L33" s="523"/>
    </row>
    <row r="34" spans="1:12" s="484" customFormat="1" x14ac:dyDescent="0.2">
      <c r="A34" s="1510" t="s">
        <v>1058</v>
      </c>
      <c r="B34" s="524">
        <v>7220</v>
      </c>
      <c r="C34" s="466"/>
      <c r="D34" s="466"/>
      <c r="E34" s="466"/>
      <c r="F34" s="466"/>
      <c r="G34" s="476"/>
      <c r="H34" s="477"/>
      <c r="I34" s="477">
        <v>299536</v>
      </c>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0</v>
      </c>
      <c r="F37" s="474"/>
      <c r="G37" s="474"/>
      <c r="H37" s="474"/>
      <c r="I37" s="476"/>
      <c r="J37" s="474"/>
      <c r="K37" s="474"/>
      <c r="L37" s="523"/>
    </row>
    <row r="38" spans="1:12" s="484" customFormat="1" x14ac:dyDescent="0.2">
      <c r="A38" s="1510" t="s">
        <v>462</v>
      </c>
      <c r="B38" s="524">
        <v>7500</v>
      </c>
      <c r="C38" s="476"/>
      <c r="D38" s="476"/>
      <c r="E38" s="1764">
        <f>SUM(C58:D61,H58:H61)</f>
        <v>0</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c r="D43" s="466"/>
      <c r="E43" s="466"/>
      <c r="F43" s="466"/>
      <c r="G43" s="466"/>
      <c r="H43" s="466"/>
      <c r="I43" s="466"/>
      <c r="J43" s="466"/>
      <c r="K43" s="466"/>
      <c r="L43" s="523"/>
    </row>
    <row r="44" spans="1:12" s="484" customFormat="1" ht="13.5" customHeight="1" thickBot="1" x14ac:dyDescent="0.25">
      <c r="A44" s="2158" t="s">
        <v>392</v>
      </c>
      <c r="B44" s="2159"/>
      <c r="C44" s="1724">
        <f>SUM(C24:C43)</f>
        <v>0</v>
      </c>
      <c r="D44" s="1724">
        <f t="shared" ref="D44:K44" si="6">SUM(D24:D43)</f>
        <v>0</v>
      </c>
      <c r="E44" s="1724">
        <f t="shared" si="6"/>
        <v>0</v>
      </c>
      <c r="F44" s="1724">
        <f t="shared" si="6"/>
        <v>0</v>
      </c>
      <c r="G44" s="1724">
        <f t="shared" si="6"/>
        <v>0</v>
      </c>
      <c r="H44" s="1724">
        <f t="shared" si="6"/>
        <v>0</v>
      </c>
      <c r="I44" s="1724">
        <f t="shared" si="6"/>
        <v>3499536</v>
      </c>
      <c r="J44" s="1724">
        <f t="shared" si="6"/>
        <v>0</v>
      </c>
      <c r="K44" s="1724">
        <f t="shared" si="6"/>
        <v>0</v>
      </c>
      <c r="L44" s="523"/>
    </row>
    <row r="45" spans="1:12" ht="15.75" customHeight="1" thickTop="1" x14ac:dyDescent="0.2">
      <c r="A45" s="2152" t="s">
        <v>110</v>
      </c>
      <c r="B45" s="2153"/>
      <c r="C45" s="527"/>
      <c r="D45" s="527"/>
      <c r="E45" s="527"/>
      <c r="F45" s="527"/>
      <c r="G45" s="527"/>
      <c r="H45" s="527"/>
      <c r="I45" s="527"/>
      <c r="J45" s="527"/>
      <c r="K45" s="527"/>
      <c r="L45" s="346"/>
    </row>
    <row r="46" spans="1:12" s="484" customFormat="1" ht="15.75" customHeight="1" x14ac:dyDescent="0.2">
      <c r="A46" s="2160" t="s">
        <v>111</v>
      </c>
      <c r="B46" s="2161"/>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0</v>
      </c>
      <c r="J47" s="476"/>
      <c r="K47" s="476"/>
      <c r="L47" s="528"/>
    </row>
    <row r="48" spans="1:12" s="484" customFormat="1" ht="15" x14ac:dyDescent="0.2">
      <c r="A48" s="1511" t="s">
        <v>1759</v>
      </c>
      <c r="B48" s="482">
        <v>8120</v>
      </c>
      <c r="C48" s="479"/>
      <c r="D48" s="479"/>
      <c r="E48" s="476"/>
      <c r="F48" s="479"/>
      <c r="G48" s="476"/>
      <c r="H48" s="476"/>
      <c r="I48" s="1764">
        <f>SUM(C26:H26,J26,K26)</f>
        <v>0</v>
      </c>
      <c r="J48" s="476"/>
      <c r="K48" s="476"/>
      <c r="L48" s="528"/>
    </row>
    <row r="49" spans="1:12" s="484" customFormat="1" x14ac:dyDescent="0.2">
      <c r="A49" s="1511" t="s">
        <v>194</v>
      </c>
      <c r="B49" s="482">
        <v>8130</v>
      </c>
      <c r="C49" s="466"/>
      <c r="D49" s="466"/>
      <c r="E49" s="479"/>
      <c r="F49" s="466"/>
      <c r="G49" s="479"/>
      <c r="H49" s="479"/>
      <c r="I49" s="476"/>
      <c r="J49" s="479"/>
      <c r="K49" s="476"/>
      <c r="L49" s="523"/>
    </row>
    <row r="50" spans="1:12" s="484" customFormat="1" x14ac:dyDescent="0.2">
      <c r="A50" s="1511" t="s">
        <v>1465</v>
      </c>
      <c r="B50" s="482">
        <v>8140</v>
      </c>
      <c r="C50" s="466"/>
      <c r="D50" s="466"/>
      <c r="E50" s="466"/>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1900</v>
      </c>
      <c r="B52" s="482">
        <v>8160</v>
      </c>
      <c r="C52" s="476"/>
      <c r="D52" s="476"/>
      <c r="E52" s="476"/>
      <c r="F52" s="476"/>
      <c r="G52" s="476"/>
      <c r="H52" s="476"/>
      <c r="I52" s="476"/>
      <c r="J52" s="476"/>
      <c r="K52" s="1764">
        <f>D30</f>
        <v>0</v>
      </c>
      <c r="L52" s="523"/>
    </row>
    <row r="53" spans="1:12" s="484" customFormat="1" ht="26.25" x14ac:dyDescent="0.2">
      <c r="A53" s="1511" t="s">
        <v>1899</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c r="D56" s="530"/>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c r="D60" s="530"/>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v>66150</v>
      </c>
      <c r="J75" s="529"/>
      <c r="K75" s="531"/>
      <c r="L75" s="523"/>
    </row>
    <row r="76" spans="1:12" s="484" customFormat="1" ht="14.25" thickTop="1" thickBot="1" x14ac:dyDescent="0.25">
      <c r="A76" s="2134" t="s">
        <v>460</v>
      </c>
      <c r="B76" s="2135"/>
      <c r="C76" s="1724">
        <f t="shared" ref="C76:K76" si="7">SUM(C47:C75)</f>
        <v>0</v>
      </c>
      <c r="D76" s="1724">
        <f t="shared" si="7"/>
        <v>0</v>
      </c>
      <c r="E76" s="1724">
        <f t="shared" si="7"/>
        <v>0</v>
      </c>
      <c r="F76" s="1724">
        <f t="shared" si="7"/>
        <v>0</v>
      </c>
      <c r="G76" s="1724">
        <f t="shared" si="7"/>
        <v>0</v>
      </c>
      <c r="H76" s="1724">
        <f t="shared" si="7"/>
        <v>0</v>
      </c>
      <c r="I76" s="1724">
        <f t="shared" si="7"/>
        <v>66150</v>
      </c>
      <c r="J76" s="1724">
        <f t="shared" si="7"/>
        <v>0</v>
      </c>
      <c r="K76" s="1724">
        <f t="shared" si="7"/>
        <v>0</v>
      </c>
      <c r="L76" s="523"/>
    </row>
    <row r="77" spans="1:12" ht="14.25" thickTop="1" thickBot="1" x14ac:dyDescent="0.25">
      <c r="A77" s="2136" t="s">
        <v>1239</v>
      </c>
      <c r="B77" s="2137"/>
      <c r="C77" s="1724">
        <f t="shared" ref="C77:K77" si="8">C44-C76</f>
        <v>0</v>
      </c>
      <c r="D77" s="1724">
        <f t="shared" si="8"/>
        <v>0</v>
      </c>
      <c r="E77" s="1724">
        <f t="shared" si="8"/>
        <v>0</v>
      </c>
      <c r="F77" s="1724">
        <f t="shared" si="8"/>
        <v>0</v>
      </c>
      <c r="G77" s="1724">
        <f t="shared" si="8"/>
        <v>0</v>
      </c>
      <c r="H77" s="1724">
        <f t="shared" si="8"/>
        <v>0</v>
      </c>
      <c r="I77" s="1724">
        <f t="shared" si="8"/>
        <v>3433386</v>
      </c>
      <c r="J77" s="1724">
        <f t="shared" si="8"/>
        <v>0</v>
      </c>
      <c r="K77" s="1724">
        <f t="shared" si="8"/>
        <v>0</v>
      </c>
      <c r="L77" s="346"/>
    </row>
    <row r="78" spans="1:12" ht="21.75" customHeight="1" thickTop="1" thickBot="1" x14ac:dyDescent="0.25">
      <c r="A78" s="2140" t="s">
        <v>618</v>
      </c>
      <c r="B78" s="2141"/>
      <c r="C78" s="1723">
        <f t="shared" ref="C78:K78" si="9">C20+C77</f>
        <v>-261056</v>
      </c>
      <c r="D78" s="1723">
        <f t="shared" si="9"/>
        <v>459986</v>
      </c>
      <c r="E78" s="1723">
        <f t="shared" si="9"/>
        <v>74805</v>
      </c>
      <c r="F78" s="1723">
        <f t="shared" si="9"/>
        <v>-23629</v>
      </c>
      <c r="G78" s="1723">
        <f t="shared" si="9"/>
        <v>-7245</v>
      </c>
      <c r="H78" s="1723">
        <f t="shared" si="9"/>
        <v>0</v>
      </c>
      <c r="I78" s="1723">
        <f t="shared" si="9"/>
        <v>3464251</v>
      </c>
      <c r="J78" s="1723">
        <f t="shared" si="9"/>
        <v>-10587</v>
      </c>
      <c r="K78" s="1723">
        <f t="shared" si="9"/>
        <v>0</v>
      </c>
      <c r="L78" s="532"/>
    </row>
    <row r="79" spans="1:12" ht="13.5" thickTop="1" x14ac:dyDescent="0.2">
      <c r="A79" s="1515" t="s">
        <v>2071</v>
      </c>
      <c r="B79" s="533"/>
      <c r="C79" s="477">
        <v>8409538</v>
      </c>
      <c r="D79" s="534">
        <v>5325919</v>
      </c>
      <c r="E79" s="534">
        <v>1008312</v>
      </c>
      <c r="F79" s="534">
        <v>143931</v>
      </c>
      <c r="G79" s="534">
        <v>487825</v>
      </c>
      <c r="H79" s="534"/>
      <c r="I79" s="534">
        <v>3040148</v>
      </c>
      <c r="J79" s="534">
        <v>588803</v>
      </c>
      <c r="K79" s="534"/>
      <c r="L79" s="346"/>
    </row>
    <row r="80" spans="1:12" x14ac:dyDescent="0.2">
      <c r="A80" s="2146" t="s">
        <v>1898</v>
      </c>
      <c r="B80" s="2147"/>
      <c r="C80" s="466"/>
      <c r="D80" s="466"/>
      <c r="E80" s="466"/>
      <c r="F80" s="466"/>
      <c r="G80" s="466"/>
      <c r="H80" s="466"/>
      <c r="I80" s="466"/>
      <c r="J80" s="466"/>
      <c r="K80" s="466"/>
      <c r="L80" s="346"/>
    </row>
    <row r="81" spans="1:12" ht="13.5" thickBot="1" x14ac:dyDescent="0.25">
      <c r="A81" s="2138" t="s">
        <v>2072</v>
      </c>
      <c r="B81" s="2139"/>
      <c r="C81" s="1709">
        <f>(SUM(C78:C80))</f>
        <v>8148482</v>
      </c>
      <c r="D81" s="1709">
        <f>SUM(D78:D80)</f>
        <v>5785905</v>
      </c>
      <c r="E81" s="1709">
        <f t="shared" ref="E81:K81" si="10">SUM(E78:E80)</f>
        <v>1083117</v>
      </c>
      <c r="F81" s="1709">
        <f t="shared" si="10"/>
        <v>120302</v>
      </c>
      <c r="G81" s="1709">
        <f t="shared" si="10"/>
        <v>480580</v>
      </c>
      <c r="H81" s="1709">
        <f t="shared" si="10"/>
        <v>0</v>
      </c>
      <c r="I81" s="1709">
        <f t="shared" si="10"/>
        <v>6504399</v>
      </c>
      <c r="J81" s="1709">
        <f t="shared" si="10"/>
        <v>578216</v>
      </c>
      <c r="K81" s="1709">
        <f t="shared" si="10"/>
        <v>0</v>
      </c>
      <c r="L81" s="346"/>
    </row>
    <row r="82" spans="1:12" ht="0.75" customHeight="1" thickTop="1" thickBot="1" x14ac:dyDescent="0.25">
      <c r="A82" s="535" t="s">
        <v>361</v>
      </c>
      <c r="B82" s="536"/>
      <c r="C82" s="537">
        <f>(C81-C79)</f>
        <v>-261056</v>
      </c>
      <c r="D82" s="537">
        <f t="shared" ref="D82:K82" si="11">(D81-D79)</f>
        <v>459986</v>
      </c>
      <c r="E82" s="537">
        <f t="shared" si="11"/>
        <v>74805</v>
      </c>
      <c r="F82" s="537">
        <f t="shared" si="11"/>
        <v>-23629</v>
      </c>
      <c r="G82" s="537">
        <f t="shared" si="11"/>
        <v>-7245</v>
      </c>
      <c r="H82" s="537">
        <f t="shared" si="11"/>
        <v>0</v>
      </c>
      <c r="I82" s="537">
        <f t="shared" si="11"/>
        <v>3464251</v>
      </c>
      <c r="J82" s="537">
        <f t="shared" si="11"/>
        <v>-10587</v>
      </c>
      <c r="K82" s="537">
        <f t="shared" si="11"/>
        <v>0</v>
      </c>
    </row>
    <row r="83" spans="1:12" ht="14.25" hidden="1" thickTop="1" thickBot="1" x14ac:dyDescent="0.25">
      <c r="A83" s="538" t="s">
        <v>362</v>
      </c>
      <c r="B83" s="463"/>
      <c r="C83" s="539">
        <f>C82/C81</f>
        <v>-3.2037378250329325E-2</v>
      </c>
      <c r="D83" s="539">
        <f t="shared" ref="D83:K83" si="12">D82/D81</f>
        <v>7.9501132493533855E-2</v>
      </c>
      <c r="E83" s="539">
        <f t="shared" si="12"/>
        <v>6.9064560892313567E-2</v>
      </c>
      <c r="F83" s="539">
        <f t="shared" si="12"/>
        <v>-0.19641402470449368</v>
      </c>
      <c r="G83" s="539">
        <f t="shared" si="12"/>
        <v>-1.5075533730076158E-2</v>
      </c>
      <c r="H83" s="539" t="e">
        <f t="shared" si="12"/>
        <v>#DIV/0!</v>
      </c>
      <c r="I83" s="539">
        <f t="shared" si="12"/>
        <v>0.53260124417336641</v>
      </c>
      <c r="J83" s="539">
        <f t="shared" si="12"/>
        <v>-1.8309766592415292E-2</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B1" colorId="8" zoomScale="110" zoomScaleNormal="110" zoomScaleSheetLayoutView="75" workbookViewId="0">
      <pane ySplit="2" topLeftCell="A243" activePane="bottomLeft" state="frozen"/>
      <selection activeCell="A47" sqref="A47"/>
      <selection pane="bottomLeft" activeCell="C275" sqref="C275:J27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2" t="s">
        <v>1905</v>
      </c>
      <c r="B1" s="451"/>
      <c r="C1" s="452" t="s">
        <v>445</v>
      </c>
      <c r="D1" s="452" t="s">
        <v>446</v>
      </c>
      <c r="E1" s="452" t="s">
        <v>447</v>
      </c>
      <c r="F1" s="452" t="s">
        <v>448</v>
      </c>
      <c r="G1" s="452" t="s">
        <v>449</v>
      </c>
      <c r="H1" s="452" t="s">
        <v>450</v>
      </c>
      <c r="I1" s="452" t="s">
        <v>451</v>
      </c>
      <c r="J1" s="452" t="s">
        <v>452</v>
      </c>
      <c r="K1" s="452" t="s">
        <v>780</v>
      </c>
    </row>
    <row r="2" spans="1:12" ht="36" x14ac:dyDescent="0.2">
      <c r="A2" s="2143"/>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9701699</v>
      </c>
      <c r="D5" s="480">
        <v>1525448</v>
      </c>
      <c r="E5" s="465">
        <v>1010296</v>
      </c>
      <c r="F5" s="547">
        <v>50033</v>
      </c>
      <c r="G5" s="465">
        <v>146626</v>
      </c>
      <c r="H5" s="465"/>
      <c r="I5" s="465"/>
      <c r="J5" s="466">
        <v>46739</v>
      </c>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c r="D7" s="465"/>
      <c r="E7" s="467"/>
      <c r="F7" s="466"/>
      <c r="G7" s="466"/>
      <c r="H7" s="466"/>
      <c r="I7" s="467"/>
      <c r="J7" s="467"/>
      <c r="K7" s="467"/>
    </row>
    <row r="8" spans="1:12" x14ac:dyDescent="0.2">
      <c r="A8" s="462" t="s">
        <v>433</v>
      </c>
      <c r="B8" s="469">
        <v>1150</v>
      </c>
      <c r="C8" s="474"/>
      <c r="D8" s="474"/>
      <c r="E8" s="476"/>
      <c r="F8" s="476"/>
      <c r="G8" s="480"/>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9701699</v>
      </c>
      <c r="D12" s="1728">
        <f t="shared" si="0"/>
        <v>1525448</v>
      </c>
      <c r="E12" s="1728">
        <f t="shared" si="0"/>
        <v>1010296</v>
      </c>
      <c r="F12" s="1728">
        <f t="shared" si="0"/>
        <v>50033</v>
      </c>
      <c r="G12" s="1728">
        <f t="shared" si="0"/>
        <v>146626</v>
      </c>
      <c r="H12" s="1728">
        <f t="shared" si="0"/>
        <v>0</v>
      </c>
      <c r="I12" s="1728">
        <f t="shared" si="0"/>
        <v>0</v>
      </c>
      <c r="J12" s="1728">
        <f t="shared" si="0"/>
        <v>46739</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c r="D16" s="465"/>
      <c r="E16" s="465"/>
      <c r="F16" s="465"/>
      <c r="G16" s="465">
        <v>63335</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63335</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v>153516</v>
      </c>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153516</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0</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175151</v>
      </c>
      <c r="D65" s="465"/>
      <c r="E65" s="465"/>
      <c r="F65" s="466"/>
      <c r="G65" s="465"/>
      <c r="H65" s="465"/>
      <c r="I65" s="465">
        <v>30865</v>
      </c>
      <c r="J65" s="466"/>
      <c r="K65" s="465"/>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175151</v>
      </c>
      <c r="D67" s="1709">
        <f t="shared" ref="D67:K67" si="2">SUM(D65:D66)</f>
        <v>0</v>
      </c>
      <c r="E67" s="1709">
        <f t="shared" si="2"/>
        <v>0</v>
      </c>
      <c r="F67" s="1709">
        <f t="shared" si="2"/>
        <v>0</v>
      </c>
      <c r="G67" s="1709">
        <f t="shared" si="2"/>
        <v>0</v>
      </c>
      <c r="H67" s="1709">
        <f t="shared" si="2"/>
        <v>0</v>
      </c>
      <c r="I67" s="1709">
        <f t="shared" si="2"/>
        <v>30865</v>
      </c>
      <c r="J67" s="1709">
        <f t="shared" si="2"/>
        <v>0</v>
      </c>
      <c r="K67" s="1709">
        <f t="shared" si="2"/>
        <v>0</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c r="D71" s="467"/>
      <c r="E71" s="467"/>
      <c r="F71" s="467"/>
      <c r="G71" s="467"/>
      <c r="H71" s="467"/>
      <c r="I71" s="467"/>
      <c r="J71" s="467"/>
      <c r="K71" s="467"/>
    </row>
    <row r="72" spans="1:11" ht="12.75" customHeight="1" x14ac:dyDescent="0.2">
      <c r="A72" s="462" t="s">
        <v>24</v>
      </c>
      <c r="B72" s="469">
        <v>1614</v>
      </c>
      <c r="C72" s="550">
        <v>25245</v>
      </c>
      <c r="D72" s="467"/>
      <c r="E72" s="467"/>
      <c r="F72" s="467"/>
      <c r="G72" s="467"/>
      <c r="H72" s="467"/>
      <c r="I72" s="467"/>
      <c r="J72" s="467"/>
      <c r="K72" s="467"/>
    </row>
    <row r="73" spans="1:11" ht="12.75" customHeight="1" x14ac:dyDescent="0.2">
      <c r="A73" s="462" t="s">
        <v>1055</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569</v>
      </c>
      <c r="B75" s="1730"/>
      <c r="C75" s="1709">
        <f>SUM(C69:C74)</f>
        <v>25245</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41650</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41650</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c r="D92" s="467"/>
      <c r="E92" s="467"/>
      <c r="F92" s="467"/>
      <c r="G92" s="467"/>
      <c r="H92" s="467"/>
      <c r="I92" s="467"/>
      <c r="J92" s="467"/>
      <c r="K92" s="467"/>
    </row>
    <row r="93" spans="1:11" ht="12.75" customHeight="1" thickBot="1" x14ac:dyDescent="0.25">
      <c r="A93" s="1729" t="s">
        <v>261</v>
      </c>
      <c r="B93" s="1730"/>
      <c r="C93" s="1709">
        <f>SUM(C84:C92)</f>
        <v>0</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v>1760</v>
      </c>
      <c r="D95" s="550"/>
      <c r="E95" s="520"/>
      <c r="F95" s="520"/>
      <c r="G95" s="520"/>
      <c r="H95" s="520"/>
      <c r="I95" s="520"/>
      <c r="J95" s="520"/>
      <c r="K95" s="520"/>
    </row>
    <row r="96" spans="1:11" ht="12.75" customHeight="1" x14ac:dyDescent="0.2">
      <c r="A96" s="462" t="s">
        <v>409</v>
      </c>
      <c r="B96" s="469">
        <v>1920</v>
      </c>
      <c r="C96" s="550">
        <v>25491</v>
      </c>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v>41928</v>
      </c>
      <c r="D99" s="465"/>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v>36802</v>
      </c>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c r="D106" s="488"/>
      <c r="E106" s="466"/>
      <c r="F106" s="466"/>
      <c r="G106" s="466"/>
      <c r="H106" s="466"/>
      <c r="I106" s="520"/>
      <c r="J106" s="466"/>
      <c r="K106" s="466"/>
    </row>
    <row r="107" spans="1:12" ht="12.75" customHeight="1" x14ac:dyDescent="0.2">
      <c r="A107" s="462" t="s">
        <v>80</v>
      </c>
      <c r="B107" s="469">
        <v>1999</v>
      </c>
      <c r="C107" s="550">
        <v>2592</v>
      </c>
      <c r="D107" s="465">
        <v>1000</v>
      </c>
      <c r="E107" s="465"/>
      <c r="F107" s="465"/>
      <c r="G107" s="465"/>
      <c r="H107" s="465"/>
      <c r="I107" s="465"/>
      <c r="J107" s="466"/>
      <c r="K107" s="465"/>
    </row>
    <row r="108" spans="1:12" ht="12.75" customHeight="1" thickBot="1" x14ac:dyDescent="0.25">
      <c r="A108" s="1729" t="s">
        <v>508</v>
      </c>
      <c r="B108" s="1733"/>
      <c r="C108" s="1728">
        <f>SUM(C95:C107)</f>
        <v>108573</v>
      </c>
      <c r="D108" s="1728">
        <f t="shared" ref="D108:K108" si="3">SUM(D95:D107)</f>
        <v>1000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10205834</v>
      </c>
      <c r="D109" s="1736">
        <f t="shared" si="4"/>
        <v>1526448</v>
      </c>
      <c r="E109" s="1736">
        <f t="shared" si="4"/>
        <v>1010296</v>
      </c>
      <c r="F109" s="1736">
        <f t="shared" si="4"/>
        <v>50033</v>
      </c>
      <c r="G109" s="1736">
        <f t="shared" si="4"/>
        <v>209961</v>
      </c>
      <c r="H109" s="1736">
        <f t="shared" si="4"/>
        <v>0</v>
      </c>
      <c r="I109" s="1736">
        <f t="shared" si="4"/>
        <v>30865</v>
      </c>
      <c r="J109" s="1736">
        <f t="shared" si="4"/>
        <v>46739</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273059</v>
      </c>
      <c r="D117" s="480"/>
      <c r="E117" s="465"/>
      <c r="F117" s="480"/>
      <c r="G117" s="480"/>
      <c r="H117" s="465"/>
      <c r="I117" s="467"/>
      <c r="J117" s="466"/>
      <c r="K117" s="465"/>
    </row>
    <row r="118" spans="1:11" ht="12.75" customHeight="1" x14ac:dyDescent="0.2">
      <c r="A118" s="462" t="s">
        <v>1902</v>
      </c>
      <c r="B118" s="561">
        <v>3002</v>
      </c>
      <c r="C118" s="550"/>
      <c r="D118" s="465"/>
      <c r="E118" s="465"/>
      <c r="F118" s="465"/>
      <c r="G118" s="465"/>
      <c r="H118" s="465"/>
      <c r="I118" s="467"/>
      <c r="J118" s="466"/>
      <c r="K118" s="465"/>
    </row>
    <row r="119" spans="1:11" ht="12.75" customHeight="1" x14ac:dyDescent="0.2">
      <c r="A119" s="462" t="s">
        <v>1903</v>
      </c>
      <c r="B119" s="561">
        <v>3005</v>
      </c>
      <c r="C119" s="550"/>
      <c r="D119" s="465"/>
      <c r="E119" s="465"/>
      <c r="F119" s="465"/>
      <c r="G119" s="465"/>
      <c r="H119" s="465"/>
      <c r="I119" s="467"/>
      <c r="J119" s="466"/>
      <c r="K119" s="465"/>
    </row>
    <row r="120" spans="1:11" x14ac:dyDescent="0.2">
      <c r="A120" s="1517" t="s">
        <v>1904</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273059</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v>7320</v>
      </c>
      <c r="D124" s="560"/>
      <c r="E124" s="467"/>
      <c r="F124" s="547"/>
      <c r="G124" s="467"/>
      <c r="H124" s="467"/>
      <c r="I124" s="467"/>
      <c r="J124" s="467"/>
      <c r="K124" s="467"/>
    </row>
    <row r="125" spans="1:11" ht="12.75" customHeight="1" x14ac:dyDescent="0.2">
      <c r="A125" s="462" t="s">
        <v>1521</v>
      </c>
      <c r="B125" s="561">
        <v>3105</v>
      </c>
      <c r="C125" s="465">
        <v>29378</v>
      </c>
      <c r="D125" s="560"/>
      <c r="E125" s="467"/>
      <c r="F125" s="465"/>
      <c r="G125" s="467"/>
      <c r="H125" s="467"/>
      <c r="I125" s="467"/>
      <c r="J125" s="467"/>
      <c r="K125" s="467"/>
    </row>
    <row r="126" spans="1:11" ht="12.75" customHeight="1" x14ac:dyDescent="0.2">
      <c r="A126" s="462" t="s">
        <v>922</v>
      </c>
      <c r="B126" s="561">
        <v>3110</v>
      </c>
      <c r="C126" s="550">
        <v>52275</v>
      </c>
      <c r="D126" s="465"/>
      <c r="E126" s="467"/>
      <c r="F126" s="465"/>
      <c r="G126" s="467"/>
      <c r="H126" s="467"/>
      <c r="I126" s="467"/>
      <c r="J126" s="467"/>
      <c r="K126" s="467"/>
    </row>
    <row r="127" spans="1:11" ht="12.75" customHeight="1" x14ac:dyDescent="0.2">
      <c r="A127" s="462" t="s">
        <v>107</v>
      </c>
      <c r="B127" s="561">
        <v>3120</v>
      </c>
      <c r="C127" s="465"/>
      <c r="D127" s="560"/>
      <c r="E127" s="467"/>
      <c r="F127" s="465"/>
      <c r="G127" s="467"/>
      <c r="H127" s="467"/>
      <c r="I127" s="467"/>
      <c r="J127" s="467"/>
      <c r="K127" s="467"/>
    </row>
    <row r="128" spans="1:11" ht="12.75" customHeight="1" x14ac:dyDescent="0.2">
      <c r="A128" s="462" t="s">
        <v>1522</v>
      </c>
      <c r="B128" s="561">
        <v>3130</v>
      </c>
      <c r="C128" s="465"/>
      <c r="D128" s="560"/>
      <c r="E128" s="467"/>
      <c r="F128" s="465"/>
      <c r="G128" s="467"/>
      <c r="H128" s="467"/>
      <c r="I128" s="467"/>
      <c r="J128" s="467"/>
      <c r="K128" s="467"/>
    </row>
    <row r="129" spans="1:11" ht="12.75" customHeight="1" x14ac:dyDescent="0.2">
      <c r="A129" s="462" t="s">
        <v>139</v>
      </c>
      <c r="B129" s="561">
        <v>3145</v>
      </c>
      <c r="C129" s="465"/>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88973</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2" customFormat="1" ht="13.5" thickBot="1" x14ac:dyDescent="0.25">
      <c r="A144" s="1729" t="s">
        <v>414</v>
      </c>
      <c r="B144" s="1741"/>
      <c r="C144" s="1709">
        <f>SUM(C142:C143)</f>
        <v>0</v>
      </c>
      <c r="D144" s="467"/>
      <c r="E144" s="508"/>
      <c r="F144" s="467"/>
      <c r="G144" s="1742">
        <f>SUM(G142:G143)</f>
        <v>0</v>
      </c>
      <c r="H144" s="467"/>
      <c r="I144" s="467"/>
      <c r="J144" s="467"/>
      <c r="K144" s="467"/>
    </row>
    <row r="145" spans="1:11" s="202" customFormat="1" ht="12.75" customHeight="1" thickTop="1" x14ac:dyDescent="0.2">
      <c r="A145" s="1519" t="s">
        <v>1116</v>
      </c>
      <c r="B145" s="567">
        <v>3360</v>
      </c>
      <c r="C145" s="568"/>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c r="G151" s="466"/>
      <c r="H151" s="467"/>
      <c r="I151" s="467"/>
      <c r="J151" s="467"/>
      <c r="K151" s="467"/>
    </row>
    <row r="152" spans="1:11" ht="12.75" customHeight="1" x14ac:dyDescent="0.2">
      <c r="A152" s="462" t="s">
        <v>1117</v>
      </c>
      <c r="B152" s="561">
        <v>3510</v>
      </c>
      <c r="C152" s="550">
        <v>29790</v>
      </c>
      <c r="D152" s="465"/>
      <c r="E152" s="560"/>
      <c r="F152" s="465"/>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29790</v>
      </c>
      <c r="D154" s="1728">
        <f>SUM(D151:D153)</f>
        <v>0</v>
      </c>
      <c r="E154" s="560"/>
      <c r="F154" s="1728">
        <f>SUM(F151:F153)</f>
        <v>0</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v>1500</v>
      </c>
      <c r="D171" s="579"/>
      <c r="E171" s="579"/>
      <c r="F171" s="579"/>
      <c r="G171" s="580"/>
      <c r="H171" s="581"/>
      <c r="I171" s="580"/>
      <c r="J171" s="580"/>
      <c r="K171" s="581"/>
    </row>
    <row r="172" spans="1:11" ht="12.75" customHeight="1" thickTop="1" thickBot="1" x14ac:dyDescent="0.25">
      <c r="A172" s="2162" t="s">
        <v>418</v>
      </c>
      <c r="B172" s="2163"/>
      <c r="C172" s="1743">
        <f t="shared" ref="C172:K172" si="6">SUM(C131,C140,C144,C145:C149,C154,C155:C170,C171)</f>
        <v>120263</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393322</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4" t="s">
        <v>1572</v>
      </c>
      <c r="B175" s="2165"/>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68" t="s">
        <v>1764</v>
      </c>
      <c r="B178" s="216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2" t="s">
        <v>1763</v>
      </c>
      <c r="B179" s="2173"/>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70" t="s">
        <v>818</v>
      </c>
      <c r="B184" s="2171"/>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6" t="s">
        <v>1906</v>
      </c>
      <c r="B185" s="2167"/>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0</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24471</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24471</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0</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71361</v>
      </c>
      <c r="D220" s="465"/>
      <c r="E220" s="467"/>
      <c r="F220" s="465"/>
      <c r="G220" s="465"/>
      <c r="H220" s="467"/>
      <c r="I220" s="467"/>
      <c r="J220" s="467"/>
      <c r="K220" s="467"/>
    </row>
    <row r="221" spans="1:11" ht="12.75" customHeight="1" x14ac:dyDescent="0.2">
      <c r="A221" s="462" t="s">
        <v>1114</v>
      </c>
      <c r="B221" s="469">
        <v>4625</v>
      </c>
      <c r="C221" s="550">
        <v>2528</v>
      </c>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73889</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5"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2590</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c r="D270" s="575"/>
      <c r="E270" s="467"/>
      <c r="F270" s="575"/>
      <c r="G270" s="575"/>
      <c r="H270" s="467"/>
      <c r="I270" s="467"/>
      <c r="J270" s="467"/>
      <c r="K270" s="467"/>
    </row>
    <row r="271" spans="1:11" ht="12.75" customHeight="1" thickTop="1" thickBot="1" x14ac:dyDescent="0.25">
      <c r="A271" s="462" t="s">
        <v>395</v>
      </c>
      <c r="B271" s="469">
        <v>4992</v>
      </c>
      <c r="C271" s="574"/>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100950</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100950</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10700106</v>
      </c>
      <c r="D275" s="1736">
        <f t="shared" si="12"/>
        <v>1526448</v>
      </c>
      <c r="E275" s="1736">
        <f t="shared" si="12"/>
        <v>1010296</v>
      </c>
      <c r="F275" s="1736">
        <f t="shared" si="12"/>
        <v>50033</v>
      </c>
      <c r="G275" s="1736">
        <f t="shared" si="12"/>
        <v>209961</v>
      </c>
      <c r="H275" s="1736">
        <f t="shared" si="12"/>
        <v>0</v>
      </c>
      <c r="I275" s="1736">
        <f t="shared" si="12"/>
        <v>30865</v>
      </c>
      <c r="J275" s="1736">
        <f t="shared" si="12"/>
        <v>46739</v>
      </c>
      <c r="K275" s="1723">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2" activePane="bottomLeft" state="frozen"/>
      <selection activeCell="A47" sqref="A47"/>
      <selection pane="bottomLeft" activeCell="L323" sqref="L3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10" customWidth="1"/>
    <col min="14" max="14" width="9.140625" style="210"/>
    <col min="15" max="16384" width="9.140625" style="328"/>
  </cols>
  <sheetData>
    <row r="1" spans="1:14" x14ac:dyDescent="0.2">
      <c r="A1" s="2142" t="s">
        <v>1905</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6"/>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82" t="s">
        <v>315</v>
      </c>
      <c r="B3" s="2183"/>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4235273</v>
      </c>
      <c r="D5" s="465">
        <v>813959</v>
      </c>
      <c r="E5" s="465">
        <v>33011</v>
      </c>
      <c r="F5" s="465">
        <v>320425</v>
      </c>
      <c r="G5" s="465">
        <v>49547</v>
      </c>
      <c r="H5" s="465"/>
      <c r="I5" s="466">
        <v>145827</v>
      </c>
      <c r="J5" s="466"/>
      <c r="K5" s="1692">
        <f>SUM(C5:J5)</f>
        <v>5598042</v>
      </c>
      <c r="L5" s="465">
        <v>5692850</v>
      </c>
    </row>
    <row r="6" spans="1:14" x14ac:dyDescent="0.2">
      <c r="A6" s="1525" t="s">
        <v>1508</v>
      </c>
      <c r="B6" s="614" t="s">
        <v>1506</v>
      </c>
      <c r="C6" s="476"/>
      <c r="D6" s="476"/>
      <c r="E6" s="465"/>
      <c r="F6" s="476"/>
      <c r="G6" s="476"/>
      <c r="H6" s="476"/>
      <c r="I6" s="476"/>
      <c r="J6" s="476"/>
      <c r="K6" s="1692">
        <f>SUM(C6,E6)</f>
        <v>0</v>
      </c>
      <c r="L6" s="465">
        <v>20113</v>
      </c>
    </row>
    <row r="7" spans="1:14" x14ac:dyDescent="0.2">
      <c r="A7" s="1525" t="s">
        <v>165</v>
      </c>
      <c r="B7" s="614" t="s">
        <v>1024</v>
      </c>
      <c r="C7" s="466"/>
      <c r="D7" s="466"/>
      <c r="E7" s="466"/>
      <c r="F7" s="466">
        <v>7862</v>
      </c>
      <c r="G7" s="466"/>
      <c r="H7" s="466"/>
      <c r="I7" s="466"/>
      <c r="J7" s="466"/>
      <c r="K7" s="1692">
        <f t="shared" ref="K7:K32" si="0">SUM(C7:J7)</f>
        <v>7862</v>
      </c>
      <c r="L7" s="465">
        <v>1062</v>
      </c>
    </row>
    <row r="8" spans="1:14" x14ac:dyDescent="0.2">
      <c r="A8" s="1525" t="s">
        <v>166</v>
      </c>
      <c r="B8" s="614">
        <v>1200</v>
      </c>
      <c r="C8" s="465">
        <v>1033198</v>
      </c>
      <c r="D8" s="465">
        <v>242138</v>
      </c>
      <c r="E8" s="465">
        <v>49991</v>
      </c>
      <c r="F8" s="465">
        <v>27105</v>
      </c>
      <c r="G8" s="465"/>
      <c r="H8" s="465"/>
      <c r="I8" s="466"/>
      <c r="J8" s="466"/>
      <c r="K8" s="1692">
        <f t="shared" si="0"/>
        <v>1352432</v>
      </c>
      <c r="L8" s="465">
        <v>1456247</v>
      </c>
    </row>
    <row r="9" spans="1:14" x14ac:dyDescent="0.2">
      <c r="A9" s="1525" t="s">
        <v>745</v>
      </c>
      <c r="B9" s="614" t="s">
        <v>1025</v>
      </c>
      <c r="C9" s="466"/>
      <c r="D9" s="466"/>
      <c r="E9" s="466"/>
      <c r="F9" s="466"/>
      <c r="G9" s="466"/>
      <c r="H9" s="466"/>
      <c r="I9" s="466"/>
      <c r="J9" s="466"/>
      <c r="K9" s="1692">
        <f t="shared" si="0"/>
        <v>0</v>
      </c>
      <c r="L9" s="465"/>
    </row>
    <row r="10" spans="1:14" x14ac:dyDescent="0.2">
      <c r="A10" s="1525" t="s">
        <v>746</v>
      </c>
      <c r="B10" s="614">
        <v>1250</v>
      </c>
      <c r="C10" s="465">
        <v>64678</v>
      </c>
      <c r="D10" s="465">
        <v>7989</v>
      </c>
      <c r="E10" s="465"/>
      <c r="F10" s="465"/>
      <c r="G10" s="465"/>
      <c r="H10" s="465"/>
      <c r="I10" s="466"/>
      <c r="J10" s="466"/>
      <c r="K10" s="1692">
        <f t="shared" si="0"/>
        <v>72667</v>
      </c>
      <c r="L10" s="465">
        <v>78</v>
      </c>
    </row>
    <row r="11" spans="1:14" x14ac:dyDescent="0.2">
      <c r="A11" s="1525" t="s">
        <v>1192</v>
      </c>
      <c r="B11" s="614" t="s">
        <v>163</v>
      </c>
      <c r="C11" s="466"/>
      <c r="D11" s="466"/>
      <c r="E11" s="466"/>
      <c r="F11" s="466"/>
      <c r="G11" s="466"/>
      <c r="H11" s="466"/>
      <c r="I11" s="466"/>
      <c r="J11" s="466"/>
      <c r="K11" s="1692">
        <f t="shared" si="0"/>
        <v>0</v>
      </c>
      <c r="L11" s="465"/>
    </row>
    <row r="12" spans="1:14" x14ac:dyDescent="0.2">
      <c r="A12" s="1525" t="s">
        <v>1019</v>
      </c>
      <c r="B12" s="614">
        <v>1300</v>
      </c>
      <c r="C12" s="465"/>
      <c r="D12" s="465"/>
      <c r="E12" s="465"/>
      <c r="F12" s="465"/>
      <c r="G12" s="465"/>
      <c r="H12" s="465"/>
      <c r="I12" s="466"/>
      <c r="J12" s="466"/>
      <c r="K12" s="1692">
        <f t="shared" si="0"/>
        <v>0</v>
      </c>
      <c r="L12" s="465"/>
    </row>
    <row r="13" spans="1:14" x14ac:dyDescent="0.2">
      <c r="A13" s="1525" t="s">
        <v>747</v>
      </c>
      <c r="B13" s="614">
        <v>1400</v>
      </c>
      <c r="C13" s="465"/>
      <c r="D13" s="465"/>
      <c r="E13" s="465"/>
      <c r="F13" s="465"/>
      <c r="G13" s="465"/>
      <c r="H13" s="465"/>
      <c r="I13" s="466"/>
      <c r="J13" s="466"/>
      <c r="K13" s="1692">
        <f t="shared" si="0"/>
        <v>0</v>
      </c>
      <c r="L13" s="465"/>
    </row>
    <row r="14" spans="1:14" x14ac:dyDescent="0.2">
      <c r="A14" s="1525" t="s">
        <v>1020</v>
      </c>
      <c r="B14" s="614">
        <v>1500</v>
      </c>
      <c r="C14" s="465">
        <v>62440</v>
      </c>
      <c r="D14" s="465">
        <v>491</v>
      </c>
      <c r="E14" s="465">
        <v>6451</v>
      </c>
      <c r="F14" s="465">
        <v>82</v>
      </c>
      <c r="G14" s="465"/>
      <c r="H14" s="465"/>
      <c r="I14" s="466"/>
      <c r="J14" s="466"/>
      <c r="K14" s="1692">
        <f t="shared" si="0"/>
        <v>69464</v>
      </c>
      <c r="L14" s="465">
        <v>66693</v>
      </c>
    </row>
    <row r="15" spans="1:14" x14ac:dyDescent="0.2">
      <c r="A15" s="1525" t="s">
        <v>1021</v>
      </c>
      <c r="B15" s="614">
        <v>1600</v>
      </c>
      <c r="C15" s="465">
        <v>7980</v>
      </c>
      <c r="D15" s="465">
        <v>117</v>
      </c>
      <c r="E15" s="465"/>
      <c r="F15" s="465"/>
      <c r="G15" s="465"/>
      <c r="H15" s="465"/>
      <c r="I15" s="466"/>
      <c r="J15" s="466"/>
      <c r="K15" s="1692">
        <f t="shared" si="0"/>
        <v>8097</v>
      </c>
      <c r="L15" s="465">
        <v>6611</v>
      </c>
    </row>
    <row r="16" spans="1:14" x14ac:dyDescent="0.2">
      <c r="A16" s="1525" t="s">
        <v>1044</v>
      </c>
      <c r="B16" s="614" t="s">
        <v>444</v>
      </c>
      <c r="C16" s="465"/>
      <c r="D16" s="465"/>
      <c r="E16" s="465"/>
      <c r="F16" s="465"/>
      <c r="G16" s="465"/>
      <c r="H16" s="465"/>
      <c r="I16" s="466"/>
      <c r="J16" s="466"/>
      <c r="K16" s="1692">
        <f t="shared" si="0"/>
        <v>0</v>
      </c>
      <c r="L16" s="465"/>
    </row>
    <row r="17" spans="1:12" x14ac:dyDescent="0.2">
      <c r="A17" s="1525" t="s">
        <v>748</v>
      </c>
      <c r="B17" s="614" t="s">
        <v>164</v>
      </c>
      <c r="C17" s="466"/>
      <c r="D17" s="466"/>
      <c r="E17" s="466"/>
      <c r="F17" s="466"/>
      <c r="G17" s="466"/>
      <c r="H17" s="466"/>
      <c r="I17" s="466"/>
      <c r="J17" s="466"/>
      <c r="K17" s="1692">
        <f t="shared" si="0"/>
        <v>0</v>
      </c>
      <c r="L17" s="465"/>
    </row>
    <row r="18" spans="1:12" x14ac:dyDescent="0.2">
      <c r="A18" s="1525" t="s">
        <v>1148</v>
      </c>
      <c r="B18" s="614">
        <v>1800</v>
      </c>
      <c r="C18" s="465"/>
      <c r="D18" s="465"/>
      <c r="E18" s="465"/>
      <c r="F18" s="465"/>
      <c r="G18" s="465"/>
      <c r="H18" s="465"/>
      <c r="I18" s="466"/>
      <c r="J18" s="466"/>
      <c r="K18" s="1692">
        <f t="shared" si="0"/>
        <v>0</v>
      </c>
      <c r="L18" s="465"/>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762</v>
      </c>
      <c r="B20" s="602" t="s">
        <v>749</v>
      </c>
      <c r="C20" s="476"/>
      <c r="D20" s="476"/>
      <c r="E20" s="476"/>
      <c r="F20" s="476"/>
      <c r="G20" s="476"/>
      <c r="H20" s="473"/>
      <c r="I20" s="616"/>
      <c r="J20" s="474"/>
      <c r="K20" s="1692">
        <f t="shared" si="0"/>
        <v>0</v>
      </c>
      <c r="L20" s="470"/>
    </row>
    <row r="21" spans="1:12" x14ac:dyDescent="0.2">
      <c r="A21" s="1526" t="s">
        <v>763</v>
      </c>
      <c r="B21" s="602" t="s">
        <v>750</v>
      </c>
      <c r="C21" s="476"/>
      <c r="D21" s="476"/>
      <c r="E21" s="476"/>
      <c r="F21" s="476"/>
      <c r="G21" s="476"/>
      <c r="H21" s="473"/>
      <c r="I21" s="616"/>
      <c r="J21" s="476"/>
      <c r="K21" s="1692">
        <f t="shared" si="0"/>
        <v>0</v>
      </c>
      <c r="L21" s="470"/>
    </row>
    <row r="22" spans="1:12" x14ac:dyDescent="0.2">
      <c r="A22" s="1526" t="s">
        <v>764</v>
      </c>
      <c r="B22" s="602" t="s">
        <v>751</v>
      </c>
      <c r="C22" s="476"/>
      <c r="D22" s="476"/>
      <c r="E22" s="476"/>
      <c r="F22" s="476"/>
      <c r="G22" s="476"/>
      <c r="H22" s="473"/>
      <c r="I22" s="616"/>
      <c r="J22" s="476"/>
      <c r="K22" s="1692">
        <f t="shared" si="0"/>
        <v>0</v>
      </c>
      <c r="L22" s="470"/>
    </row>
    <row r="23" spans="1:12" x14ac:dyDescent="0.2">
      <c r="A23" s="1526" t="s">
        <v>765</v>
      </c>
      <c r="B23" s="602" t="s">
        <v>752</v>
      </c>
      <c r="C23" s="476"/>
      <c r="D23" s="476"/>
      <c r="E23" s="476"/>
      <c r="F23" s="476"/>
      <c r="G23" s="476"/>
      <c r="H23" s="473"/>
      <c r="I23" s="616"/>
      <c r="J23" s="476"/>
      <c r="K23" s="1692">
        <f t="shared" si="0"/>
        <v>0</v>
      </c>
      <c r="L23" s="470"/>
    </row>
    <row r="24" spans="1:12" ht="12.75" customHeight="1" x14ac:dyDescent="0.2">
      <c r="A24" s="1526" t="s">
        <v>766</v>
      </c>
      <c r="B24" s="602" t="s">
        <v>753</v>
      </c>
      <c r="C24" s="476"/>
      <c r="D24" s="476"/>
      <c r="E24" s="476"/>
      <c r="F24" s="476"/>
      <c r="G24" s="476"/>
      <c r="H24" s="473"/>
      <c r="I24" s="616"/>
      <c r="J24" s="476"/>
      <c r="K24" s="1692">
        <f t="shared" si="0"/>
        <v>0</v>
      </c>
      <c r="L24" s="470"/>
    </row>
    <row r="25" spans="1:12" ht="12.75" customHeight="1" x14ac:dyDescent="0.2">
      <c r="A25" s="1526" t="s">
        <v>835</v>
      </c>
      <c r="B25" s="602" t="s">
        <v>754</v>
      </c>
      <c r="C25" s="476"/>
      <c r="D25" s="476"/>
      <c r="E25" s="476"/>
      <c r="F25" s="476"/>
      <c r="G25" s="476"/>
      <c r="H25" s="473"/>
      <c r="I25" s="616"/>
      <c r="J25" s="476"/>
      <c r="K25" s="1692">
        <f t="shared" si="0"/>
        <v>0</v>
      </c>
      <c r="L25" s="470"/>
    </row>
    <row r="26" spans="1:12" x14ac:dyDescent="0.2">
      <c r="A26" s="1526" t="s">
        <v>643</v>
      </c>
      <c r="B26" s="602" t="s">
        <v>755</v>
      </c>
      <c r="C26" s="476"/>
      <c r="D26" s="476"/>
      <c r="E26" s="476"/>
      <c r="F26" s="476"/>
      <c r="G26" s="476"/>
      <c r="H26" s="473"/>
      <c r="I26" s="616"/>
      <c r="J26" s="476"/>
      <c r="K26" s="1692">
        <f t="shared" si="0"/>
        <v>0</v>
      </c>
      <c r="L26" s="470"/>
    </row>
    <row r="27" spans="1:12" x14ac:dyDescent="0.2">
      <c r="A27" s="1526" t="s">
        <v>644</v>
      </c>
      <c r="B27" s="602" t="s">
        <v>756</v>
      </c>
      <c r="C27" s="476"/>
      <c r="D27" s="476"/>
      <c r="E27" s="476"/>
      <c r="F27" s="476"/>
      <c r="G27" s="476"/>
      <c r="H27" s="473"/>
      <c r="I27" s="616"/>
      <c r="J27" s="476"/>
      <c r="K27" s="1692">
        <f t="shared" si="0"/>
        <v>0</v>
      </c>
      <c r="L27" s="470"/>
    </row>
    <row r="28" spans="1:12" x14ac:dyDescent="0.2">
      <c r="A28" s="1526" t="s">
        <v>152</v>
      </c>
      <c r="B28" s="602" t="s">
        <v>757</v>
      </c>
      <c r="C28" s="476"/>
      <c r="D28" s="476"/>
      <c r="E28" s="476"/>
      <c r="F28" s="476"/>
      <c r="G28" s="476"/>
      <c r="H28" s="473"/>
      <c r="I28" s="616"/>
      <c r="J28" s="476"/>
      <c r="K28" s="1692">
        <f t="shared" si="0"/>
        <v>0</v>
      </c>
      <c r="L28" s="470"/>
    </row>
    <row r="29" spans="1:12" x14ac:dyDescent="0.2">
      <c r="A29" s="1526" t="s">
        <v>153</v>
      </c>
      <c r="B29" s="602" t="s">
        <v>758</v>
      </c>
      <c r="C29" s="476"/>
      <c r="D29" s="476"/>
      <c r="E29" s="476"/>
      <c r="F29" s="476"/>
      <c r="G29" s="476"/>
      <c r="H29" s="473"/>
      <c r="I29" s="616"/>
      <c r="J29" s="476"/>
      <c r="K29" s="1692">
        <f t="shared" si="0"/>
        <v>0</v>
      </c>
      <c r="L29" s="470"/>
    </row>
    <row r="30" spans="1:12" x14ac:dyDescent="0.2">
      <c r="A30" s="1526" t="s">
        <v>154</v>
      </c>
      <c r="B30" s="602" t="s">
        <v>759</v>
      </c>
      <c r="C30" s="476"/>
      <c r="D30" s="476"/>
      <c r="E30" s="476"/>
      <c r="F30" s="476"/>
      <c r="G30" s="476"/>
      <c r="H30" s="473"/>
      <c r="I30" s="616"/>
      <c r="J30" s="476"/>
      <c r="K30" s="1692">
        <f t="shared" si="0"/>
        <v>0</v>
      </c>
      <c r="L30" s="470"/>
    </row>
    <row r="31" spans="1:12" x14ac:dyDescent="0.2">
      <c r="A31" s="1526" t="s">
        <v>155</v>
      </c>
      <c r="B31" s="602" t="s">
        <v>760</v>
      </c>
      <c r="C31" s="476"/>
      <c r="D31" s="476"/>
      <c r="E31" s="476"/>
      <c r="F31" s="476"/>
      <c r="G31" s="476"/>
      <c r="H31" s="473"/>
      <c r="I31" s="616"/>
      <c r="J31" s="476"/>
      <c r="K31" s="1692">
        <f t="shared" si="0"/>
        <v>0</v>
      </c>
      <c r="L31" s="470"/>
    </row>
    <row r="32" spans="1:12" x14ac:dyDescent="0.2">
      <c r="A32" s="1527" t="s">
        <v>1191</v>
      </c>
      <c r="B32" s="614" t="s">
        <v>761</v>
      </c>
      <c r="C32" s="476"/>
      <c r="D32" s="476"/>
      <c r="E32" s="476"/>
      <c r="F32" s="476"/>
      <c r="G32" s="476"/>
      <c r="H32" s="473"/>
      <c r="I32" s="616"/>
      <c r="J32" s="479"/>
      <c r="K32" s="1692">
        <f t="shared" si="0"/>
        <v>0</v>
      </c>
      <c r="L32" s="470"/>
    </row>
    <row r="33" spans="1:14" ht="12.75" customHeight="1" thickBot="1" x14ac:dyDescent="0.25">
      <c r="A33" s="1689" t="s">
        <v>1767</v>
      </c>
      <c r="B33" s="1690" t="s">
        <v>591</v>
      </c>
      <c r="C33" s="1691">
        <f>SUM(C5:C32)</f>
        <v>5403569</v>
      </c>
      <c r="D33" s="1691">
        <f t="shared" ref="D33:L33" si="1">SUM(D5:D32)</f>
        <v>1064694</v>
      </c>
      <c r="E33" s="1691">
        <f t="shared" si="1"/>
        <v>89453</v>
      </c>
      <c r="F33" s="1691">
        <f t="shared" si="1"/>
        <v>355474</v>
      </c>
      <c r="G33" s="1691">
        <f t="shared" si="1"/>
        <v>49547</v>
      </c>
      <c r="H33" s="1691">
        <f t="shared" si="1"/>
        <v>0</v>
      </c>
      <c r="I33" s="1691">
        <f t="shared" si="1"/>
        <v>145827</v>
      </c>
      <c r="J33" s="1691">
        <f t="shared" si="1"/>
        <v>0</v>
      </c>
      <c r="K33" s="1691">
        <f t="shared" si="1"/>
        <v>7108564</v>
      </c>
      <c r="L33" s="1691">
        <f t="shared" si="1"/>
        <v>7243654</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148733</v>
      </c>
      <c r="D36" s="480">
        <v>29631</v>
      </c>
      <c r="E36" s="480">
        <v>9880</v>
      </c>
      <c r="F36" s="480">
        <v>1003</v>
      </c>
      <c r="G36" s="480"/>
      <c r="H36" s="480"/>
      <c r="I36" s="466"/>
      <c r="J36" s="466"/>
      <c r="K36" s="1692">
        <f t="shared" ref="K36:K41" si="2">SUM(C36:J36)</f>
        <v>189247</v>
      </c>
      <c r="L36" s="465">
        <v>187606</v>
      </c>
    </row>
    <row r="37" spans="1:14" x14ac:dyDescent="0.2">
      <c r="A37" s="1525" t="s">
        <v>1151</v>
      </c>
      <c r="B37" s="614">
        <v>2120</v>
      </c>
      <c r="C37" s="465"/>
      <c r="D37" s="465"/>
      <c r="E37" s="465"/>
      <c r="F37" s="465"/>
      <c r="G37" s="465"/>
      <c r="H37" s="465"/>
      <c r="I37" s="466"/>
      <c r="J37" s="466"/>
      <c r="K37" s="1692">
        <f t="shared" si="2"/>
        <v>0</v>
      </c>
      <c r="L37" s="465"/>
    </row>
    <row r="38" spans="1:14" x14ac:dyDescent="0.2">
      <c r="A38" s="1525" t="s">
        <v>207</v>
      </c>
      <c r="B38" s="614">
        <v>2130</v>
      </c>
      <c r="C38" s="465">
        <v>79727</v>
      </c>
      <c r="D38" s="465">
        <v>10909</v>
      </c>
      <c r="E38" s="465"/>
      <c r="F38" s="465">
        <v>881</v>
      </c>
      <c r="G38" s="465"/>
      <c r="H38" s="465"/>
      <c r="I38" s="466"/>
      <c r="J38" s="466"/>
      <c r="K38" s="1692">
        <f t="shared" si="2"/>
        <v>91517</v>
      </c>
      <c r="L38" s="465">
        <v>94313</v>
      </c>
    </row>
    <row r="39" spans="1:14" x14ac:dyDescent="0.2">
      <c r="A39" s="1525" t="s">
        <v>208</v>
      </c>
      <c r="B39" s="614">
        <v>2140</v>
      </c>
      <c r="C39" s="465">
        <v>62429</v>
      </c>
      <c r="D39" s="465">
        <v>10853</v>
      </c>
      <c r="E39" s="465"/>
      <c r="F39" s="465"/>
      <c r="G39" s="465"/>
      <c r="H39" s="465"/>
      <c r="I39" s="466"/>
      <c r="J39" s="466"/>
      <c r="K39" s="1692">
        <f t="shared" si="2"/>
        <v>73282</v>
      </c>
      <c r="L39" s="465">
        <v>84131</v>
      </c>
    </row>
    <row r="40" spans="1:14" x14ac:dyDescent="0.2">
      <c r="A40" s="1525" t="s">
        <v>209</v>
      </c>
      <c r="B40" s="614">
        <v>2150</v>
      </c>
      <c r="C40" s="465">
        <v>68716</v>
      </c>
      <c r="D40" s="465">
        <v>10955</v>
      </c>
      <c r="E40" s="465">
        <v>225</v>
      </c>
      <c r="F40" s="465"/>
      <c r="G40" s="465"/>
      <c r="H40" s="465"/>
      <c r="I40" s="466"/>
      <c r="J40" s="466"/>
      <c r="K40" s="1692">
        <f t="shared" si="2"/>
        <v>79896</v>
      </c>
      <c r="L40" s="465">
        <v>79528</v>
      </c>
    </row>
    <row r="41" spans="1:14" x14ac:dyDescent="0.2">
      <c r="A41" s="1525" t="s">
        <v>1768</v>
      </c>
      <c r="B41" s="614">
        <v>2190</v>
      </c>
      <c r="C41" s="465"/>
      <c r="D41" s="465"/>
      <c r="E41" s="465"/>
      <c r="F41" s="465"/>
      <c r="G41" s="465"/>
      <c r="H41" s="465"/>
      <c r="I41" s="466"/>
      <c r="J41" s="466"/>
      <c r="K41" s="1692">
        <f t="shared" si="2"/>
        <v>0</v>
      </c>
      <c r="L41" s="465"/>
    </row>
    <row r="42" spans="1:14" ht="12.75" customHeight="1" thickBot="1" x14ac:dyDescent="0.25">
      <c r="A42" s="1689" t="s">
        <v>581</v>
      </c>
      <c r="B42" s="1690" t="s">
        <v>740</v>
      </c>
      <c r="C42" s="1691">
        <f>SUM(C36:C41)</f>
        <v>359605</v>
      </c>
      <c r="D42" s="1691">
        <f t="shared" ref="D42:L42" si="3">SUM(D36:D41)</f>
        <v>62348</v>
      </c>
      <c r="E42" s="1691">
        <f t="shared" si="3"/>
        <v>10105</v>
      </c>
      <c r="F42" s="1691">
        <f t="shared" si="3"/>
        <v>1884</v>
      </c>
      <c r="G42" s="1691">
        <f t="shared" si="3"/>
        <v>0</v>
      </c>
      <c r="H42" s="1691">
        <f t="shared" si="3"/>
        <v>0</v>
      </c>
      <c r="I42" s="1691">
        <f t="shared" si="3"/>
        <v>0</v>
      </c>
      <c r="J42" s="1691">
        <f t="shared" si="3"/>
        <v>0</v>
      </c>
      <c r="K42" s="1691">
        <f t="shared" si="3"/>
        <v>433942</v>
      </c>
      <c r="L42" s="1691">
        <f t="shared" si="3"/>
        <v>445578</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v>157091</v>
      </c>
      <c r="D44" s="480">
        <v>2296</v>
      </c>
      <c r="E44" s="480">
        <v>94926</v>
      </c>
      <c r="F44" s="480">
        <v>1950</v>
      </c>
      <c r="G44" s="480"/>
      <c r="H44" s="480"/>
      <c r="I44" s="466"/>
      <c r="J44" s="466"/>
      <c r="K44" s="1693">
        <f>SUM(C44:J44)</f>
        <v>256263</v>
      </c>
      <c r="L44" s="480">
        <v>145269</v>
      </c>
    </row>
    <row r="45" spans="1:14" x14ac:dyDescent="0.2">
      <c r="A45" s="1525" t="s">
        <v>869</v>
      </c>
      <c r="B45" s="614">
        <v>2220</v>
      </c>
      <c r="C45" s="465">
        <v>443138</v>
      </c>
      <c r="D45" s="465">
        <v>84670</v>
      </c>
      <c r="E45" s="465">
        <v>354641</v>
      </c>
      <c r="F45" s="465">
        <v>135807</v>
      </c>
      <c r="G45" s="465"/>
      <c r="H45" s="465"/>
      <c r="I45" s="466"/>
      <c r="J45" s="466"/>
      <c r="K45" s="1693">
        <f>SUM(C45:J45)</f>
        <v>1018256</v>
      </c>
      <c r="L45" s="465">
        <v>1008855</v>
      </c>
    </row>
    <row r="46" spans="1:14" x14ac:dyDescent="0.2">
      <c r="A46" s="1525" t="s">
        <v>870</v>
      </c>
      <c r="B46" s="614">
        <v>2230</v>
      </c>
      <c r="C46" s="465"/>
      <c r="D46" s="465"/>
      <c r="E46" s="465"/>
      <c r="F46" s="465"/>
      <c r="G46" s="465"/>
      <c r="H46" s="465"/>
      <c r="I46" s="466"/>
      <c r="J46" s="466"/>
      <c r="K46" s="1693">
        <f>SUM(C46:J46)</f>
        <v>0</v>
      </c>
      <c r="L46" s="465">
        <v>11575</v>
      </c>
    </row>
    <row r="47" spans="1:14" ht="12.75" customHeight="1" thickBot="1" x14ac:dyDescent="0.25">
      <c r="A47" s="1689" t="s">
        <v>582</v>
      </c>
      <c r="B47" s="1690" t="s">
        <v>32</v>
      </c>
      <c r="C47" s="1691">
        <f>SUM(C44:C46)</f>
        <v>600229</v>
      </c>
      <c r="D47" s="1691">
        <f t="shared" ref="D47:K47" si="4">SUM(D44:D46)</f>
        <v>86966</v>
      </c>
      <c r="E47" s="1691">
        <f t="shared" si="4"/>
        <v>449567</v>
      </c>
      <c r="F47" s="1691">
        <f t="shared" si="4"/>
        <v>137757</v>
      </c>
      <c r="G47" s="1691">
        <f t="shared" si="4"/>
        <v>0</v>
      </c>
      <c r="H47" s="1691">
        <f t="shared" si="4"/>
        <v>0</v>
      </c>
      <c r="I47" s="1691">
        <f t="shared" si="4"/>
        <v>0</v>
      </c>
      <c r="J47" s="1691">
        <f t="shared" si="4"/>
        <v>0</v>
      </c>
      <c r="K47" s="1691">
        <f t="shared" si="4"/>
        <v>1274519</v>
      </c>
      <c r="L47" s="1691">
        <f>SUM(L44:L46)</f>
        <v>1165699</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v>190997</v>
      </c>
      <c r="D49" s="480">
        <v>1183</v>
      </c>
      <c r="E49" s="480"/>
      <c r="F49" s="480"/>
      <c r="G49" s="480"/>
      <c r="H49" s="480">
        <v>12944</v>
      </c>
      <c r="I49" s="466"/>
      <c r="J49" s="466"/>
      <c r="K49" s="1693">
        <f>SUM(C49:J49)</f>
        <v>205124</v>
      </c>
      <c r="L49" s="480">
        <v>91064</v>
      </c>
    </row>
    <row r="50" spans="1:14" x14ac:dyDescent="0.2">
      <c r="A50" s="1525" t="s">
        <v>872</v>
      </c>
      <c r="B50" s="614">
        <v>2320</v>
      </c>
      <c r="C50" s="465">
        <v>145633</v>
      </c>
      <c r="D50" s="465">
        <v>37705</v>
      </c>
      <c r="E50" s="465">
        <v>3048</v>
      </c>
      <c r="F50" s="465">
        <v>1534</v>
      </c>
      <c r="G50" s="465"/>
      <c r="H50" s="465">
        <v>3229</v>
      </c>
      <c r="I50" s="466"/>
      <c r="J50" s="466"/>
      <c r="K50" s="1693">
        <f>SUM(C50:J50)</f>
        <v>191149</v>
      </c>
      <c r="L50" s="465">
        <v>186169</v>
      </c>
    </row>
    <row r="51" spans="1:14" x14ac:dyDescent="0.2">
      <c r="A51" s="1525" t="s">
        <v>44</v>
      </c>
      <c r="B51" s="614">
        <v>2330</v>
      </c>
      <c r="C51" s="465">
        <v>127678</v>
      </c>
      <c r="D51" s="465">
        <v>46972</v>
      </c>
      <c r="E51" s="465">
        <v>91256</v>
      </c>
      <c r="F51" s="465"/>
      <c r="G51" s="465"/>
      <c r="H51" s="465">
        <v>14748</v>
      </c>
      <c r="I51" s="466"/>
      <c r="J51" s="466"/>
      <c r="K51" s="1693">
        <f>SUM(C51:J51)</f>
        <v>280654</v>
      </c>
      <c r="L51" s="465">
        <v>216125</v>
      </c>
    </row>
    <row r="52" spans="1:14" ht="22.5" x14ac:dyDescent="0.2">
      <c r="A52" s="1526" t="s">
        <v>316</v>
      </c>
      <c r="B52" s="627" t="s">
        <v>384</v>
      </c>
      <c r="C52" s="473"/>
      <c r="D52" s="473"/>
      <c r="E52" s="473"/>
      <c r="F52" s="473"/>
      <c r="G52" s="473"/>
      <c r="H52" s="473"/>
      <c r="I52" s="473"/>
      <c r="J52" s="473"/>
      <c r="K52" s="1693">
        <f>SUM(C52:J52)</f>
        <v>0</v>
      </c>
      <c r="L52" s="473"/>
    </row>
    <row r="53" spans="1:14" ht="12.75" customHeight="1" thickBot="1" x14ac:dyDescent="0.25">
      <c r="A53" s="1689" t="s">
        <v>741</v>
      </c>
      <c r="B53" s="1690" t="s">
        <v>33</v>
      </c>
      <c r="C53" s="1691">
        <f>SUM(C49:C52)</f>
        <v>464308</v>
      </c>
      <c r="D53" s="1691">
        <f t="shared" ref="D53:L53" si="5">SUM(D49:D52)</f>
        <v>85860</v>
      </c>
      <c r="E53" s="1691">
        <f t="shared" si="5"/>
        <v>94304</v>
      </c>
      <c r="F53" s="1691">
        <f t="shared" si="5"/>
        <v>1534</v>
      </c>
      <c r="G53" s="1691">
        <f t="shared" si="5"/>
        <v>0</v>
      </c>
      <c r="H53" s="1691">
        <f t="shared" si="5"/>
        <v>30921</v>
      </c>
      <c r="I53" s="1691">
        <f t="shared" si="5"/>
        <v>0</v>
      </c>
      <c r="J53" s="1691">
        <f t="shared" si="5"/>
        <v>0</v>
      </c>
      <c r="K53" s="1691">
        <f t="shared" si="5"/>
        <v>676927</v>
      </c>
      <c r="L53" s="1691">
        <f t="shared" si="5"/>
        <v>493358</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487088</v>
      </c>
      <c r="D55" s="480">
        <v>132670</v>
      </c>
      <c r="E55" s="480">
        <v>26505</v>
      </c>
      <c r="F55" s="480">
        <v>12766</v>
      </c>
      <c r="G55" s="480"/>
      <c r="H55" s="480">
        <v>160</v>
      </c>
      <c r="I55" s="466"/>
      <c r="J55" s="466"/>
      <c r="K55" s="1693">
        <f>SUM(C55:J55)</f>
        <v>659189</v>
      </c>
      <c r="L55" s="480">
        <v>646977</v>
      </c>
    </row>
    <row r="56" spans="1:14" ht="12.75" customHeight="1" x14ac:dyDescent="0.2">
      <c r="A56" s="1529" t="s">
        <v>394</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487088</v>
      </c>
      <c r="D57" s="1695">
        <f t="shared" ref="D57:K57" si="6">SUM(D55:D56)</f>
        <v>132670</v>
      </c>
      <c r="E57" s="1695">
        <f t="shared" si="6"/>
        <v>26505</v>
      </c>
      <c r="F57" s="1695">
        <f t="shared" si="6"/>
        <v>12766</v>
      </c>
      <c r="G57" s="1695">
        <f t="shared" si="6"/>
        <v>0</v>
      </c>
      <c r="H57" s="1695">
        <f t="shared" si="6"/>
        <v>160</v>
      </c>
      <c r="I57" s="1695">
        <f t="shared" si="6"/>
        <v>0</v>
      </c>
      <c r="J57" s="1695">
        <f t="shared" si="6"/>
        <v>0</v>
      </c>
      <c r="K57" s="1695">
        <f t="shared" si="6"/>
        <v>659189</v>
      </c>
      <c r="L57" s="1691">
        <f>SUM(L55:L56)</f>
        <v>646977</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v>117277</v>
      </c>
      <c r="D59" s="480">
        <v>26319</v>
      </c>
      <c r="E59" s="480"/>
      <c r="F59" s="480"/>
      <c r="G59" s="480"/>
      <c r="H59" s="480"/>
      <c r="I59" s="466"/>
      <c r="J59" s="466"/>
      <c r="K59" s="1693">
        <f t="shared" ref="K59:K64" si="7">SUM(C59:J59)</f>
        <v>143596</v>
      </c>
      <c r="L59" s="480">
        <v>131071</v>
      </c>
      <c r="M59" s="609"/>
      <c r="N59" s="609"/>
    </row>
    <row r="60" spans="1:14" s="342" customFormat="1" x14ac:dyDescent="0.2">
      <c r="A60" s="1525" t="s">
        <v>483</v>
      </c>
      <c r="B60" s="614">
        <v>2520</v>
      </c>
      <c r="C60" s="465">
        <v>121138</v>
      </c>
      <c r="D60" s="465">
        <v>38217</v>
      </c>
      <c r="E60" s="465">
        <v>9744</v>
      </c>
      <c r="F60" s="465">
        <v>20395</v>
      </c>
      <c r="G60" s="465"/>
      <c r="H60" s="465"/>
      <c r="I60" s="466"/>
      <c r="J60" s="466"/>
      <c r="K60" s="1693">
        <f t="shared" si="7"/>
        <v>189494</v>
      </c>
      <c r="L60" s="465">
        <v>172967</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1010</v>
      </c>
      <c r="B62" s="614">
        <v>2550</v>
      </c>
      <c r="C62" s="465"/>
      <c r="D62" s="465"/>
      <c r="E62" s="465"/>
      <c r="F62" s="465"/>
      <c r="G62" s="465"/>
      <c r="H62" s="465"/>
      <c r="I62" s="466"/>
      <c r="J62" s="466"/>
      <c r="K62" s="1693">
        <f t="shared" si="7"/>
        <v>0</v>
      </c>
      <c r="L62" s="465"/>
      <c r="M62" s="609"/>
      <c r="N62" s="609"/>
    </row>
    <row r="63" spans="1:14" s="609" customFormat="1" x14ac:dyDescent="0.2">
      <c r="A63" s="1525" t="s">
        <v>102</v>
      </c>
      <c r="B63" s="614">
        <v>2560</v>
      </c>
      <c r="C63" s="465"/>
      <c r="D63" s="465"/>
      <c r="E63" s="465"/>
      <c r="F63" s="465">
        <v>59849</v>
      </c>
      <c r="G63" s="465"/>
      <c r="H63" s="465"/>
      <c r="I63" s="466"/>
      <c r="J63" s="466"/>
      <c r="K63" s="1693">
        <f t="shared" si="7"/>
        <v>59849</v>
      </c>
      <c r="L63" s="465">
        <v>44075</v>
      </c>
    </row>
    <row r="64" spans="1:14" s="609" customFormat="1" x14ac:dyDescent="0.2">
      <c r="A64" s="1530" t="s">
        <v>103</v>
      </c>
      <c r="B64" s="630">
        <v>2570</v>
      </c>
      <c r="C64" s="480"/>
      <c r="D64" s="480"/>
      <c r="E64" s="480">
        <v>37705</v>
      </c>
      <c r="F64" s="480"/>
      <c r="G64" s="480"/>
      <c r="H64" s="480"/>
      <c r="I64" s="466"/>
      <c r="J64" s="466"/>
      <c r="K64" s="1693">
        <f t="shared" si="7"/>
        <v>37705</v>
      </c>
      <c r="L64" s="480">
        <v>31492</v>
      </c>
    </row>
    <row r="65" spans="1:14" s="342" customFormat="1" ht="12.75" customHeight="1" thickBot="1" x14ac:dyDescent="0.25">
      <c r="A65" s="1689" t="s">
        <v>743</v>
      </c>
      <c r="B65" s="1690" t="s">
        <v>35</v>
      </c>
      <c r="C65" s="1691">
        <f>SUM(C59:C64)</f>
        <v>238415</v>
      </c>
      <c r="D65" s="1691">
        <f t="shared" ref="D65:L65" si="8">SUM(D59:D64)</f>
        <v>64536</v>
      </c>
      <c r="E65" s="1691">
        <f t="shared" si="8"/>
        <v>47449</v>
      </c>
      <c r="F65" s="1691">
        <f t="shared" si="8"/>
        <v>80244</v>
      </c>
      <c r="G65" s="1691">
        <f t="shared" si="8"/>
        <v>0</v>
      </c>
      <c r="H65" s="1691">
        <f t="shared" si="8"/>
        <v>0</v>
      </c>
      <c r="I65" s="1691">
        <f t="shared" si="8"/>
        <v>0</v>
      </c>
      <c r="J65" s="1691">
        <f t="shared" si="8"/>
        <v>0</v>
      </c>
      <c r="K65" s="1691">
        <f t="shared" si="8"/>
        <v>430644</v>
      </c>
      <c r="L65" s="1691">
        <f t="shared" si="8"/>
        <v>379605</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c r="M67" s="609"/>
      <c r="N67" s="609"/>
    </row>
    <row r="68" spans="1:14" s="342" customFormat="1" x14ac:dyDescent="0.2">
      <c r="A68" s="1525" t="s">
        <v>628</v>
      </c>
      <c r="B68" s="614">
        <v>2620</v>
      </c>
      <c r="C68" s="465"/>
      <c r="D68" s="465"/>
      <c r="E68" s="465">
        <v>8567</v>
      </c>
      <c r="F68" s="465"/>
      <c r="G68" s="465"/>
      <c r="H68" s="465"/>
      <c r="I68" s="466"/>
      <c r="J68" s="466"/>
      <c r="K68" s="1693">
        <f>SUM(C68:J68)</f>
        <v>8567</v>
      </c>
      <c r="L68" s="465">
        <v>9177</v>
      </c>
      <c r="M68" s="609"/>
      <c r="N68" s="609"/>
    </row>
    <row r="69" spans="1:14" s="342" customFormat="1" x14ac:dyDescent="0.2">
      <c r="A69" s="1525" t="s">
        <v>1121</v>
      </c>
      <c r="B69" s="614">
        <v>2630</v>
      </c>
      <c r="C69" s="465"/>
      <c r="D69" s="465"/>
      <c r="E69" s="465"/>
      <c r="F69" s="465"/>
      <c r="G69" s="465"/>
      <c r="H69" s="465"/>
      <c r="I69" s="466"/>
      <c r="J69" s="466"/>
      <c r="K69" s="1693">
        <f>SUM(C69:J69)</f>
        <v>0</v>
      </c>
      <c r="L69" s="465">
        <v>12480</v>
      </c>
      <c r="M69" s="609"/>
      <c r="N69" s="609"/>
    </row>
    <row r="70" spans="1:14" s="342" customFormat="1" x14ac:dyDescent="0.2">
      <c r="A70" s="1525" t="s">
        <v>423</v>
      </c>
      <c r="B70" s="614">
        <v>2640</v>
      </c>
      <c r="C70" s="465"/>
      <c r="D70" s="465"/>
      <c r="E70" s="465"/>
      <c r="F70" s="465"/>
      <c r="G70" s="465"/>
      <c r="H70" s="465"/>
      <c r="I70" s="466"/>
      <c r="J70" s="466"/>
      <c r="K70" s="1693">
        <f>SUM(C70:J70)</f>
        <v>0</v>
      </c>
      <c r="L70" s="465"/>
      <c r="M70" s="609"/>
      <c r="N70" s="609"/>
    </row>
    <row r="71" spans="1:14" s="342" customFormat="1" x14ac:dyDescent="0.2">
      <c r="A71" s="1525" t="s">
        <v>424</v>
      </c>
      <c r="B71" s="614">
        <v>2660</v>
      </c>
      <c r="C71" s="465"/>
      <c r="D71" s="465"/>
      <c r="E71" s="465"/>
      <c r="F71" s="465"/>
      <c r="G71" s="465"/>
      <c r="H71" s="465"/>
      <c r="I71" s="466"/>
      <c r="J71" s="466"/>
      <c r="K71" s="1693">
        <f>SUM(C71:J71)</f>
        <v>0</v>
      </c>
      <c r="L71" s="465"/>
      <c r="M71" s="609"/>
      <c r="N71" s="609"/>
    </row>
    <row r="72" spans="1:14" s="342" customFormat="1" ht="12.75" customHeight="1" thickBot="1" x14ac:dyDescent="0.25">
      <c r="A72" s="1689" t="s">
        <v>37</v>
      </c>
      <c r="B72" s="1696" t="s">
        <v>36</v>
      </c>
      <c r="C72" s="1691">
        <f>SUM(C67:C71)</f>
        <v>0</v>
      </c>
      <c r="D72" s="1691">
        <f t="shared" ref="D72:K72" si="9">SUM(D67:D71)</f>
        <v>0</v>
      </c>
      <c r="E72" s="1691">
        <f t="shared" si="9"/>
        <v>8567</v>
      </c>
      <c r="F72" s="1691">
        <f t="shared" si="9"/>
        <v>0</v>
      </c>
      <c r="G72" s="1691">
        <f t="shared" si="9"/>
        <v>0</v>
      </c>
      <c r="H72" s="1691">
        <f t="shared" si="9"/>
        <v>0</v>
      </c>
      <c r="I72" s="1691">
        <f t="shared" si="9"/>
        <v>0</v>
      </c>
      <c r="J72" s="1691">
        <f t="shared" si="9"/>
        <v>0</v>
      </c>
      <c r="K72" s="1691">
        <f t="shared" si="9"/>
        <v>8567</v>
      </c>
      <c r="L72" s="1691">
        <f>SUM(L67:L71)</f>
        <v>21657</v>
      </c>
      <c r="M72" s="609"/>
      <c r="N72" s="609"/>
    </row>
    <row r="73" spans="1:14" s="342" customFormat="1" ht="14.25" thickTop="1" thickBot="1" x14ac:dyDescent="0.25">
      <c r="A73" s="1531" t="s">
        <v>1037</v>
      </c>
      <c r="B73" s="632" t="s">
        <v>595</v>
      </c>
      <c r="C73" s="572"/>
      <c r="D73" s="572"/>
      <c r="E73" s="572"/>
      <c r="F73" s="572"/>
      <c r="G73" s="572"/>
      <c r="H73" s="572"/>
      <c r="I73" s="530"/>
      <c r="J73" s="530"/>
      <c r="K73" s="1691">
        <f>SUM(C73:J73)</f>
        <v>0</v>
      </c>
      <c r="L73" s="575"/>
      <c r="M73" s="609"/>
      <c r="N73" s="609"/>
    </row>
    <row r="74" spans="1:14" ht="12.75" customHeight="1" thickTop="1" thickBot="1" x14ac:dyDescent="0.25">
      <c r="A74" s="1689" t="s">
        <v>865</v>
      </c>
      <c r="B74" s="1697">
        <v>2000</v>
      </c>
      <c r="C74" s="1698">
        <f>SUM(C42,C47,C53,C57,C65,C72,C73)</f>
        <v>2149645</v>
      </c>
      <c r="D74" s="1698">
        <f t="shared" ref="D74:K74" si="10">SUM(D42,D47,D53,D57,D65,D72,D73)</f>
        <v>432380</v>
      </c>
      <c r="E74" s="1698">
        <f t="shared" si="10"/>
        <v>636497</v>
      </c>
      <c r="F74" s="1698">
        <f t="shared" si="10"/>
        <v>234185</v>
      </c>
      <c r="G74" s="1698">
        <f t="shared" si="10"/>
        <v>0</v>
      </c>
      <c r="H74" s="1698">
        <f t="shared" si="10"/>
        <v>31081</v>
      </c>
      <c r="I74" s="1698">
        <f t="shared" si="10"/>
        <v>0</v>
      </c>
      <c r="J74" s="1698">
        <f t="shared" si="10"/>
        <v>0</v>
      </c>
      <c r="K74" s="1698">
        <f t="shared" si="10"/>
        <v>3483788</v>
      </c>
      <c r="L74" s="1698">
        <f>SUM(L42,L47,L53,L57,L65,L72,L73)</f>
        <v>3152874</v>
      </c>
    </row>
    <row r="75" spans="1:14" s="258" customFormat="1" ht="15.75" customHeight="1" thickTop="1" thickBot="1" x14ac:dyDescent="0.25">
      <c r="A75" s="1631" t="s">
        <v>49</v>
      </c>
      <c r="B75" s="1632" t="s">
        <v>596</v>
      </c>
      <c r="C75" s="572"/>
      <c r="D75" s="572"/>
      <c r="E75" s="572"/>
      <c r="F75" s="572"/>
      <c r="G75" s="572"/>
      <c r="H75" s="572"/>
      <c r="I75" s="530"/>
      <c r="J75" s="530"/>
      <c r="K75" s="1691">
        <f>SUM(C75:J75)</f>
        <v>0</v>
      </c>
      <c r="L75" s="575"/>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4"/>
      <c r="N76" s="184"/>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v>17792</v>
      </c>
      <c r="I78" s="476"/>
      <c r="J78" s="476"/>
      <c r="K78" s="1692">
        <f t="shared" ref="K78:K83" si="11">SUM(C78:J78)</f>
        <v>17792</v>
      </c>
      <c r="L78" s="480">
        <v>5399</v>
      </c>
    </row>
    <row r="79" spans="1:14" x14ac:dyDescent="0.2">
      <c r="A79" s="1525" t="s">
        <v>322</v>
      </c>
      <c r="B79" s="614">
        <v>4120</v>
      </c>
      <c r="C79" s="616"/>
      <c r="D79" s="616"/>
      <c r="E79" s="465"/>
      <c r="F79" s="616"/>
      <c r="G79" s="616"/>
      <c r="H79" s="465">
        <v>351018</v>
      </c>
      <c r="I79" s="476"/>
      <c r="J79" s="476"/>
      <c r="K79" s="1692">
        <f t="shared" si="11"/>
        <v>351018</v>
      </c>
      <c r="L79" s="465">
        <v>262837</v>
      </c>
    </row>
    <row r="80" spans="1:14" x14ac:dyDescent="0.2">
      <c r="A80" s="1525" t="s">
        <v>323</v>
      </c>
      <c r="B80" s="614">
        <v>4130</v>
      </c>
      <c r="C80" s="616"/>
      <c r="D80" s="616"/>
      <c r="E80" s="465"/>
      <c r="F80" s="616"/>
      <c r="G80" s="616"/>
      <c r="H80" s="465"/>
      <c r="I80" s="476"/>
      <c r="J80" s="476"/>
      <c r="K80" s="1692">
        <f t="shared" si="11"/>
        <v>0</v>
      </c>
      <c r="L80" s="465"/>
    </row>
    <row r="81" spans="1:12" x14ac:dyDescent="0.2">
      <c r="A81" s="1525" t="s">
        <v>721</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722</v>
      </c>
      <c r="B83" s="628">
        <v>4190</v>
      </c>
      <c r="C83" s="616"/>
      <c r="D83" s="616"/>
      <c r="E83" s="465"/>
      <c r="F83" s="616"/>
      <c r="G83" s="616"/>
      <c r="H83" s="465"/>
      <c r="I83" s="476"/>
      <c r="J83" s="476"/>
      <c r="K83" s="1692">
        <f t="shared" si="11"/>
        <v>0</v>
      </c>
      <c r="L83" s="465"/>
    </row>
    <row r="84" spans="1:12" ht="13.5" thickBot="1" x14ac:dyDescent="0.25">
      <c r="A84" s="1689" t="s">
        <v>1565</v>
      </c>
      <c r="B84" s="1699">
        <v>4100</v>
      </c>
      <c r="C84" s="616"/>
      <c r="D84" s="616"/>
      <c r="E84" s="1691">
        <f>SUM(E78:E83)</f>
        <v>0</v>
      </c>
      <c r="F84" s="616"/>
      <c r="G84" s="616"/>
      <c r="H84" s="1691">
        <f>SUM(H78:H83)</f>
        <v>368810</v>
      </c>
      <c r="I84" s="476"/>
      <c r="J84" s="476"/>
      <c r="K84" s="1691">
        <f>SUM(K78:K83)</f>
        <v>368810</v>
      </c>
      <c r="L84" s="1691">
        <f>SUM(L78:L83)</f>
        <v>268236</v>
      </c>
    </row>
    <row r="85" spans="1:12" ht="12.75" customHeight="1" thickTop="1" thickBot="1" x14ac:dyDescent="0.25">
      <c r="A85" s="1532" t="s">
        <v>273</v>
      </c>
      <c r="B85" s="635">
        <v>4210</v>
      </c>
      <c r="C85" s="616"/>
      <c r="D85" s="616"/>
      <c r="E85" s="636"/>
      <c r="F85" s="616"/>
      <c r="G85" s="616"/>
      <c r="H85" s="534"/>
      <c r="I85" s="476"/>
      <c r="J85" s="476"/>
      <c r="K85" s="1698">
        <f>H85</f>
        <v>0</v>
      </c>
      <c r="L85" s="529"/>
    </row>
    <row r="86" spans="1:12" ht="12.75" customHeight="1" thickTop="1" thickBot="1" x14ac:dyDescent="0.25">
      <c r="A86" s="1533" t="s">
        <v>723</v>
      </c>
      <c r="B86" s="637">
        <v>4220</v>
      </c>
      <c r="C86" s="616"/>
      <c r="D86" s="616"/>
      <c r="E86" s="638"/>
      <c r="F86" s="616"/>
      <c r="G86" s="616"/>
      <c r="H86" s="466"/>
      <c r="I86" s="476"/>
      <c r="J86" s="476"/>
      <c r="K86" s="1698">
        <f t="shared" ref="K86:K98" si="12">H86</f>
        <v>0</v>
      </c>
      <c r="L86" s="529"/>
    </row>
    <row r="87" spans="1:12" ht="14.25" thickTop="1" thickBot="1" x14ac:dyDescent="0.25">
      <c r="A87" s="1534" t="s">
        <v>724</v>
      </c>
      <c r="B87" s="639">
        <v>4230</v>
      </c>
      <c r="C87" s="616"/>
      <c r="D87" s="616"/>
      <c r="E87" s="638"/>
      <c r="F87" s="616"/>
      <c r="G87" s="616"/>
      <c r="H87" s="466"/>
      <c r="I87" s="476"/>
      <c r="J87" s="476"/>
      <c r="K87" s="1698">
        <f t="shared" si="12"/>
        <v>0</v>
      </c>
      <c r="L87" s="529"/>
    </row>
    <row r="88" spans="1:12" ht="12.75" customHeight="1" thickTop="1" thickBot="1" x14ac:dyDescent="0.25">
      <c r="A88" s="1534" t="s">
        <v>789</v>
      </c>
      <c r="B88" s="639">
        <v>4240</v>
      </c>
      <c r="C88" s="616"/>
      <c r="D88" s="616"/>
      <c r="E88" s="638"/>
      <c r="F88" s="616"/>
      <c r="G88" s="616"/>
      <c r="H88" s="466"/>
      <c r="I88" s="476"/>
      <c r="J88" s="476"/>
      <c r="K88" s="1698">
        <f t="shared" si="12"/>
        <v>0</v>
      </c>
      <c r="L88" s="529"/>
    </row>
    <row r="89" spans="1:12" ht="12.75" customHeight="1" thickTop="1" thickBot="1" x14ac:dyDescent="0.25">
      <c r="A89" s="1534" t="s">
        <v>725</v>
      </c>
      <c r="B89" s="639">
        <v>4270</v>
      </c>
      <c r="C89" s="616"/>
      <c r="D89" s="616"/>
      <c r="E89" s="638"/>
      <c r="F89" s="616"/>
      <c r="G89" s="616"/>
      <c r="H89" s="466"/>
      <c r="I89" s="476"/>
      <c r="J89" s="476"/>
      <c r="K89" s="1698">
        <f t="shared" si="12"/>
        <v>0</v>
      </c>
      <c r="L89" s="529"/>
    </row>
    <row r="90" spans="1:12" ht="12.75" customHeight="1" thickTop="1" thickBot="1" x14ac:dyDescent="0.25">
      <c r="A90" s="1534" t="s">
        <v>710</v>
      </c>
      <c r="B90" s="639">
        <v>4280</v>
      </c>
      <c r="C90" s="616"/>
      <c r="D90" s="616"/>
      <c r="E90" s="638"/>
      <c r="F90" s="616"/>
      <c r="G90" s="616"/>
      <c r="H90" s="466"/>
      <c r="I90" s="476"/>
      <c r="J90" s="476"/>
      <c r="K90" s="1698">
        <f t="shared" si="12"/>
        <v>0</v>
      </c>
      <c r="L90" s="529"/>
    </row>
    <row r="91" spans="1:12" ht="12.75" customHeight="1" thickTop="1" thickBot="1" x14ac:dyDescent="0.25">
      <c r="A91" s="1534" t="s">
        <v>711</v>
      </c>
      <c r="B91" s="639">
        <v>4290</v>
      </c>
      <c r="C91" s="616"/>
      <c r="D91" s="616"/>
      <c r="E91" s="638"/>
      <c r="F91" s="616"/>
      <c r="G91" s="616"/>
      <c r="H91" s="466"/>
      <c r="I91" s="476"/>
      <c r="J91" s="476"/>
      <c r="K91" s="1698">
        <f t="shared" si="12"/>
        <v>0</v>
      </c>
      <c r="L91" s="529"/>
    </row>
    <row r="92" spans="1:12" ht="14.25" thickTop="1" thickBot="1" x14ac:dyDescent="0.25">
      <c r="A92" s="1701" t="s">
        <v>1641</v>
      </c>
      <c r="B92" s="1699">
        <v>4200</v>
      </c>
      <c r="C92" s="616"/>
      <c r="D92" s="616"/>
      <c r="E92" s="638"/>
      <c r="F92" s="616"/>
      <c r="G92" s="616"/>
      <c r="H92" s="1691">
        <f>SUM(H85:H91)</f>
        <v>0</v>
      </c>
      <c r="I92" s="476"/>
      <c r="J92" s="476"/>
      <c r="K92" s="1698">
        <f t="shared" si="12"/>
        <v>0</v>
      </c>
      <c r="L92" s="1691">
        <f>SUM(L85:L91)</f>
        <v>0</v>
      </c>
    </row>
    <row r="93" spans="1:12" ht="14.25" thickTop="1" thickBot="1" x14ac:dyDescent="0.25">
      <c r="A93" s="1533" t="s">
        <v>712</v>
      </c>
      <c r="B93" s="640">
        <v>4310</v>
      </c>
      <c r="C93" s="616"/>
      <c r="D93" s="616"/>
      <c r="E93" s="638"/>
      <c r="F93" s="616"/>
      <c r="G93" s="616"/>
      <c r="H93" s="641"/>
      <c r="I93" s="476"/>
      <c r="J93" s="476"/>
      <c r="K93" s="1698">
        <f t="shared" si="12"/>
        <v>0</v>
      </c>
      <c r="L93" s="531"/>
    </row>
    <row r="94" spans="1:12" ht="12.75" customHeight="1" thickTop="1" thickBot="1" x14ac:dyDescent="0.25">
      <c r="A94" s="1534" t="s">
        <v>713</v>
      </c>
      <c r="B94" s="639">
        <v>4320</v>
      </c>
      <c r="C94" s="616"/>
      <c r="D94" s="616"/>
      <c r="E94" s="638"/>
      <c r="F94" s="616"/>
      <c r="G94" s="616"/>
      <c r="H94" s="466"/>
      <c r="I94" s="476"/>
      <c r="J94" s="476"/>
      <c r="K94" s="1698">
        <f t="shared" si="12"/>
        <v>0</v>
      </c>
      <c r="L94" s="529"/>
    </row>
    <row r="95" spans="1:12" ht="15" customHeight="1" thickTop="1" thickBot="1" x14ac:dyDescent="0.25">
      <c r="A95" s="1534" t="s">
        <v>1568</v>
      </c>
      <c r="B95" s="639">
        <v>4330</v>
      </c>
      <c r="C95" s="616"/>
      <c r="D95" s="616"/>
      <c r="E95" s="638"/>
      <c r="F95" s="616"/>
      <c r="G95" s="616"/>
      <c r="H95" s="466"/>
      <c r="I95" s="476"/>
      <c r="J95" s="476"/>
      <c r="K95" s="1698">
        <f t="shared" si="12"/>
        <v>0</v>
      </c>
      <c r="L95" s="529"/>
    </row>
    <row r="96" spans="1:12" ht="14.25" thickTop="1" thickBot="1" x14ac:dyDescent="0.25">
      <c r="A96" s="1534" t="s">
        <v>714</v>
      </c>
      <c r="B96" s="639">
        <v>4340</v>
      </c>
      <c r="C96" s="616"/>
      <c r="D96" s="616"/>
      <c r="E96" s="638"/>
      <c r="F96" s="616"/>
      <c r="G96" s="616"/>
      <c r="H96" s="466"/>
      <c r="I96" s="476"/>
      <c r="J96" s="476"/>
      <c r="K96" s="1698">
        <f t="shared" si="12"/>
        <v>0</v>
      </c>
      <c r="L96" s="529"/>
    </row>
    <row r="97" spans="1:14" ht="12.75" customHeight="1" thickTop="1" thickBot="1" x14ac:dyDescent="0.25">
      <c r="A97" s="1534" t="s">
        <v>787</v>
      </c>
      <c r="B97" s="639">
        <v>4370</v>
      </c>
      <c r="C97" s="616"/>
      <c r="D97" s="616"/>
      <c r="E97" s="638"/>
      <c r="F97" s="616"/>
      <c r="G97" s="616"/>
      <c r="H97" s="466"/>
      <c r="I97" s="476"/>
      <c r="J97" s="476"/>
      <c r="K97" s="1698">
        <f t="shared" si="12"/>
        <v>0</v>
      </c>
      <c r="L97" s="529"/>
    </row>
    <row r="98" spans="1:14" ht="14.25" thickTop="1" thickBot="1" x14ac:dyDescent="0.25">
      <c r="A98" s="1534" t="s">
        <v>788</v>
      </c>
      <c r="B98" s="639">
        <v>4380</v>
      </c>
      <c r="C98" s="616"/>
      <c r="D98" s="616"/>
      <c r="E98" s="642"/>
      <c r="F98" s="616"/>
      <c r="G98" s="616"/>
      <c r="H98" s="466"/>
      <c r="I98" s="476"/>
      <c r="J98" s="476"/>
      <c r="K98" s="1698">
        <f t="shared" si="12"/>
        <v>0</v>
      </c>
      <c r="L98" s="529"/>
    </row>
    <row r="99" spans="1:14" ht="14.25" thickTop="1" thickBot="1" x14ac:dyDescent="0.25">
      <c r="A99" s="1534" t="s">
        <v>385</v>
      </c>
      <c r="B99" s="639">
        <v>4390</v>
      </c>
      <c r="C99" s="616"/>
      <c r="D99" s="616"/>
      <c r="E99" s="531"/>
      <c r="F99" s="616"/>
      <c r="G99" s="616"/>
      <c r="H99" s="466"/>
      <c r="I99" s="476"/>
      <c r="J99" s="476"/>
      <c r="K99" s="1698">
        <f>SUM(E99,H99)</f>
        <v>0</v>
      </c>
      <c r="L99" s="529"/>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row>
    <row r="102" spans="1:14" ht="12.75" customHeight="1" thickTop="1" thickBot="1" x14ac:dyDescent="0.25">
      <c r="A102" s="1689" t="s">
        <v>1567</v>
      </c>
      <c r="B102" s="1699">
        <v>4000</v>
      </c>
      <c r="C102" s="616"/>
      <c r="D102" s="616"/>
      <c r="E102" s="1698">
        <f>SUM(E84,E92,E100,E101)</f>
        <v>0</v>
      </c>
      <c r="F102" s="616"/>
      <c r="G102" s="616"/>
      <c r="H102" s="1698">
        <f>SUM(H84,H92,H100,H101)</f>
        <v>368810</v>
      </c>
      <c r="I102" s="476"/>
      <c r="J102" s="476"/>
      <c r="K102" s="1698">
        <f>SUM(K84,K92,K100,K101)</f>
        <v>368810</v>
      </c>
      <c r="L102" s="1698">
        <f>SUM(L84,L92,L100,L101)</f>
        <v>268236</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4"/>
      <c r="N103" s="184"/>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10"/>
      <c r="N105" s="210"/>
    </row>
    <row r="106" spans="1:14" s="597" customFormat="1" x14ac:dyDescent="0.2">
      <c r="A106" s="1525" t="s">
        <v>90</v>
      </c>
      <c r="B106" s="614">
        <v>5120</v>
      </c>
      <c r="C106" s="616"/>
      <c r="D106" s="616"/>
      <c r="E106" s="616"/>
      <c r="F106" s="616"/>
      <c r="G106" s="616"/>
      <c r="H106" s="465"/>
      <c r="I106" s="467"/>
      <c r="J106" s="467"/>
      <c r="K106" s="1692">
        <f>H106</f>
        <v>0</v>
      </c>
      <c r="L106" s="465"/>
      <c r="M106" s="210"/>
      <c r="N106" s="210"/>
    </row>
    <row r="107" spans="1:14" s="597" customFormat="1" ht="12.75" customHeight="1" x14ac:dyDescent="0.2">
      <c r="A107" s="1525" t="s">
        <v>1232</v>
      </c>
      <c r="B107" s="614">
        <v>5130</v>
      </c>
      <c r="C107" s="616"/>
      <c r="D107" s="616"/>
      <c r="E107" s="616"/>
      <c r="F107" s="616"/>
      <c r="G107" s="616"/>
      <c r="H107" s="465"/>
      <c r="I107" s="467"/>
      <c r="J107" s="467"/>
      <c r="K107" s="1692">
        <f>H107</f>
        <v>0</v>
      </c>
      <c r="L107" s="465"/>
      <c r="M107" s="210"/>
      <c r="N107" s="210"/>
    </row>
    <row r="108" spans="1:14" s="597" customFormat="1" x14ac:dyDescent="0.2">
      <c r="A108" s="1525" t="s">
        <v>91</v>
      </c>
      <c r="B108" s="614" t="s">
        <v>610</v>
      </c>
      <c r="C108" s="616"/>
      <c r="D108" s="616"/>
      <c r="E108" s="616"/>
      <c r="F108" s="616"/>
      <c r="G108" s="616"/>
      <c r="H108" s="465"/>
      <c r="I108" s="467"/>
      <c r="J108" s="467"/>
      <c r="K108" s="1692">
        <f>H108</f>
        <v>0</v>
      </c>
      <c r="L108" s="465"/>
      <c r="M108" s="210"/>
      <c r="N108" s="210"/>
    </row>
    <row r="109" spans="1:14" s="597" customFormat="1" x14ac:dyDescent="0.2">
      <c r="A109" s="1525" t="s">
        <v>272</v>
      </c>
      <c r="B109" s="628">
        <v>5150</v>
      </c>
      <c r="C109" s="616"/>
      <c r="D109" s="616"/>
      <c r="E109" s="616"/>
      <c r="F109" s="616"/>
      <c r="G109" s="616"/>
      <c r="H109" s="465"/>
      <c r="I109" s="467"/>
      <c r="J109" s="467"/>
      <c r="K109" s="1692">
        <f>H109</f>
        <v>0</v>
      </c>
      <c r="L109" s="465"/>
      <c r="M109" s="210"/>
      <c r="N109" s="210"/>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10"/>
      <c r="N110" s="210"/>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c r="M111" s="210"/>
      <c r="N111" s="210"/>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0</v>
      </c>
      <c r="M112" s="210"/>
      <c r="N112" s="210"/>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7553214</v>
      </c>
      <c r="D114" s="1691">
        <f t="shared" ref="D114:K114" si="13">SUM(D33,D74,D75,D102,D112,D113)</f>
        <v>1497074</v>
      </c>
      <c r="E114" s="1691">
        <f t="shared" si="13"/>
        <v>725950</v>
      </c>
      <c r="F114" s="1691">
        <f t="shared" si="13"/>
        <v>589659</v>
      </c>
      <c r="G114" s="1691">
        <f t="shared" si="13"/>
        <v>49547</v>
      </c>
      <c r="H114" s="1691">
        <f>SUM(H33,H74,H75,H102,H112,H113)</f>
        <v>399891</v>
      </c>
      <c r="I114" s="1691">
        <f t="shared" si="13"/>
        <v>145827</v>
      </c>
      <c r="J114" s="1691">
        <f t="shared" si="13"/>
        <v>0</v>
      </c>
      <c r="K114" s="1691">
        <f t="shared" si="13"/>
        <v>10961162</v>
      </c>
      <c r="L114" s="1691">
        <f>SUM(L33,L74,L75,L102,L112,L113)</f>
        <v>10664764</v>
      </c>
    </row>
    <row r="115" spans="1:14" ht="13.5" thickTop="1" x14ac:dyDescent="0.2">
      <c r="A115" s="2174" t="s">
        <v>1053</v>
      </c>
      <c r="B115" s="2175"/>
      <c r="C115" s="618"/>
      <c r="D115" s="618"/>
      <c r="E115" s="618"/>
      <c r="F115" s="618"/>
      <c r="G115" s="618"/>
      <c r="H115" s="618"/>
      <c r="I115" s="618"/>
      <c r="J115" s="618"/>
      <c r="K115" s="1705">
        <f>'Revenues 9-14'!C275-'Expenditures 15-22'!K114</f>
        <v>-261056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314</v>
      </c>
      <c r="B117" s="2180"/>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v>180652</v>
      </c>
      <c r="F123" s="465"/>
      <c r="G123" s="465">
        <v>203761</v>
      </c>
      <c r="H123" s="465"/>
      <c r="I123" s="466"/>
      <c r="J123" s="466"/>
      <c r="K123" s="1691">
        <f>SUM(C123:J123)</f>
        <v>384413</v>
      </c>
      <c r="L123" s="465">
        <v>81196</v>
      </c>
    </row>
    <row r="124" spans="1:14" ht="14.25" thickTop="1" thickBot="1" x14ac:dyDescent="0.25">
      <c r="A124" s="1525" t="s">
        <v>206</v>
      </c>
      <c r="B124" s="614">
        <v>2540</v>
      </c>
      <c r="C124" s="465">
        <v>96989</v>
      </c>
      <c r="D124" s="465">
        <v>30553</v>
      </c>
      <c r="E124" s="465">
        <v>318932</v>
      </c>
      <c r="F124" s="465">
        <v>215615</v>
      </c>
      <c r="G124" s="465">
        <v>19960</v>
      </c>
      <c r="H124" s="465"/>
      <c r="I124" s="466"/>
      <c r="J124" s="466"/>
      <c r="K124" s="1691">
        <f>SUM(C124:J124)</f>
        <v>682049</v>
      </c>
      <c r="L124" s="465">
        <v>680505</v>
      </c>
    </row>
    <row r="125" spans="1:14" ht="14.25" thickTop="1" thickBot="1" x14ac:dyDescent="0.25">
      <c r="A125" s="1525" t="s">
        <v>1010</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743</v>
      </c>
      <c r="B127" s="1690" t="s">
        <v>35</v>
      </c>
      <c r="C127" s="1691">
        <f>SUM(C122:C126)</f>
        <v>96989</v>
      </c>
      <c r="D127" s="1691">
        <f t="shared" ref="D127:L127" si="14">SUM(D122:D126)</f>
        <v>30553</v>
      </c>
      <c r="E127" s="1691">
        <f t="shared" si="14"/>
        <v>499584</v>
      </c>
      <c r="F127" s="1691">
        <f t="shared" si="14"/>
        <v>215615</v>
      </c>
      <c r="G127" s="1691">
        <f t="shared" si="14"/>
        <v>223721</v>
      </c>
      <c r="H127" s="1691">
        <f t="shared" si="14"/>
        <v>0</v>
      </c>
      <c r="I127" s="1691">
        <f t="shared" si="14"/>
        <v>0</v>
      </c>
      <c r="J127" s="1691">
        <f t="shared" si="14"/>
        <v>0</v>
      </c>
      <c r="K127" s="1691">
        <f t="shared" si="14"/>
        <v>1066462</v>
      </c>
      <c r="L127" s="1691">
        <f t="shared" si="14"/>
        <v>761701</v>
      </c>
    </row>
    <row r="128" spans="1:14" ht="12.75" customHeight="1" thickTop="1" x14ac:dyDescent="0.2">
      <c r="A128" s="1532" t="s">
        <v>1037</v>
      </c>
      <c r="B128" s="655" t="s">
        <v>595</v>
      </c>
      <c r="C128" s="656"/>
      <c r="D128" s="656"/>
      <c r="E128" s="656"/>
      <c r="F128" s="656"/>
      <c r="G128" s="656"/>
      <c r="H128" s="656"/>
      <c r="I128" s="534"/>
      <c r="J128" s="534"/>
      <c r="K128" s="1706">
        <f>SUM(C128:J128)</f>
        <v>0</v>
      </c>
      <c r="L128" s="656"/>
    </row>
    <row r="129" spans="1:14" ht="12.75" customHeight="1" thickBot="1" x14ac:dyDescent="0.25">
      <c r="A129" s="1707" t="s">
        <v>865</v>
      </c>
      <c r="B129" s="1708" t="s">
        <v>590</v>
      </c>
      <c r="C129" s="1698">
        <f>SUM(C120,C127,C128)</f>
        <v>96989</v>
      </c>
      <c r="D129" s="1698">
        <f t="shared" ref="D129:L129" si="15">SUM(D120,D127,D128)</f>
        <v>30553</v>
      </c>
      <c r="E129" s="1698">
        <f t="shared" si="15"/>
        <v>499584</v>
      </c>
      <c r="F129" s="1698">
        <f t="shared" si="15"/>
        <v>215615</v>
      </c>
      <c r="G129" s="1698">
        <f t="shared" si="15"/>
        <v>223721</v>
      </c>
      <c r="H129" s="1698">
        <f t="shared" si="15"/>
        <v>0</v>
      </c>
      <c r="I129" s="1698">
        <f t="shared" si="15"/>
        <v>0</v>
      </c>
      <c r="J129" s="1698">
        <f t="shared" si="15"/>
        <v>0</v>
      </c>
      <c r="K129" s="1698">
        <f t="shared" si="15"/>
        <v>1066462</v>
      </c>
      <c r="L129" s="1698">
        <f t="shared" si="15"/>
        <v>761701</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6"/>
      <c r="N132" s="206"/>
    </row>
    <row r="133" spans="1:14" s="383" customFormat="1" ht="13.5" customHeight="1" x14ac:dyDescent="0.2">
      <c r="A133" s="1511" t="s">
        <v>517</v>
      </c>
      <c r="B133" s="1863" t="s">
        <v>1956</v>
      </c>
      <c r="C133" s="467"/>
      <c r="D133" s="467"/>
      <c r="E133" s="641"/>
      <c r="F133" s="467"/>
      <c r="G133" s="467"/>
      <c r="H133" s="641"/>
      <c r="I133" s="467"/>
      <c r="J133" s="467"/>
      <c r="K133" s="1843">
        <f>SUM(E133,H133)</f>
        <v>0</v>
      </c>
      <c r="L133" s="641"/>
      <c r="M133" s="206"/>
      <c r="N133" s="206"/>
    </row>
    <row r="134" spans="1:14" x14ac:dyDescent="0.2">
      <c r="A134" s="1525" t="s">
        <v>322</v>
      </c>
      <c r="B134" s="614">
        <v>4120</v>
      </c>
      <c r="C134" s="616"/>
      <c r="D134" s="616"/>
      <c r="E134" s="477"/>
      <c r="F134" s="616"/>
      <c r="G134" s="616"/>
      <c r="H134" s="480"/>
      <c r="I134" s="476"/>
      <c r="J134" s="616"/>
      <c r="K134" s="1693">
        <f>SUM(E134,H134)</f>
        <v>0</v>
      </c>
      <c r="L134" s="480"/>
    </row>
    <row r="135" spans="1:14" x14ac:dyDescent="0.2">
      <c r="A135" s="1525" t="s">
        <v>721</v>
      </c>
      <c r="B135" s="614">
        <v>4140</v>
      </c>
      <c r="C135" s="616"/>
      <c r="D135" s="616"/>
      <c r="E135" s="466"/>
      <c r="F135" s="616"/>
      <c r="G135" s="616"/>
      <c r="H135" s="465"/>
      <c r="I135" s="476"/>
      <c r="J135" s="616"/>
      <c r="K135" s="1693">
        <f>SUM(E135,H135)</f>
        <v>0</v>
      </c>
      <c r="L135" s="465"/>
    </row>
    <row r="136" spans="1:14" x14ac:dyDescent="0.2">
      <c r="A136" s="1529" t="s">
        <v>722</v>
      </c>
      <c r="B136" s="628">
        <v>4190</v>
      </c>
      <c r="C136" s="616"/>
      <c r="D136" s="616"/>
      <c r="E136" s="466"/>
      <c r="F136" s="616"/>
      <c r="G136" s="616"/>
      <c r="H136" s="465"/>
      <c r="I136" s="476"/>
      <c r="J136" s="616"/>
      <c r="K136" s="1693">
        <f>SUM(E136,H136)</f>
        <v>0</v>
      </c>
      <c r="L136" s="465"/>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1232</v>
      </c>
      <c r="B144" s="628" t="s">
        <v>638</v>
      </c>
      <c r="C144" s="616"/>
      <c r="D144" s="616"/>
      <c r="E144" s="616"/>
      <c r="F144" s="616"/>
      <c r="G144" s="616"/>
      <c r="H144" s="465"/>
      <c r="I144" s="467"/>
      <c r="J144" s="616"/>
      <c r="K144" s="1693">
        <f>SUM(H144)</f>
        <v>0</v>
      </c>
      <c r="L144" s="465"/>
    </row>
    <row r="145" spans="1:14" x14ac:dyDescent="0.2">
      <c r="A145" s="1525" t="s">
        <v>91</v>
      </c>
      <c r="B145" s="614" t="s">
        <v>610</v>
      </c>
      <c r="C145" s="616"/>
      <c r="D145" s="616"/>
      <c r="E145" s="616"/>
      <c r="F145" s="616"/>
      <c r="G145" s="616"/>
      <c r="H145" s="465"/>
      <c r="I145" s="467"/>
      <c r="J145" s="616"/>
      <c r="K145" s="1693">
        <f>SUM(H145)</f>
        <v>0</v>
      </c>
      <c r="L145" s="465"/>
    </row>
    <row r="146" spans="1:14" ht="12.75" customHeight="1" x14ac:dyDescent="0.2">
      <c r="A146" s="1525" t="s">
        <v>640</v>
      </c>
      <c r="B146" s="614" t="s">
        <v>639</v>
      </c>
      <c r="C146" s="616"/>
      <c r="D146" s="616"/>
      <c r="E146" s="616"/>
      <c r="F146" s="616"/>
      <c r="G146" s="616"/>
      <c r="H146" s="465"/>
      <c r="I146" s="467"/>
      <c r="J146" s="616"/>
      <c r="K146" s="1693">
        <f>SUM(H146)</f>
        <v>0</v>
      </c>
      <c r="L146" s="465"/>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1165</v>
      </c>
      <c r="B148" s="661" t="s">
        <v>38</v>
      </c>
      <c r="C148" s="616"/>
      <c r="D148" s="616"/>
      <c r="E148" s="616"/>
      <c r="F148" s="616"/>
      <c r="G148" s="616"/>
      <c r="H148" s="478"/>
      <c r="I148" s="467"/>
      <c r="J148" s="616"/>
      <c r="K148" s="1693">
        <f>SUM(H148)</f>
        <v>0</v>
      </c>
      <c r="L148" s="491"/>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1098</v>
      </c>
      <c r="B150" s="1634" t="s">
        <v>916</v>
      </c>
      <c r="C150" s="616"/>
      <c r="D150" s="616"/>
      <c r="E150" s="616"/>
      <c r="F150" s="616"/>
      <c r="G150" s="616"/>
      <c r="H150" s="662"/>
      <c r="I150" s="520"/>
      <c r="J150" s="616"/>
      <c r="K150" s="623"/>
      <c r="L150" s="572"/>
    </row>
    <row r="151" spans="1:14" ht="12.75" customHeight="1" thickTop="1" thickBot="1" x14ac:dyDescent="0.25">
      <c r="A151" s="2191" t="s">
        <v>641</v>
      </c>
      <c r="B151" s="2171"/>
      <c r="C151" s="1691">
        <f>SUM(C129,C130,C139,C149,C150)</f>
        <v>96989</v>
      </c>
      <c r="D151" s="1691">
        <f t="shared" ref="D151:K151" si="16">SUM(D129,D130,D139,D149,D150)</f>
        <v>30553</v>
      </c>
      <c r="E151" s="1691">
        <f t="shared" si="16"/>
        <v>499584</v>
      </c>
      <c r="F151" s="1691">
        <f t="shared" si="16"/>
        <v>215615</v>
      </c>
      <c r="G151" s="1691">
        <f t="shared" si="16"/>
        <v>223721</v>
      </c>
      <c r="H151" s="1691">
        <f t="shared" si="16"/>
        <v>0</v>
      </c>
      <c r="I151" s="1691">
        <f t="shared" si="16"/>
        <v>0</v>
      </c>
      <c r="J151" s="1691">
        <f t="shared" si="16"/>
        <v>0</v>
      </c>
      <c r="K151" s="1691">
        <f t="shared" si="16"/>
        <v>1066462</v>
      </c>
      <c r="L151" s="1691">
        <f>SUM(L129,L130,L139,L149,L150)</f>
        <v>761701</v>
      </c>
    </row>
    <row r="152" spans="1:14" ht="12.75" customHeight="1" thickTop="1" x14ac:dyDescent="0.2">
      <c r="A152" s="2194" t="s">
        <v>1240</v>
      </c>
      <c r="B152" s="2195"/>
      <c r="C152" s="618"/>
      <c r="D152" s="618"/>
      <c r="E152" s="618"/>
      <c r="F152" s="618"/>
      <c r="G152" s="618"/>
      <c r="H152" s="618"/>
      <c r="I152" s="618"/>
      <c r="J152" s="616"/>
      <c r="K152" s="1705">
        <f>'Revenues 9-14'!D275-'Expenditures 15-22'!K151</f>
        <v>459986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642</v>
      </c>
      <c r="B154" s="2181"/>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1957</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1956</v>
      </c>
      <c r="C157" s="616"/>
      <c r="D157" s="616"/>
      <c r="E157" s="616"/>
      <c r="F157" s="616"/>
      <c r="G157" s="616"/>
      <c r="H157" s="641"/>
      <c r="I157" s="616"/>
      <c r="J157" s="616"/>
      <c r="K157" s="1692">
        <f>H157</f>
        <v>0</v>
      </c>
      <c r="L157" s="466"/>
      <c r="M157" s="619"/>
      <c r="N157" s="619"/>
    </row>
    <row r="158" spans="1:14" s="620" customFormat="1" ht="12" x14ac:dyDescent="0.2">
      <c r="A158" s="1848" t="s">
        <v>322</v>
      </c>
      <c r="B158" s="1849" t="s">
        <v>1958</v>
      </c>
      <c r="C158" s="616"/>
      <c r="D158" s="616"/>
      <c r="E158" s="616"/>
      <c r="F158" s="616"/>
      <c r="G158" s="616"/>
      <c r="H158" s="466"/>
      <c r="I158" s="616"/>
      <c r="J158" s="616"/>
      <c r="K158" s="1692">
        <f>H158</f>
        <v>0</v>
      </c>
      <c r="L158" s="466"/>
      <c r="M158" s="619"/>
      <c r="N158" s="619"/>
    </row>
    <row r="159" spans="1:14" s="620" customFormat="1" ht="12" x14ac:dyDescent="0.2">
      <c r="A159" s="1848" t="s">
        <v>1959</v>
      </c>
      <c r="B159" s="1849" t="s">
        <v>579</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1960</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1232</v>
      </c>
      <c r="B165" s="614" t="s">
        <v>638</v>
      </c>
      <c r="C165" s="616"/>
      <c r="D165" s="616"/>
      <c r="E165" s="616"/>
      <c r="F165" s="616"/>
      <c r="G165" s="616"/>
      <c r="H165" s="465"/>
      <c r="I165" s="616"/>
      <c r="J165" s="616"/>
      <c r="K165" s="1692">
        <f>SUM(C165:J165)</f>
        <v>0</v>
      </c>
      <c r="L165" s="465"/>
    </row>
    <row r="166" spans="1:14" x14ac:dyDescent="0.2">
      <c r="A166" s="1525" t="s">
        <v>91</v>
      </c>
      <c r="B166" s="628" t="s">
        <v>610</v>
      </c>
      <c r="C166" s="616"/>
      <c r="D166" s="616"/>
      <c r="E166" s="616"/>
      <c r="F166" s="616"/>
      <c r="G166" s="616"/>
      <c r="H166" s="465"/>
      <c r="I166" s="616"/>
      <c r="J166" s="616"/>
      <c r="K166" s="1692">
        <f>SUM(C166:J166)</f>
        <v>0</v>
      </c>
      <c r="L166" s="465"/>
    </row>
    <row r="167" spans="1:14" ht="12.75" customHeight="1" x14ac:dyDescent="0.2">
      <c r="A167" s="1525" t="s">
        <v>640</v>
      </c>
      <c r="B167" s="614" t="s">
        <v>639</v>
      </c>
      <c r="C167" s="616"/>
      <c r="D167" s="616"/>
      <c r="E167" s="616"/>
      <c r="F167" s="616"/>
      <c r="G167" s="616"/>
      <c r="H167" s="465"/>
      <c r="I167" s="616"/>
      <c r="J167" s="616"/>
      <c r="K167" s="1692">
        <f>SUM(C167:J167)</f>
        <v>0</v>
      </c>
      <c r="L167" s="465"/>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v>213016</v>
      </c>
      <c r="I169" s="616"/>
      <c r="J169" s="616"/>
      <c r="K169" s="1692">
        <f>SUM(C169:H169)</f>
        <v>213016</v>
      </c>
      <c r="L169" s="656">
        <v>345316</v>
      </c>
    </row>
    <row r="170" spans="1:14" ht="33.75" customHeight="1" x14ac:dyDescent="0.2">
      <c r="A170" s="669" t="s">
        <v>1769</v>
      </c>
      <c r="B170" s="671" t="s">
        <v>31</v>
      </c>
      <c r="C170" s="616"/>
      <c r="D170" s="616"/>
      <c r="E170" s="616"/>
      <c r="F170" s="616"/>
      <c r="G170" s="616"/>
      <c r="H170" s="568">
        <v>720000</v>
      </c>
      <c r="I170" s="616"/>
      <c r="J170" s="616"/>
      <c r="K170" s="1692">
        <f>SUM(C170:J170)</f>
        <v>720000</v>
      </c>
      <c r="L170" s="568">
        <v>714511</v>
      </c>
    </row>
    <row r="171" spans="1:14" ht="15.75" customHeight="1" x14ac:dyDescent="0.2">
      <c r="A171" s="621" t="s">
        <v>790</v>
      </c>
      <c r="B171" s="672" t="s">
        <v>86</v>
      </c>
      <c r="C171" s="616"/>
      <c r="D171" s="616"/>
      <c r="E171" s="465"/>
      <c r="F171" s="616"/>
      <c r="G171" s="616"/>
      <c r="H171" s="568">
        <v>2475</v>
      </c>
      <c r="I171" s="476"/>
      <c r="J171" s="616"/>
      <c r="K171" s="1692">
        <f>SUM(C171:J171)</f>
        <v>2475</v>
      </c>
      <c r="L171" s="568"/>
    </row>
    <row r="172" spans="1:14" ht="12.75" customHeight="1" thickBot="1" x14ac:dyDescent="0.25">
      <c r="A172" s="1689" t="s">
        <v>659</v>
      </c>
      <c r="B172" s="1690" t="s">
        <v>513</v>
      </c>
      <c r="C172" s="616"/>
      <c r="D172" s="616"/>
      <c r="E172" s="1698">
        <f>SUM(E168,E169,E170,E171)</f>
        <v>0</v>
      </c>
      <c r="F172" s="616"/>
      <c r="G172" s="616"/>
      <c r="H172" s="1698">
        <f>SUM(H168,H169,H170,H171)</f>
        <v>935491</v>
      </c>
      <c r="I172" s="638"/>
      <c r="J172" s="616"/>
      <c r="K172" s="1698">
        <f>SUM(K168,K169,K170,K171)</f>
        <v>935491</v>
      </c>
      <c r="L172" s="1698">
        <f>SUM(L168,L169,L170,L171)</f>
        <v>1059827</v>
      </c>
    </row>
    <row r="173" spans="1:14" ht="15.75" customHeight="1" thickTop="1" thickBot="1" x14ac:dyDescent="0.25">
      <c r="A173" s="1640" t="s">
        <v>87</v>
      </c>
      <c r="B173" s="1632" t="s">
        <v>916</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935491</v>
      </c>
      <c r="I174" s="638"/>
      <c r="J174" s="616"/>
      <c r="K174" s="1698">
        <f>SUM(K160,K172,K173)</f>
        <v>935491</v>
      </c>
      <c r="L174" s="1698">
        <f>SUM(L160,L172,L173)</f>
        <v>1059827</v>
      </c>
    </row>
    <row r="175" spans="1:14" ht="13.5" thickTop="1" x14ac:dyDescent="0.2">
      <c r="A175" s="2174" t="s">
        <v>1053</v>
      </c>
      <c r="B175" s="2175"/>
      <c r="C175" s="616"/>
      <c r="D175" s="616"/>
      <c r="E175" s="616"/>
      <c r="F175" s="616"/>
      <c r="G175" s="616"/>
      <c r="H175" s="618"/>
      <c r="I175" s="616"/>
      <c r="J175" s="616"/>
      <c r="K175" s="1705">
        <f>'Revenues 9-14'!E275-'Expenditures 15-22'!K174</f>
        <v>74805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c r="D182" s="465"/>
      <c r="E182" s="465">
        <v>73662</v>
      </c>
      <c r="F182" s="465"/>
      <c r="G182" s="465"/>
      <c r="H182" s="465"/>
      <c r="I182" s="466"/>
      <c r="J182" s="466"/>
      <c r="K182" s="1692">
        <f>SUM(C182:J182)</f>
        <v>73662</v>
      </c>
      <c r="L182" s="465">
        <v>58070</v>
      </c>
    </row>
    <row r="183" spans="1:14" ht="12.75" customHeight="1" thickBot="1" x14ac:dyDescent="0.25">
      <c r="A183" s="1530" t="s">
        <v>1037</v>
      </c>
      <c r="B183" s="677">
        <v>2900</v>
      </c>
      <c r="C183" s="572"/>
      <c r="D183" s="572"/>
      <c r="E183" s="572"/>
      <c r="F183" s="572"/>
      <c r="G183" s="572"/>
      <c r="H183" s="572"/>
      <c r="I183" s="531"/>
      <c r="J183" s="531"/>
      <c r="K183" s="1698">
        <f>SUM(C183:J183)</f>
        <v>0</v>
      </c>
      <c r="L183" s="572"/>
    </row>
    <row r="184" spans="1:14" ht="12.75" customHeight="1" thickTop="1" thickBot="1" x14ac:dyDescent="0.25">
      <c r="A184" s="1712" t="s">
        <v>865</v>
      </c>
      <c r="B184" s="1690" t="s">
        <v>590</v>
      </c>
      <c r="C184" s="1698">
        <f>SUM(C180,C182,C183)</f>
        <v>0</v>
      </c>
      <c r="D184" s="1698">
        <f t="shared" ref="D184:J184" si="17">SUM(D180,D182,D183)</f>
        <v>0</v>
      </c>
      <c r="E184" s="1698">
        <f t="shared" si="17"/>
        <v>73662</v>
      </c>
      <c r="F184" s="1698">
        <f t="shared" si="17"/>
        <v>0</v>
      </c>
      <c r="G184" s="1698">
        <f t="shared" si="17"/>
        <v>0</v>
      </c>
      <c r="H184" s="1698">
        <f t="shared" si="17"/>
        <v>0</v>
      </c>
      <c r="I184" s="1698">
        <f t="shared" si="17"/>
        <v>0</v>
      </c>
      <c r="J184" s="1698">
        <f t="shared" si="17"/>
        <v>0</v>
      </c>
      <c r="K184" s="1698">
        <f>SUM(K180,K182,K183)</f>
        <v>73662</v>
      </c>
      <c r="L184" s="1698">
        <f>SUM(L180, L182:L183)</f>
        <v>58070</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row>
    <row r="189" spans="1:14" x14ac:dyDescent="0.2">
      <c r="A189" s="1525" t="s">
        <v>322</v>
      </c>
      <c r="B189" s="614">
        <v>4120</v>
      </c>
      <c r="C189" s="616"/>
      <c r="D189" s="616"/>
      <c r="E189" s="465"/>
      <c r="F189" s="616"/>
      <c r="G189" s="616"/>
      <c r="H189" s="465"/>
      <c r="I189" s="476"/>
      <c r="J189" s="616"/>
      <c r="K189" s="1692">
        <f t="shared" si="18"/>
        <v>0</v>
      </c>
      <c r="L189" s="465"/>
    </row>
    <row r="190" spans="1:14" x14ac:dyDescent="0.2">
      <c r="A190" s="1525" t="s">
        <v>323</v>
      </c>
      <c r="B190" s="628">
        <v>4130</v>
      </c>
      <c r="C190" s="616"/>
      <c r="D190" s="616"/>
      <c r="E190" s="465"/>
      <c r="F190" s="616"/>
      <c r="G190" s="616"/>
      <c r="H190" s="465"/>
      <c r="I190" s="476"/>
      <c r="J190" s="616"/>
      <c r="K190" s="1692">
        <f t="shared" si="18"/>
        <v>0</v>
      </c>
      <c r="L190" s="465"/>
    </row>
    <row r="191" spans="1:14" x14ac:dyDescent="0.2">
      <c r="A191" s="1525" t="s">
        <v>721</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722</v>
      </c>
      <c r="B193" s="628">
        <v>4190</v>
      </c>
      <c r="C193" s="616"/>
      <c r="D193" s="616"/>
      <c r="E193" s="465"/>
      <c r="F193" s="616"/>
      <c r="G193" s="616"/>
      <c r="H193" s="465"/>
      <c r="I193" s="476"/>
      <c r="J193" s="616"/>
      <c r="K193" s="1692">
        <f t="shared" si="18"/>
        <v>0</v>
      </c>
      <c r="L193" s="465"/>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1232</v>
      </c>
      <c r="B201" s="628" t="s">
        <v>638</v>
      </c>
      <c r="C201" s="616"/>
      <c r="D201" s="616"/>
      <c r="E201" s="616"/>
      <c r="F201" s="616"/>
      <c r="G201" s="616"/>
      <c r="H201" s="465"/>
      <c r="I201" s="616"/>
      <c r="J201" s="616"/>
      <c r="K201" s="1692">
        <f>SUM(H201)</f>
        <v>0</v>
      </c>
      <c r="L201" s="465"/>
    </row>
    <row r="202" spans="1:14" x14ac:dyDescent="0.2">
      <c r="A202" s="1525" t="s">
        <v>91</v>
      </c>
      <c r="B202" s="614" t="s">
        <v>610</v>
      </c>
      <c r="C202" s="616"/>
      <c r="D202" s="616"/>
      <c r="E202" s="616"/>
      <c r="F202" s="616"/>
      <c r="G202" s="616"/>
      <c r="H202" s="465"/>
      <c r="I202" s="616"/>
      <c r="J202" s="616"/>
      <c r="K202" s="1692">
        <f>SUM(H202)</f>
        <v>0</v>
      </c>
      <c r="L202" s="465"/>
    </row>
    <row r="203" spans="1:14" x14ac:dyDescent="0.2">
      <c r="A203" s="1537" t="s">
        <v>640</v>
      </c>
      <c r="B203" s="614" t="s">
        <v>639</v>
      </c>
      <c r="C203" s="616"/>
      <c r="D203" s="616"/>
      <c r="E203" s="616"/>
      <c r="F203" s="616"/>
      <c r="G203" s="616"/>
      <c r="H203" s="470"/>
      <c r="I203" s="616"/>
      <c r="J203" s="616"/>
      <c r="K203" s="1692">
        <f>SUM(H203)</f>
        <v>0</v>
      </c>
      <c r="L203" s="470"/>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c r="I205" s="616"/>
      <c r="J205" s="616"/>
      <c r="K205" s="1706">
        <f>SUM(H205)</f>
        <v>0</v>
      </c>
      <c r="L205" s="534"/>
    </row>
    <row r="206" spans="1:14" ht="30" customHeight="1" x14ac:dyDescent="0.2">
      <c r="A206" s="681" t="s">
        <v>1770</v>
      </c>
      <c r="B206" s="672" t="s">
        <v>31</v>
      </c>
      <c r="C206" s="616"/>
      <c r="D206" s="616"/>
      <c r="E206" s="616"/>
      <c r="F206" s="616"/>
      <c r="G206" s="616"/>
      <c r="H206" s="465"/>
      <c r="I206" s="616"/>
      <c r="J206" s="616"/>
      <c r="K206" s="1692">
        <f>SUM(H206)</f>
        <v>0</v>
      </c>
      <c r="L206" s="465"/>
    </row>
    <row r="207" spans="1:14" ht="15.75" customHeight="1" x14ac:dyDescent="0.2">
      <c r="A207" s="621" t="s">
        <v>790</v>
      </c>
      <c r="B207" s="672" t="s">
        <v>86</v>
      </c>
      <c r="C207" s="616"/>
      <c r="D207" s="616"/>
      <c r="E207" s="616"/>
      <c r="F207" s="616"/>
      <c r="G207" s="616"/>
      <c r="H207" s="466"/>
      <c r="I207" s="616"/>
      <c r="J207" s="616"/>
      <c r="K207" s="1692">
        <f>H207</f>
        <v>0</v>
      </c>
      <c r="L207" s="465"/>
    </row>
    <row r="208" spans="1:14" ht="12.75" customHeight="1" thickBot="1" x14ac:dyDescent="0.25">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row>
    <row r="210" spans="1:14" ht="12.75" customHeight="1" thickTop="1" thickBot="1" x14ac:dyDescent="0.25">
      <c r="A210" s="1713" t="s">
        <v>295</v>
      </c>
      <c r="B210" s="1714"/>
      <c r="C210" s="1691">
        <f>SUM(C184,C185)</f>
        <v>0</v>
      </c>
      <c r="D210" s="1691">
        <f>SUM(D184,D185)</f>
        <v>0</v>
      </c>
      <c r="E210" s="1691">
        <f>SUM(E184,E185,E196)</f>
        <v>73662</v>
      </c>
      <c r="F210" s="1691">
        <f>SUM(F184,F185)</f>
        <v>0</v>
      </c>
      <c r="G210" s="1691">
        <f>SUM(G184,G185)</f>
        <v>0</v>
      </c>
      <c r="H210" s="1691">
        <f>SUM(H184,H185,H196,H208,H209)</f>
        <v>0</v>
      </c>
      <c r="I210" s="1691">
        <f>SUM(I184,I185)</f>
        <v>0</v>
      </c>
      <c r="J210" s="1691">
        <f>SUM(J184,J185)</f>
        <v>0</v>
      </c>
      <c r="K210" s="1692">
        <f>SUM(K184,K185,K196,K208,K209)</f>
        <v>73662</v>
      </c>
      <c r="L210" s="1691">
        <f>SUM(L184,L185,L196,L208,L209)</f>
        <v>58070</v>
      </c>
    </row>
    <row r="211" spans="1:14" ht="13.5" thickTop="1" x14ac:dyDescent="0.2">
      <c r="A211" s="2174" t="s">
        <v>1053</v>
      </c>
      <c r="B211" s="2175"/>
      <c r="C211" s="618"/>
      <c r="D211" s="618"/>
      <c r="E211" s="618"/>
      <c r="F211" s="618"/>
      <c r="G211" s="618"/>
      <c r="H211" s="618"/>
      <c r="I211" s="616"/>
      <c r="J211" s="616"/>
      <c r="K211" s="1705">
        <f>'Revenues 9-14'!F275-'Expenditures 15-22'!K210</f>
        <v>-23629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6" t="s">
        <v>1022</v>
      </c>
      <c r="B213" s="2197"/>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72080</v>
      </c>
      <c r="E215" s="616"/>
      <c r="F215" s="616"/>
      <c r="G215" s="616"/>
      <c r="H215" s="616"/>
      <c r="I215" s="616"/>
      <c r="J215" s="616"/>
      <c r="K215" s="1692">
        <f>D215</f>
        <v>72080</v>
      </c>
      <c r="L215" s="465">
        <v>73161</v>
      </c>
    </row>
    <row r="216" spans="1:14" x14ac:dyDescent="0.2">
      <c r="A216" s="1525" t="s">
        <v>165</v>
      </c>
      <c r="B216" s="614" t="s">
        <v>1024</v>
      </c>
      <c r="C216" s="616"/>
      <c r="D216" s="466"/>
      <c r="E216" s="616"/>
      <c r="F216" s="616"/>
      <c r="G216" s="616"/>
      <c r="H216" s="616"/>
      <c r="I216" s="616"/>
      <c r="J216" s="616"/>
      <c r="K216" s="1692">
        <f t="shared" ref="K216:K228" si="19">D216</f>
        <v>0</v>
      </c>
      <c r="L216" s="465"/>
    </row>
    <row r="217" spans="1:14" x14ac:dyDescent="0.2">
      <c r="A217" s="1525" t="s">
        <v>166</v>
      </c>
      <c r="B217" s="614">
        <v>1200</v>
      </c>
      <c r="C217" s="616"/>
      <c r="D217" s="465">
        <v>39971</v>
      </c>
      <c r="E217" s="616"/>
      <c r="F217" s="616"/>
      <c r="G217" s="616"/>
      <c r="H217" s="616"/>
      <c r="I217" s="616"/>
      <c r="J217" s="616"/>
      <c r="K217" s="1692">
        <f t="shared" si="19"/>
        <v>39971</v>
      </c>
      <c r="L217" s="465">
        <v>37943</v>
      </c>
    </row>
    <row r="218" spans="1:14" x14ac:dyDescent="0.2">
      <c r="A218" s="1525" t="s">
        <v>296</v>
      </c>
      <c r="B218" s="614" t="s">
        <v>1025</v>
      </c>
      <c r="C218" s="616"/>
      <c r="D218" s="466"/>
      <c r="E218" s="616"/>
      <c r="F218" s="616"/>
      <c r="G218" s="616"/>
      <c r="H218" s="616"/>
      <c r="I218" s="616"/>
      <c r="J218" s="616"/>
      <c r="K218" s="1692">
        <f t="shared" si="19"/>
        <v>0</v>
      </c>
      <c r="L218" s="465"/>
    </row>
    <row r="219" spans="1:14" x14ac:dyDescent="0.2">
      <c r="A219" s="1525" t="s">
        <v>297</v>
      </c>
      <c r="B219" s="614">
        <v>1250</v>
      </c>
      <c r="C219" s="616"/>
      <c r="D219" s="465">
        <v>935</v>
      </c>
      <c r="E219" s="616"/>
      <c r="F219" s="616"/>
      <c r="G219" s="616"/>
      <c r="H219" s="616"/>
      <c r="I219" s="616"/>
      <c r="J219" s="616"/>
      <c r="K219" s="1692">
        <f t="shared" si="19"/>
        <v>935</v>
      </c>
      <c r="L219" s="465">
        <v>364</v>
      </c>
    </row>
    <row r="220" spans="1:14" x14ac:dyDescent="0.2">
      <c r="A220" s="1525" t="s">
        <v>298</v>
      </c>
      <c r="B220" s="614" t="s">
        <v>163</v>
      </c>
      <c r="C220" s="616"/>
      <c r="D220" s="466"/>
      <c r="E220" s="616"/>
      <c r="F220" s="616"/>
      <c r="G220" s="616"/>
      <c r="H220" s="616"/>
      <c r="I220" s="616"/>
      <c r="J220" s="616"/>
      <c r="K220" s="1692">
        <f t="shared" si="19"/>
        <v>0</v>
      </c>
      <c r="L220" s="465"/>
    </row>
    <row r="221" spans="1:14" x14ac:dyDescent="0.2">
      <c r="A221" s="1525" t="s">
        <v>1019</v>
      </c>
      <c r="B221" s="614">
        <v>1300</v>
      </c>
      <c r="C221" s="616"/>
      <c r="D221" s="465"/>
      <c r="E221" s="616"/>
      <c r="F221" s="616"/>
      <c r="G221" s="616"/>
      <c r="H221" s="616"/>
      <c r="I221" s="616"/>
      <c r="J221" s="616"/>
      <c r="K221" s="1692">
        <f t="shared" si="19"/>
        <v>0</v>
      </c>
      <c r="L221" s="465"/>
    </row>
    <row r="222" spans="1:14" x14ac:dyDescent="0.2">
      <c r="A222" s="1525" t="s">
        <v>747</v>
      </c>
      <c r="B222" s="614">
        <v>1400</v>
      </c>
      <c r="C222" s="616"/>
      <c r="D222" s="465"/>
      <c r="E222" s="616"/>
      <c r="F222" s="616"/>
      <c r="G222" s="616"/>
      <c r="H222" s="616"/>
      <c r="I222" s="616"/>
      <c r="J222" s="616"/>
      <c r="K222" s="1692">
        <f t="shared" si="19"/>
        <v>0</v>
      </c>
      <c r="L222" s="465"/>
    </row>
    <row r="223" spans="1:14" x14ac:dyDescent="0.2">
      <c r="A223" s="1525" t="s">
        <v>1020</v>
      </c>
      <c r="B223" s="614">
        <v>1500</v>
      </c>
      <c r="C223" s="616"/>
      <c r="D223" s="465">
        <v>3606</v>
      </c>
      <c r="E223" s="616"/>
      <c r="F223" s="616"/>
      <c r="G223" s="616"/>
      <c r="H223" s="616"/>
      <c r="I223" s="616"/>
      <c r="J223" s="616"/>
      <c r="K223" s="1692">
        <f t="shared" si="19"/>
        <v>3606</v>
      </c>
      <c r="L223" s="465">
        <v>1860</v>
      </c>
    </row>
    <row r="224" spans="1:14" x14ac:dyDescent="0.2">
      <c r="A224" s="1525" t="s">
        <v>1021</v>
      </c>
      <c r="B224" s="614">
        <v>1600</v>
      </c>
      <c r="C224" s="616"/>
      <c r="D224" s="465">
        <v>116</v>
      </c>
      <c r="E224" s="616"/>
      <c r="F224" s="616"/>
      <c r="G224" s="616"/>
      <c r="H224" s="616"/>
      <c r="I224" s="616"/>
      <c r="J224" s="616"/>
      <c r="K224" s="1692">
        <f t="shared" si="19"/>
        <v>116</v>
      </c>
      <c r="L224" s="465">
        <v>61</v>
      </c>
    </row>
    <row r="225" spans="1:12" x14ac:dyDescent="0.2">
      <c r="A225" s="1525" t="s">
        <v>1044</v>
      </c>
      <c r="B225" s="614">
        <v>1650</v>
      </c>
      <c r="C225" s="616"/>
      <c r="D225" s="465"/>
      <c r="E225" s="616"/>
      <c r="F225" s="616"/>
      <c r="G225" s="616"/>
      <c r="H225" s="616"/>
      <c r="I225" s="616"/>
      <c r="J225" s="616"/>
      <c r="K225" s="1692">
        <f t="shared" si="19"/>
        <v>0</v>
      </c>
      <c r="L225" s="465"/>
    </row>
    <row r="226" spans="1:12" x14ac:dyDescent="0.2">
      <c r="A226" s="1525" t="s">
        <v>748</v>
      </c>
      <c r="B226" s="614" t="s">
        <v>164</v>
      </c>
      <c r="C226" s="616"/>
      <c r="D226" s="466"/>
      <c r="E226" s="616"/>
      <c r="F226" s="616"/>
      <c r="G226" s="616"/>
      <c r="H226" s="616"/>
      <c r="I226" s="616"/>
      <c r="J226" s="616"/>
      <c r="K226" s="1692">
        <f t="shared" si="19"/>
        <v>0</v>
      </c>
      <c r="L226" s="465"/>
    </row>
    <row r="227" spans="1:12" x14ac:dyDescent="0.2">
      <c r="A227" s="1525" t="s">
        <v>1148</v>
      </c>
      <c r="B227" s="614">
        <v>1800</v>
      </c>
      <c r="C227" s="616"/>
      <c r="D227" s="465"/>
      <c r="E227" s="616"/>
      <c r="F227" s="616"/>
      <c r="G227" s="616"/>
      <c r="H227" s="616"/>
      <c r="I227" s="616"/>
      <c r="J227" s="616"/>
      <c r="K227" s="1692">
        <f t="shared" si="19"/>
        <v>0</v>
      </c>
      <c r="L227" s="465"/>
    </row>
    <row r="228" spans="1:12" x14ac:dyDescent="0.2">
      <c r="A228" s="1525" t="s">
        <v>1149</v>
      </c>
      <c r="B228" s="614">
        <v>1900</v>
      </c>
      <c r="C228" s="616"/>
      <c r="D228" s="465"/>
      <c r="E228" s="616"/>
      <c r="F228" s="616"/>
      <c r="G228" s="616"/>
      <c r="H228" s="616"/>
      <c r="I228" s="616"/>
      <c r="J228" s="616"/>
      <c r="K228" s="1692">
        <f t="shared" si="19"/>
        <v>0</v>
      </c>
      <c r="L228" s="465"/>
    </row>
    <row r="229" spans="1:12" ht="12.75" customHeight="1" thickBot="1" x14ac:dyDescent="0.25">
      <c r="A229" s="1689" t="s">
        <v>739</v>
      </c>
      <c r="B229" s="1696" t="s">
        <v>591</v>
      </c>
      <c r="C229" s="616"/>
      <c r="D229" s="1691">
        <f>SUM(D215:D228)</f>
        <v>116708</v>
      </c>
      <c r="E229" s="616"/>
      <c r="F229" s="616"/>
      <c r="G229" s="616"/>
      <c r="H229" s="616"/>
      <c r="I229" s="616"/>
      <c r="J229" s="616"/>
      <c r="K229" s="1691">
        <f>SUM(K215:K228)</f>
        <v>116708</v>
      </c>
      <c r="L229" s="1691">
        <f>SUM(L215:L228)</f>
        <v>113389</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2087</v>
      </c>
      <c r="E232" s="616"/>
      <c r="F232" s="616"/>
      <c r="G232" s="616"/>
      <c r="H232" s="616"/>
      <c r="I232" s="616"/>
      <c r="J232" s="616"/>
      <c r="K232" s="1692">
        <f t="shared" ref="K232:K237" si="20">D232</f>
        <v>2087</v>
      </c>
      <c r="L232" s="465">
        <v>3341</v>
      </c>
    </row>
    <row r="233" spans="1:12" x14ac:dyDescent="0.2">
      <c r="A233" s="1525" t="s">
        <v>1151</v>
      </c>
      <c r="B233" s="614">
        <v>2120</v>
      </c>
      <c r="C233" s="616"/>
      <c r="D233" s="465"/>
      <c r="E233" s="616"/>
      <c r="F233" s="616"/>
      <c r="G233" s="616"/>
      <c r="H233" s="616"/>
      <c r="I233" s="616"/>
      <c r="J233" s="616"/>
      <c r="K233" s="1692">
        <f t="shared" si="20"/>
        <v>0</v>
      </c>
      <c r="L233" s="465"/>
    </row>
    <row r="234" spans="1:12" x14ac:dyDescent="0.2">
      <c r="A234" s="1525" t="s">
        <v>207</v>
      </c>
      <c r="B234" s="614">
        <v>2130</v>
      </c>
      <c r="C234" s="616"/>
      <c r="D234" s="465">
        <v>1142</v>
      </c>
      <c r="E234" s="616"/>
      <c r="F234" s="616"/>
      <c r="G234" s="616"/>
      <c r="H234" s="616"/>
      <c r="I234" s="616"/>
      <c r="J234" s="616"/>
      <c r="K234" s="1692">
        <f t="shared" si="20"/>
        <v>1142</v>
      </c>
      <c r="L234" s="465">
        <v>1128</v>
      </c>
    </row>
    <row r="235" spans="1:12" x14ac:dyDescent="0.2">
      <c r="A235" s="1525" t="s">
        <v>208</v>
      </c>
      <c r="B235" s="614">
        <v>2140</v>
      </c>
      <c r="C235" s="616"/>
      <c r="D235" s="465">
        <v>878</v>
      </c>
      <c r="E235" s="616"/>
      <c r="F235" s="616"/>
      <c r="G235" s="616"/>
      <c r="H235" s="616"/>
      <c r="I235" s="616"/>
      <c r="J235" s="616"/>
      <c r="K235" s="1692">
        <f t="shared" si="20"/>
        <v>878</v>
      </c>
      <c r="L235" s="465">
        <v>1021</v>
      </c>
    </row>
    <row r="236" spans="1:12" x14ac:dyDescent="0.2">
      <c r="A236" s="1525" t="s">
        <v>209</v>
      </c>
      <c r="B236" s="614">
        <v>2150</v>
      </c>
      <c r="C236" s="616"/>
      <c r="D236" s="465">
        <v>969</v>
      </c>
      <c r="E236" s="616"/>
      <c r="F236" s="616"/>
      <c r="G236" s="616"/>
      <c r="H236" s="616"/>
      <c r="I236" s="616"/>
      <c r="J236" s="616"/>
      <c r="K236" s="1692">
        <f t="shared" si="20"/>
        <v>969</v>
      </c>
      <c r="L236" s="465">
        <v>963</v>
      </c>
    </row>
    <row r="237" spans="1:12" x14ac:dyDescent="0.2">
      <c r="A237" s="1525" t="s">
        <v>167</v>
      </c>
      <c r="B237" s="614">
        <v>2190</v>
      </c>
      <c r="C237" s="616"/>
      <c r="D237" s="465"/>
      <c r="E237" s="616"/>
      <c r="F237" s="616"/>
      <c r="G237" s="616"/>
      <c r="H237" s="616"/>
      <c r="I237" s="616"/>
      <c r="J237" s="616"/>
      <c r="K237" s="1692">
        <f t="shared" si="20"/>
        <v>0</v>
      </c>
      <c r="L237" s="465"/>
    </row>
    <row r="238" spans="1:12" ht="12.75" customHeight="1" thickBot="1" x14ac:dyDescent="0.25">
      <c r="A238" s="1689" t="s">
        <v>581</v>
      </c>
      <c r="B238" s="1696" t="s">
        <v>740</v>
      </c>
      <c r="C238" s="616"/>
      <c r="D238" s="1691">
        <f>SUM(D232:D237)</f>
        <v>5076</v>
      </c>
      <c r="E238" s="616"/>
      <c r="F238" s="616"/>
      <c r="G238" s="616"/>
      <c r="H238" s="616"/>
      <c r="I238" s="616"/>
      <c r="J238" s="616"/>
      <c r="K238" s="1691">
        <f>SUM(K232:K237)</f>
        <v>5076</v>
      </c>
      <c r="L238" s="1691">
        <f>SUM(L232:L237)</f>
        <v>6453</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v>2178</v>
      </c>
      <c r="E240" s="616"/>
      <c r="F240" s="616"/>
      <c r="G240" s="616"/>
      <c r="H240" s="616"/>
      <c r="I240" s="616"/>
      <c r="J240" s="616"/>
      <c r="K240" s="1693">
        <f>D240</f>
        <v>2178</v>
      </c>
      <c r="L240" s="480">
        <v>1371</v>
      </c>
    </row>
    <row r="241" spans="1:12" x14ac:dyDescent="0.2">
      <c r="A241" s="1525" t="s">
        <v>869</v>
      </c>
      <c r="B241" s="614">
        <v>2220</v>
      </c>
      <c r="C241" s="616"/>
      <c r="D241" s="465">
        <v>19952</v>
      </c>
      <c r="E241" s="616"/>
      <c r="F241" s="616"/>
      <c r="G241" s="616"/>
      <c r="H241" s="616"/>
      <c r="I241" s="616"/>
      <c r="J241" s="616"/>
      <c r="K241" s="1693">
        <f>D241</f>
        <v>19952</v>
      </c>
      <c r="L241" s="465">
        <v>17784</v>
      </c>
    </row>
    <row r="242" spans="1:12" x14ac:dyDescent="0.2">
      <c r="A242" s="1525" t="s">
        <v>870</v>
      </c>
      <c r="B242" s="614">
        <v>2230</v>
      </c>
      <c r="C242" s="616"/>
      <c r="D242" s="465"/>
      <c r="E242" s="616"/>
      <c r="F242" s="616"/>
      <c r="G242" s="616"/>
      <c r="H242" s="616"/>
      <c r="I242" s="616"/>
      <c r="J242" s="616"/>
      <c r="K242" s="1693">
        <f>D242</f>
        <v>0</v>
      </c>
      <c r="L242" s="465"/>
    </row>
    <row r="243" spans="1:12" ht="12.75" customHeight="1" thickBot="1" x14ac:dyDescent="0.25">
      <c r="A243" s="1715" t="s">
        <v>582</v>
      </c>
      <c r="B243" s="1716">
        <v>2200</v>
      </c>
      <c r="C243" s="616"/>
      <c r="D243" s="1691">
        <f>SUM(D240:D242)</f>
        <v>22130</v>
      </c>
      <c r="E243" s="616"/>
      <c r="F243" s="616"/>
      <c r="G243" s="616"/>
      <c r="H243" s="616"/>
      <c r="I243" s="616"/>
      <c r="J243" s="616"/>
      <c r="K243" s="1691">
        <f>SUM(K240:K242)</f>
        <v>22130</v>
      </c>
      <c r="L243" s="1691">
        <f>SUM(L240:L242)</f>
        <v>19155</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c r="E245" s="616"/>
      <c r="F245" s="616"/>
      <c r="G245" s="616"/>
      <c r="H245" s="616"/>
      <c r="I245" s="616"/>
      <c r="J245" s="616"/>
      <c r="K245" s="1693">
        <f>D245</f>
        <v>0</v>
      </c>
      <c r="L245" s="480"/>
    </row>
    <row r="246" spans="1:12" x14ac:dyDescent="0.2">
      <c r="A246" s="1525" t="s">
        <v>872</v>
      </c>
      <c r="B246" s="614">
        <v>2320</v>
      </c>
      <c r="C246" s="616"/>
      <c r="D246" s="465">
        <v>6319</v>
      </c>
      <c r="E246" s="616"/>
      <c r="F246" s="616"/>
      <c r="G246" s="616"/>
      <c r="H246" s="616"/>
      <c r="I246" s="616"/>
      <c r="J246" s="616"/>
      <c r="K246" s="1693">
        <f t="shared" ref="K246:K256" si="21">D246</f>
        <v>6319</v>
      </c>
      <c r="L246" s="465">
        <v>5859</v>
      </c>
    </row>
    <row r="247" spans="1:12" x14ac:dyDescent="0.2">
      <c r="A247" s="1525" t="s">
        <v>873</v>
      </c>
      <c r="B247" s="614">
        <v>2330</v>
      </c>
      <c r="C247" s="616"/>
      <c r="D247" s="465">
        <v>2042</v>
      </c>
      <c r="E247" s="616"/>
      <c r="F247" s="616"/>
      <c r="G247" s="616"/>
      <c r="H247" s="616"/>
      <c r="I247" s="616"/>
      <c r="J247" s="616"/>
      <c r="K247" s="1693">
        <f t="shared" si="21"/>
        <v>2042</v>
      </c>
      <c r="L247" s="465">
        <v>1714</v>
      </c>
    </row>
    <row r="248" spans="1:12" x14ac:dyDescent="0.2">
      <c r="A248" s="1526" t="s">
        <v>317</v>
      </c>
      <c r="B248" s="602" t="s">
        <v>299</v>
      </c>
      <c r="C248" s="616"/>
      <c r="D248" s="473"/>
      <c r="E248" s="616"/>
      <c r="F248" s="616"/>
      <c r="G248" s="616"/>
      <c r="H248" s="616"/>
      <c r="I248" s="616"/>
      <c r="J248" s="616"/>
      <c r="K248" s="1693">
        <f t="shared" si="21"/>
        <v>0</v>
      </c>
      <c r="L248" s="465"/>
    </row>
    <row r="249" spans="1:12" x14ac:dyDescent="0.2">
      <c r="A249" s="1527" t="s">
        <v>1908</v>
      </c>
      <c r="B249" s="683" t="s">
        <v>300</v>
      </c>
      <c r="C249" s="616"/>
      <c r="D249" s="473"/>
      <c r="E249" s="616"/>
      <c r="F249" s="616"/>
      <c r="G249" s="616"/>
      <c r="H249" s="616"/>
      <c r="I249" s="616"/>
      <c r="J249" s="616"/>
      <c r="K249" s="1693">
        <f t="shared" si="21"/>
        <v>0</v>
      </c>
      <c r="L249" s="465"/>
    </row>
    <row r="250" spans="1:12" x14ac:dyDescent="0.2">
      <c r="A250" s="1526" t="s">
        <v>1909</v>
      </c>
      <c r="B250" s="602" t="s">
        <v>301</v>
      </c>
      <c r="C250" s="616"/>
      <c r="D250" s="473"/>
      <c r="E250" s="616"/>
      <c r="F250" s="616"/>
      <c r="G250" s="616"/>
      <c r="H250" s="616"/>
      <c r="I250" s="616"/>
      <c r="J250" s="616"/>
      <c r="K250" s="1693">
        <f t="shared" si="21"/>
        <v>0</v>
      </c>
      <c r="L250" s="465"/>
    </row>
    <row r="251" spans="1:12" x14ac:dyDescent="0.2">
      <c r="A251" s="1526" t="s">
        <v>256</v>
      </c>
      <c r="B251" s="602" t="s">
        <v>302</v>
      </c>
      <c r="C251" s="616"/>
      <c r="D251" s="473"/>
      <c r="E251" s="616"/>
      <c r="F251" s="616"/>
      <c r="G251" s="616"/>
      <c r="H251" s="616"/>
      <c r="I251" s="616"/>
      <c r="J251" s="616"/>
      <c r="K251" s="1693">
        <f t="shared" si="21"/>
        <v>0</v>
      </c>
      <c r="L251" s="465"/>
    </row>
    <row r="252" spans="1:12" x14ac:dyDescent="0.2">
      <c r="A252" s="1526" t="s">
        <v>726</v>
      </c>
      <c r="B252" s="602" t="s">
        <v>303</v>
      </c>
      <c r="C252" s="616"/>
      <c r="D252" s="473"/>
      <c r="E252" s="616"/>
      <c r="F252" s="616"/>
      <c r="G252" s="616"/>
      <c r="H252" s="616"/>
      <c r="I252" s="616"/>
      <c r="J252" s="616"/>
      <c r="K252" s="1693">
        <f t="shared" si="21"/>
        <v>0</v>
      </c>
      <c r="L252" s="465"/>
    </row>
    <row r="253" spans="1:12" x14ac:dyDescent="0.2">
      <c r="A253" s="1526" t="s">
        <v>257</v>
      </c>
      <c r="B253" s="602" t="s">
        <v>304</v>
      </c>
      <c r="C253" s="616"/>
      <c r="D253" s="473"/>
      <c r="E253" s="616"/>
      <c r="F253" s="616"/>
      <c r="G253" s="616"/>
      <c r="H253" s="616"/>
      <c r="I253" s="616"/>
      <c r="J253" s="616"/>
      <c r="K253" s="1693">
        <f t="shared" si="21"/>
        <v>0</v>
      </c>
      <c r="L253" s="465"/>
    </row>
    <row r="254" spans="1:12" ht="22.5" x14ac:dyDescent="0.2">
      <c r="A254" s="1526" t="s">
        <v>1087</v>
      </c>
      <c r="B254" s="683" t="s">
        <v>305</v>
      </c>
      <c r="C254" s="616"/>
      <c r="D254" s="473"/>
      <c r="E254" s="616"/>
      <c r="F254" s="616"/>
      <c r="G254" s="616"/>
      <c r="H254" s="616"/>
      <c r="I254" s="616"/>
      <c r="J254" s="616"/>
      <c r="K254" s="1693">
        <f t="shared" si="21"/>
        <v>0</v>
      </c>
      <c r="L254" s="465"/>
    </row>
    <row r="255" spans="1:12" x14ac:dyDescent="0.2">
      <c r="A255" s="1526" t="s">
        <v>1088</v>
      </c>
      <c r="B255" s="602" t="s">
        <v>306</v>
      </c>
      <c r="C255" s="616"/>
      <c r="D255" s="473"/>
      <c r="E255" s="616"/>
      <c r="F255" s="616"/>
      <c r="G255" s="616"/>
      <c r="H255" s="616"/>
      <c r="I255" s="616"/>
      <c r="J255" s="616"/>
      <c r="K255" s="1693">
        <f t="shared" si="21"/>
        <v>0</v>
      </c>
      <c r="L255" s="465"/>
    </row>
    <row r="256" spans="1:12" x14ac:dyDescent="0.2">
      <c r="A256" s="1526" t="s">
        <v>1028</v>
      </c>
      <c r="B256" s="614" t="s">
        <v>307</v>
      </c>
      <c r="C256" s="616"/>
      <c r="D256" s="473"/>
      <c r="E256" s="616"/>
      <c r="F256" s="616"/>
      <c r="G256" s="616"/>
      <c r="H256" s="616"/>
      <c r="I256" s="616"/>
      <c r="J256" s="616"/>
      <c r="K256" s="1693">
        <f t="shared" si="21"/>
        <v>0</v>
      </c>
      <c r="L256" s="465"/>
    </row>
    <row r="257" spans="1:14" ht="12.75" customHeight="1" thickBot="1" x14ac:dyDescent="0.25">
      <c r="A257" s="1689" t="s">
        <v>741</v>
      </c>
      <c r="B257" s="1717">
        <v>2300</v>
      </c>
      <c r="C257" s="616"/>
      <c r="D257" s="1691">
        <f>SUM(D245:D256)</f>
        <v>8361</v>
      </c>
      <c r="E257" s="616"/>
      <c r="F257" s="616"/>
      <c r="G257" s="616"/>
      <c r="H257" s="616"/>
      <c r="I257" s="616"/>
      <c r="J257" s="616"/>
      <c r="K257" s="1691">
        <f>SUM(K245:K256)</f>
        <v>8361</v>
      </c>
      <c r="L257" s="1691">
        <f>SUM(L245:L256)</f>
        <v>7573</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28864</v>
      </c>
      <c r="E259" s="616"/>
      <c r="F259" s="616"/>
      <c r="G259" s="616"/>
      <c r="H259" s="616"/>
      <c r="I259" s="616"/>
      <c r="J259" s="616"/>
      <c r="K259" s="1693">
        <f>D259</f>
        <v>28864</v>
      </c>
      <c r="L259" s="480">
        <v>27028</v>
      </c>
    </row>
    <row r="260" spans="1:14" s="597" customFormat="1" x14ac:dyDescent="0.2">
      <c r="A260" s="1543" t="s">
        <v>1907</v>
      </c>
      <c r="B260" s="628">
        <v>2490</v>
      </c>
      <c r="C260" s="616"/>
      <c r="D260" s="465"/>
      <c r="E260" s="616"/>
      <c r="F260" s="616"/>
      <c r="G260" s="616"/>
      <c r="H260" s="616"/>
      <c r="I260" s="616"/>
      <c r="J260" s="616"/>
      <c r="K260" s="1693">
        <f>D260</f>
        <v>0</v>
      </c>
      <c r="L260" s="465"/>
      <c r="M260" s="210"/>
      <c r="N260" s="210"/>
    </row>
    <row r="261" spans="1:14" ht="12.75" customHeight="1" thickBot="1" x14ac:dyDescent="0.25">
      <c r="A261" s="1713" t="s">
        <v>281</v>
      </c>
      <c r="B261" s="1718" t="s">
        <v>34</v>
      </c>
      <c r="C261" s="616"/>
      <c r="D261" s="1691">
        <f>SUM(D259:D260)</f>
        <v>28864</v>
      </c>
      <c r="E261" s="616"/>
      <c r="F261" s="616"/>
      <c r="G261" s="616"/>
      <c r="H261" s="616"/>
      <c r="I261" s="616"/>
      <c r="J261" s="616"/>
      <c r="K261" s="1691">
        <f>SUM(K259:K260)</f>
        <v>28864</v>
      </c>
      <c r="L261" s="1691">
        <f>SUM(L259:L260)</f>
        <v>27028</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v>1866</v>
      </c>
      <c r="E263" s="616"/>
      <c r="F263" s="616"/>
      <c r="G263" s="616"/>
      <c r="H263" s="616"/>
      <c r="I263" s="616"/>
      <c r="J263" s="616"/>
      <c r="K263" s="1693">
        <f>D263</f>
        <v>1866</v>
      </c>
      <c r="L263" s="480">
        <v>1524</v>
      </c>
    </row>
    <row r="264" spans="1:14" x14ac:dyDescent="0.2">
      <c r="A264" s="1525" t="s">
        <v>483</v>
      </c>
      <c r="B264" s="685">
        <v>2520</v>
      </c>
      <c r="C264" s="616"/>
      <c r="D264" s="465">
        <v>18993</v>
      </c>
      <c r="E264" s="616"/>
      <c r="F264" s="616"/>
      <c r="G264" s="616"/>
      <c r="H264" s="616"/>
      <c r="I264" s="616"/>
      <c r="J264" s="616"/>
      <c r="K264" s="1693">
        <f t="shared" ref="K264:K269" si="22">D264</f>
        <v>18993</v>
      </c>
      <c r="L264" s="465">
        <v>16485</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v>15208</v>
      </c>
      <c r="E266" s="616"/>
      <c r="F266" s="616"/>
      <c r="G266" s="616"/>
      <c r="H266" s="616"/>
      <c r="I266" s="616"/>
      <c r="J266" s="616"/>
      <c r="K266" s="1693">
        <f t="shared" si="22"/>
        <v>15208</v>
      </c>
      <c r="L266" s="465">
        <v>13199</v>
      </c>
    </row>
    <row r="267" spans="1:14" x14ac:dyDescent="0.2">
      <c r="A267" s="1525" t="s">
        <v>1010</v>
      </c>
      <c r="B267" s="614">
        <v>2550</v>
      </c>
      <c r="C267" s="616"/>
      <c r="D267" s="465"/>
      <c r="E267" s="616"/>
      <c r="F267" s="616"/>
      <c r="G267" s="616"/>
      <c r="H267" s="616"/>
      <c r="I267" s="616"/>
      <c r="J267" s="616"/>
      <c r="K267" s="1693">
        <f t="shared" si="22"/>
        <v>0</v>
      </c>
      <c r="L267" s="465"/>
    </row>
    <row r="268" spans="1:14" x14ac:dyDescent="0.2">
      <c r="A268" s="1525" t="s">
        <v>102</v>
      </c>
      <c r="B268" s="614">
        <v>2560</v>
      </c>
      <c r="C268" s="616"/>
      <c r="D268" s="465"/>
      <c r="E268" s="616"/>
      <c r="F268" s="616"/>
      <c r="G268" s="616"/>
      <c r="H268" s="616"/>
      <c r="I268" s="616"/>
      <c r="J268" s="616"/>
      <c r="K268" s="1693">
        <f t="shared" si="22"/>
        <v>0</v>
      </c>
      <c r="L268" s="465"/>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743</v>
      </c>
      <c r="B270" s="1696" t="s">
        <v>35</v>
      </c>
      <c r="C270" s="616"/>
      <c r="D270" s="1691">
        <f>SUM(D263:D269)</f>
        <v>36067</v>
      </c>
      <c r="E270" s="616"/>
      <c r="F270" s="616"/>
      <c r="G270" s="616"/>
      <c r="H270" s="616"/>
      <c r="I270" s="616"/>
      <c r="J270" s="616"/>
      <c r="K270" s="1691">
        <f>SUM(K263:K269)</f>
        <v>36067</v>
      </c>
      <c r="L270" s="1691">
        <f>SUM(L263:L269)</f>
        <v>31208</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row>
    <row r="273" spans="1:12" x14ac:dyDescent="0.2">
      <c r="A273" s="1525" t="s">
        <v>628</v>
      </c>
      <c r="B273" s="628">
        <v>2620</v>
      </c>
      <c r="C273" s="616"/>
      <c r="D273" s="465"/>
      <c r="E273" s="616"/>
      <c r="F273" s="616"/>
      <c r="G273" s="616"/>
      <c r="H273" s="616"/>
      <c r="I273" s="616"/>
      <c r="J273" s="616"/>
      <c r="K273" s="1693">
        <f>D273</f>
        <v>0</v>
      </c>
      <c r="L273" s="465"/>
    </row>
    <row r="274" spans="1:12" ht="12" customHeight="1" x14ac:dyDescent="0.2">
      <c r="A274" s="1525" t="s">
        <v>1121</v>
      </c>
      <c r="B274" s="614">
        <v>2630</v>
      </c>
      <c r="C274" s="616"/>
      <c r="D274" s="465"/>
      <c r="E274" s="616"/>
      <c r="F274" s="616"/>
      <c r="G274" s="616"/>
      <c r="H274" s="616"/>
      <c r="I274" s="616"/>
      <c r="J274" s="616"/>
      <c r="K274" s="1693">
        <f>D274</f>
        <v>0</v>
      </c>
      <c r="L274" s="465"/>
    </row>
    <row r="275" spans="1:12" x14ac:dyDescent="0.2">
      <c r="A275" s="1525" t="s">
        <v>423</v>
      </c>
      <c r="B275" s="614">
        <v>2640</v>
      </c>
      <c r="C275" s="616"/>
      <c r="D275" s="465"/>
      <c r="E275" s="616"/>
      <c r="F275" s="616"/>
      <c r="G275" s="616"/>
      <c r="H275" s="616"/>
      <c r="I275" s="616"/>
      <c r="J275" s="616"/>
      <c r="K275" s="1693">
        <f>D275</f>
        <v>0</v>
      </c>
      <c r="L275" s="465"/>
    </row>
    <row r="276" spans="1:12" x14ac:dyDescent="0.2">
      <c r="A276" s="1525" t="s">
        <v>424</v>
      </c>
      <c r="B276" s="614">
        <v>2660</v>
      </c>
      <c r="C276" s="616"/>
      <c r="D276" s="465"/>
      <c r="E276" s="616"/>
      <c r="F276" s="616"/>
      <c r="G276" s="616"/>
      <c r="H276" s="616"/>
      <c r="I276" s="616"/>
      <c r="J276" s="616"/>
      <c r="K276" s="1693">
        <f>D276</f>
        <v>0</v>
      </c>
      <c r="L276" s="465"/>
    </row>
    <row r="277" spans="1:12" ht="12.75" customHeight="1" thickBot="1" x14ac:dyDescent="0.25">
      <c r="A277" s="1712" t="s">
        <v>37</v>
      </c>
      <c r="B277" s="1690" t="s">
        <v>36</v>
      </c>
      <c r="C277" s="616"/>
      <c r="D277" s="1691">
        <f>SUM(D272:D276)</f>
        <v>0</v>
      </c>
      <c r="E277" s="616"/>
      <c r="F277" s="616"/>
      <c r="G277" s="616"/>
      <c r="H277" s="616"/>
      <c r="I277" s="616"/>
      <c r="J277" s="616"/>
      <c r="K277" s="1691">
        <f>SUM(K272:K276)</f>
        <v>0</v>
      </c>
      <c r="L277" s="1691">
        <f>SUM(L272:L276)</f>
        <v>0</v>
      </c>
    </row>
    <row r="278" spans="1:12" ht="13.5" customHeight="1" thickTop="1" x14ac:dyDescent="0.2">
      <c r="A278" s="1531" t="s">
        <v>1037</v>
      </c>
      <c r="B278" s="655" t="s">
        <v>595</v>
      </c>
      <c r="C278" s="616"/>
      <c r="D278" s="656"/>
      <c r="E278" s="616"/>
      <c r="F278" s="616"/>
      <c r="G278" s="616"/>
      <c r="H278" s="616"/>
      <c r="I278" s="616"/>
      <c r="J278" s="616"/>
      <c r="K278" s="1706">
        <f>D278</f>
        <v>0</v>
      </c>
      <c r="L278" s="656"/>
    </row>
    <row r="279" spans="1:12" ht="12.75" customHeight="1" thickBot="1" x14ac:dyDescent="0.25">
      <c r="A279" s="1719" t="s">
        <v>865</v>
      </c>
      <c r="B279" s="1702">
        <v>2000</v>
      </c>
      <c r="C279" s="616"/>
      <c r="D279" s="1698">
        <f>SUM(D238,D243,D257,D261,D270,D277,D278)</f>
        <v>100498</v>
      </c>
      <c r="E279" s="616"/>
      <c r="F279" s="616"/>
      <c r="G279" s="616"/>
      <c r="H279" s="616"/>
      <c r="I279" s="616"/>
      <c r="J279" s="616"/>
      <c r="K279" s="1698">
        <f>SUM(K238,K243,K257,K261,K270,K277,K278)</f>
        <v>100498</v>
      </c>
      <c r="L279" s="1698">
        <f>SUM(L238,L243,L257,L261,L270,L277,L278)</f>
        <v>91417</v>
      </c>
    </row>
    <row r="280" spans="1:12" ht="15.75" customHeight="1" thickTop="1" thickBot="1" x14ac:dyDescent="0.25">
      <c r="A280" s="1645" t="s">
        <v>930</v>
      </c>
      <c r="B280" s="1634">
        <v>3000</v>
      </c>
      <c r="C280" s="616"/>
      <c r="D280" s="575"/>
      <c r="E280" s="616"/>
      <c r="F280" s="616"/>
      <c r="G280" s="616"/>
      <c r="H280" s="616"/>
      <c r="I280" s="616"/>
      <c r="J280" s="616"/>
      <c r="K280" s="1700">
        <f>D280</f>
        <v>0</v>
      </c>
      <c r="L280" s="575"/>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1956</v>
      </c>
      <c r="C282" s="616"/>
      <c r="D282" s="466"/>
      <c r="E282" s="616"/>
      <c r="F282" s="616"/>
      <c r="G282" s="616"/>
      <c r="H282" s="616"/>
      <c r="I282" s="616"/>
      <c r="J282" s="616"/>
      <c r="K282" s="1692">
        <f>D282</f>
        <v>0</v>
      </c>
      <c r="L282" s="466"/>
    </row>
    <row r="283" spans="1:12" x14ac:dyDescent="0.2">
      <c r="A283" s="1525" t="s">
        <v>322</v>
      </c>
      <c r="B283" s="614">
        <v>4120</v>
      </c>
      <c r="C283" s="616"/>
      <c r="D283" s="465"/>
      <c r="E283" s="616"/>
      <c r="F283" s="616"/>
      <c r="G283" s="616"/>
      <c r="H283" s="616"/>
      <c r="I283" s="616"/>
      <c r="J283" s="616"/>
      <c r="K283" s="1692">
        <f>D283</f>
        <v>0</v>
      </c>
      <c r="L283" s="465"/>
    </row>
    <row r="284" spans="1:12" x14ac:dyDescent="0.2">
      <c r="A284" s="1525" t="s">
        <v>721</v>
      </c>
      <c r="B284" s="614">
        <v>4140</v>
      </c>
      <c r="C284" s="616"/>
      <c r="D284" s="466"/>
      <c r="E284" s="616"/>
      <c r="F284" s="616"/>
      <c r="G284" s="616"/>
      <c r="H284" s="616"/>
      <c r="I284" s="616"/>
      <c r="J284" s="616"/>
      <c r="K284" s="1692">
        <f>D284</f>
        <v>0</v>
      </c>
      <c r="L284" s="465"/>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1232</v>
      </c>
      <c r="B290" s="628" t="s">
        <v>638</v>
      </c>
      <c r="C290" s="616"/>
      <c r="D290" s="616"/>
      <c r="E290" s="616"/>
      <c r="F290" s="616"/>
      <c r="G290" s="616"/>
      <c r="H290" s="465"/>
      <c r="I290" s="616"/>
      <c r="J290" s="616"/>
      <c r="K290" s="1692">
        <f>H290</f>
        <v>0</v>
      </c>
      <c r="L290" s="465"/>
    </row>
    <row r="291" spans="1:14" x14ac:dyDescent="0.2">
      <c r="A291" s="1525" t="s">
        <v>91</v>
      </c>
      <c r="B291" s="614" t="s">
        <v>610</v>
      </c>
      <c r="C291" s="616"/>
      <c r="D291" s="616"/>
      <c r="E291" s="616"/>
      <c r="F291" s="616"/>
      <c r="G291" s="616"/>
      <c r="H291" s="465"/>
      <c r="I291" s="616"/>
      <c r="J291" s="616"/>
      <c r="K291" s="1692">
        <f>H291</f>
        <v>0</v>
      </c>
      <c r="L291" s="465"/>
    </row>
    <row r="292" spans="1:14" x14ac:dyDescent="0.2">
      <c r="A292" s="1525" t="s">
        <v>786</v>
      </c>
      <c r="B292" s="614" t="s">
        <v>639</v>
      </c>
      <c r="C292" s="616"/>
      <c r="D292" s="616"/>
      <c r="E292" s="616"/>
      <c r="F292" s="616"/>
      <c r="G292" s="616"/>
      <c r="H292" s="465"/>
      <c r="I292" s="616"/>
      <c r="J292" s="616"/>
      <c r="K292" s="1692">
        <f>H292</f>
        <v>0</v>
      </c>
      <c r="L292" s="465"/>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row>
    <row r="295" spans="1:14" ht="12.75" customHeight="1" thickTop="1" thickBot="1" x14ac:dyDescent="0.25">
      <c r="A295" s="2192" t="s">
        <v>526</v>
      </c>
      <c r="B295" s="2193"/>
      <c r="C295" s="616"/>
      <c r="D295" s="1691">
        <f>SUM(D229,D279,D280,D285)</f>
        <v>217206</v>
      </c>
      <c r="E295" s="616"/>
      <c r="F295" s="616"/>
      <c r="G295" s="616"/>
      <c r="H295" s="1691">
        <f>H293</f>
        <v>0</v>
      </c>
      <c r="I295" s="616"/>
      <c r="J295" s="616"/>
      <c r="K295" s="1691">
        <f>SUM(K229,K279,K280,K285,K293,K294)</f>
        <v>217206</v>
      </c>
      <c r="L295" s="1691">
        <f>SUM(L229,L279,L280,L285,L293,L294)</f>
        <v>204806</v>
      </c>
    </row>
    <row r="296" spans="1:14" ht="13.5" thickTop="1" x14ac:dyDescent="0.2">
      <c r="A296" s="2174" t="s">
        <v>1053</v>
      </c>
      <c r="B296" s="2175"/>
      <c r="C296" s="616"/>
      <c r="D296" s="618"/>
      <c r="E296" s="616"/>
      <c r="F296" s="616"/>
      <c r="G296" s="616"/>
      <c r="H296" s="687"/>
      <c r="I296" s="616"/>
      <c r="J296" s="616"/>
      <c r="K296" s="1705">
        <f>'Revenues 9-14'!G275-'Expenditures 15-22'!K295</f>
        <v>-7245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145</v>
      </c>
      <c r="B298" s="2178"/>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c r="H301" s="465"/>
      <c r="I301" s="466"/>
      <c r="J301" s="466"/>
      <c r="K301" s="1692">
        <f>SUM(C301:J301)</f>
        <v>0</v>
      </c>
      <c r="L301" s="466"/>
    </row>
    <row r="302" spans="1:14" ht="13.5" customHeight="1" x14ac:dyDescent="0.2">
      <c r="A302" s="1538" t="s">
        <v>1037</v>
      </c>
      <c r="B302" s="614" t="s">
        <v>595</v>
      </c>
      <c r="C302" s="465"/>
      <c r="D302" s="465"/>
      <c r="E302" s="465"/>
      <c r="F302" s="465"/>
      <c r="G302" s="465"/>
      <c r="H302" s="465"/>
      <c r="I302" s="466"/>
      <c r="J302" s="466"/>
      <c r="K302" s="1692">
        <f>SUM(C302:J302)</f>
        <v>0</v>
      </c>
      <c r="L302" s="465"/>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1961</v>
      </c>
      <c r="B306" s="690" t="s">
        <v>1956</v>
      </c>
      <c r="C306" s="616"/>
      <c r="D306" s="616"/>
      <c r="E306" s="466"/>
      <c r="F306" s="616"/>
      <c r="G306" s="616"/>
      <c r="H306" s="466"/>
      <c r="I306" s="616"/>
      <c r="J306" s="616"/>
      <c r="K306" s="1692">
        <f>SUM(E306,H306)</f>
        <v>0</v>
      </c>
      <c r="L306" s="466"/>
    </row>
    <row r="307" spans="1:14" x14ac:dyDescent="0.2">
      <c r="A307" s="1525" t="s">
        <v>322</v>
      </c>
      <c r="B307" s="614">
        <v>4120</v>
      </c>
      <c r="C307" s="616"/>
      <c r="D307" s="616"/>
      <c r="E307" s="466"/>
      <c r="F307" s="616"/>
      <c r="G307" s="616"/>
      <c r="H307" s="466"/>
      <c r="I307" s="476"/>
      <c r="J307" s="616"/>
      <c r="K307" s="1692">
        <f>SUM(E307,H307)</f>
        <v>0</v>
      </c>
      <c r="L307" s="465"/>
    </row>
    <row r="308" spans="1:14" x14ac:dyDescent="0.2">
      <c r="A308" s="1525" t="s">
        <v>721</v>
      </c>
      <c r="B308" s="614">
        <v>4140</v>
      </c>
      <c r="C308" s="616"/>
      <c r="D308" s="616"/>
      <c r="E308" s="466"/>
      <c r="F308" s="616"/>
      <c r="G308" s="616"/>
      <c r="H308" s="466"/>
      <c r="I308" s="476"/>
      <c r="J308" s="616"/>
      <c r="K308" s="1692">
        <f>SUM(E308,H308)</f>
        <v>0</v>
      </c>
      <c r="L308" s="465"/>
    </row>
    <row r="309" spans="1:14" ht="12.75" customHeight="1" x14ac:dyDescent="0.2">
      <c r="A309" s="1529" t="s">
        <v>722</v>
      </c>
      <c r="B309" s="628">
        <v>4190</v>
      </c>
      <c r="C309" s="616"/>
      <c r="D309" s="616"/>
      <c r="E309" s="466"/>
      <c r="F309" s="616"/>
      <c r="G309" s="616"/>
      <c r="H309" s="466"/>
      <c r="I309" s="476"/>
      <c r="J309" s="616"/>
      <c r="K309" s="1692">
        <f>SUM(E309,H309)</f>
        <v>0</v>
      </c>
      <c r="L309" s="465"/>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row>
    <row r="312" spans="1:14" s="674" customFormat="1" ht="12.75" customHeight="1" thickTop="1" thickBot="1" x14ac:dyDescent="0.25">
      <c r="A312" s="2189" t="s">
        <v>295</v>
      </c>
      <c r="B312" s="219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5"/>
      <c r="N312" s="665"/>
    </row>
    <row r="313" spans="1:14" ht="13.5" thickTop="1" x14ac:dyDescent="0.2">
      <c r="A313" s="2185" t="s">
        <v>1053</v>
      </c>
      <c r="B313" s="2186"/>
      <c r="C313" s="626"/>
      <c r="D313" s="626"/>
      <c r="E313" s="626"/>
      <c r="F313" s="626"/>
      <c r="G313" s="626"/>
      <c r="H313" s="626"/>
      <c r="I313" s="626"/>
      <c r="J313" s="626"/>
      <c r="K313" s="1706">
        <f>'Revenues 9-14'!H275-'Expenditures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151</v>
      </c>
      <c r="B315" s="2199"/>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954</v>
      </c>
      <c r="B317" s="2199"/>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c r="M319" s="665"/>
      <c r="N319" s="665"/>
    </row>
    <row r="320" spans="1:14" s="674" customFormat="1" x14ac:dyDescent="0.2">
      <c r="A320" s="1544" t="s">
        <v>1908</v>
      </c>
      <c r="B320" s="698" t="s">
        <v>300</v>
      </c>
      <c r="C320" s="466"/>
      <c r="D320" s="466"/>
      <c r="E320" s="466">
        <v>23522</v>
      </c>
      <c r="F320" s="466"/>
      <c r="G320" s="466"/>
      <c r="H320" s="466"/>
      <c r="I320" s="466"/>
      <c r="J320" s="466"/>
      <c r="K320" s="1692">
        <f t="shared" ref="K320:K327" si="24">SUM(C320:J320)</f>
        <v>23522</v>
      </c>
      <c r="L320" s="466">
        <v>26461</v>
      </c>
      <c r="M320" s="665"/>
      <c r="N320" s="665"/>
    </row>
    <row r="321" spans="1:14" s="674" customFormat="1" x14ac:dyDescent="0.2">
      <c r="A321" s="1540" t="s">
        <v>318</v>
      </c>
      <c r="B321" s="697" t="s">
        <v>301</v>
      </c>
      <c r="C321" s="466"/>
      <c r="D321" s="466"/>
      <c r="E321" s="466">
        <v>138</v>
      </c>
      <c r="F321" s="466"/>
      <c r="G321" s="466"/>
      <c r="H321" s="466"/>
      <c r="I321" s="466"/>
      <c r="J321" s="466"/>
      <c r="K321" s="1692">
        <f t="shared" si="24"/>
        <v>138</v>
      </c>
      <c r="L321" s="466">
        <v>3126</v>
      </c>
      <c r="M321" s="665"/>
      <c r="N321" s="665"/>
    </row>
    <row r="322" spans="1:14" s="674" customFormat="1" x14ac:dyDescent="0.2">
      <c r="A322" s="1540" t="s">
        <v>256</v>
      </c>
      <c r="B322" s="697" t="s">
        <v>302</v>
      </c>
      <c r="C322" s="466"/>
      <c r="D322" s="466"/>
      <c r="E322" s="466">
        <v>33666</v>
      </c>
      <c r="F322" s="466"/>
      <c r="G322" s="466"/>
      <c r="H322" s="466"/>
      <c r="I322" s="466"/>
      <c r="J322" s="466"/>
      <c r="K322" s="1692">
        <f t="shared" si="24"/>
        <v>33666</v>
      </c>
      <c r="L322" s="466">
        <v>43227</v>
      </c>
      <c r="M322" s="665"/>
      <c r="N322" s="665"/>
    </row>
    <row r="323" spans="1:14" s="674" customFormat="1" x14ac:dyDescent="0.2">
      <c r="A323" s="1540" t="s">
        <v>726</v>
      </c>
      <c r="B323" s="697" t="s">
        <v>303</v>
      </c>
      <c r="C323" s="466"/>
      <c r="D323" s="466"/>
      <c r="E323" s="466"/>
      <c r="F323" s="466"/>
      <c r="G323" s="466"/>
      <c r="H323" s="466"/>
      <c r="I323" s="466"/>
      <c r="J323" s="466"/>
      <c r="K323" s="1692">
        <f t="shared" si="24"/>
        <v>0</v>
      </c>
      <c r="L323" s="466"/>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c r="M324" s="665"/>
      <c r="N324" s="665"/>
    </row>
    <row r="325" spans="1:14" s="674" customFormat="1" ht="22.5" x14ac:dyDescent="0.2">
      <c r="A325" s="1540" t="s">
        <v>1087</v>
      </c>
      <c r="B325" s="698" t="s">
        <v>305</v>
      </c>
      <c r="C325" s="466"/>
      <c r="D325" s="466"/>
      <c r="E325" s="466"/>
      <c r="F325" s="466"/>
      <c r="G325" s="466"/>
      <c r="H325" s="466"/>
      <c r="I325" s="466"/>
      <c r="J325" s="466"/>
      <c r="K325" s="1692">
        <f t="shared" si="24"/>
        <v>0</v>
      </c>
      <c r="L325" s="466"/>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c r="M327" s="665"/>
      <c r="N327" s="665"/>
    </row>
    <row r="328" spans="1:14" s="674" customFormat="1" x14ac:dyDescent="0.2">
      <c r="A328" s="1541" t="s">
        <v>492</v>
      </c>
      <c r="B328" s="690" t="s">
        <v>1194</v>
      </c>
      <c r="C328" s="473"/>
      <c r="D328" s="473"/>
      <c r="E328" s="473"/>
      <c r="F328" s="473"/>
      <c r="G328" s="473"/>
      <c r="H328" s="473"/>
      <c r="I328" s="473"/>
      <c r="J328" s="473"/>
      <c r="K328" s="1720">
        <f>SUM(C328:J328)</f>
        <v>0</v>
      </c>
      <c r="L328" s="473"/>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57326</v>
      </c>
      <c r="F330" s="1691">
        <f t="shared" si="25"/>
        <v>0</v>
      </c>
      <c r="G330" s="1691">
        <f t="shared" si="25"/>
        <v>0</v>
      </c>
      <c r="H330" s="1691">
        <f t="shared" si="25"/>
        <v>0</v>
      </c>
      <c r="I330" s="1691">
        <f t="shared" si="25"/>
        <v>0</v>
      </c>
      <c r="J330" s="1691">
        <f t="shared" si="25"/>
        <v>0</v>
      </c>
      <c r="K330" s="1691">
        <f>SUM(K319:K329)</f>
        <v>57326</v>
      </c>
      <c r="L330" s="1691">
        <f>SUM(L319:L329)</f>
        <v>72814</v>
      </c>
      <c r="M330" s="665"/>
      <c r="N330" s="665"/>
    </row>
    <row r="331" spans="1:14" s="674" customFormat="1" ht="12.75" customHeight="1" thickTop="1" x14ac:dyDescent="0.2">
      <c r="A331" s="1853" t="s">
        <v>1962</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1956</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322</v>
      </c>
      <c r="B333" s="1849" t="s">
        <v>1958</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row>
    <row r="338" spans="1:14" ht="12.75" customHeight="1" x14ac:dyDescent="0.2">
      <c r="A338" s="1539" t="s">
        <v>1232</v>
      </c>
      <c r="B338" s="690" t="s">
        <v>638</v>
      </c>
      <c r="C338" s="638"/>
      <c r="D338" s="638"/>
      <c r="E338" s="638"/>
      <c r="F338" s="638"/>
      <c r="G338" s="638"/>
      <c r="H338" s="477"/>
      <c r="I338" s="638"/>
      <c r="J338" s="638"/>
      <c r="K338" s="1692">
        <f>H338</f>
        <v>0</v>
      </c>
      <c r="L338" s="477"/>
    </row>
    <row r="339" spans="1:14" x14ac:dyDescent="0.2">
      <c r="A339" s="1525" t="s">
        <v>957</v>
      </c>
      <c r="B339" s="628">
        <v>5150</v>
      </c>
      <c r="C339" s="638"/>
      <c r="D339" s="638"/>
      <c r="E339" s="638"/>
      <c r="F339" s="638"/>
      <c r="G339" s="638"/>
      <c r="H339" s="466"/>
      <c r="I339" s="638"/>
      <c r="J339" s="638"/>
      <c r="K339" s="1692">
        <f>H339</f>
        <v>0</v>
      </c>
      <c r="L339" s="466"/>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row>
    <row r="342" spans="1:14" ht="12.75" customHeight="1" thickTop="1" thickBot="1" x14ac:dyDescent="0.25">
      <c r="A342" s="1707" t="s">
        <v>526</v>
      </c>
      <c r="B342" s="1722"/>
      <c r="C342" s="1691">
        <f>SUM(C330)</f>
        <v>0</v>
      </c>
      <c r="D342" s="1691">
        <f>SUM(D330)</f>
        <v>0</v>
      </c>
      <c r="E342" s="1691">
        <f>SUM(E330)</f>
        <v>57326</v>
      </c>
      <c r="F342" s="1691">
        <f>SUM(F330)</f>
        <v>0</v>
      </c>
      <c r="G342" s="1691">
        <f>SUM(G330)</f>
        <v>0</v>
      </c>
      <c r="H342" s="1691">
        <f>SUM(H330,H334,H340)</f>
        <v>0</v>
      </c>
      <c r="I342" s="1691">
        <f>SUM(I330)</f>
        <v>0</v>
      </c>
      <c r="J342" s="1691">
        <f>SUM(J330)</f>
        <v>0</v>
      </c>
      <c r="K342" s="1691">
        <f>SUM(K330,K334,K340)</f>
        <v>57326</v>
      </c>
      <c r="L342" s="1698">
        <f>SUM(L330,L340,L341)</f>
        <v>72814</v>
      </c>
    </row>
    <row r="343" spans="1:14" ht="12.75" customHeight="1" thickTop="1" x14ac:dyDescent="0.2">
      <c r="A343" s="2187" t="s">
        <v>1053</v>
      </c>
      <c r="B343" s="2188"/>
      <c r="C343" s="616"/>
      <c r="D343" s="616"/>
      <c r="E343" s="616"/>
      <c r="F343" s="616"/>
      <c r="G343" s="616"/>
      <c r="H343" s="616"/>
      <c r="I343" s="616"/>
      <c r="J343" s="616"/>
      <c r="K343" s="1705">
        <f>'Revenues 9-14'!J275-'Expenditures 15-22'!K342</f>
        <v>-10587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1023</v>
      </c>
      <c r="B345" s="2178"/>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1964</v>
      </c>
      <c r="B354" s="683" t="s">
        <v>1956</v>
      </c>
      <c r="C354" s="616"/>
      <c r="D354" s="616"/>
      <c r="E354" s="616"/>
      <c r="F354" s="616"/>
      <c r="G354" s="616"/>
      <c r="H354" s="473"/>
      <c r="I354" s="701"/>
      <c r="J354" s="616"/>
      <c r="K354" s="1720">
        <f>H354</f>
        <v>0</v>
      </c>
      <c r="L354" s="470"/>
    </row>
    <row r="355" spans="1:14" ht="12.75" customHeight="1" x14ac:dyDescent="0.2">
      <c r="A355" s="1534" t="s">
        <v>1965</v>
      </c>
      <c r="B355" s="690" t="s">
        <v>1958</v>
      </c>
      <c r="C355" s="616"/>
      <c r="D355" s="616"/>
      <c r="E355" s="616"/>
      <c r="F355" s="616"/>
      <c r="G355" s="616"/>
      <c r="H355" s="466"/>
      <c r="I355" s="701"/>
      <c r="J355" s="616"/>
      <c r="K355" s="1764">
        <f>H355</f>
        <v>0</v>
      </c>
      <c r="L355" s="466"/>
    </row>
    <row r="356" spans="1:14" ht="12.75" customHeight="1" x14ac:dyDescent="0.2">
      <c r="A356" s="1856" t="s">
        <v>722</v>
      </c>
      <c r="B356" s="683" t="s">
        <v>579</v>
      </c>
      <c r="C356" s="616"/>
      <c r="D356" s="616"/>
      <c r="E356" s="616"/>
      <c r="F356" s="616"/>
      <c r="G356" s="616"/>
      <c r="H356" s="478"/>
      <c r="I356" s="701"/>
      <c r="J356" s="616"/>
      <c r="K356" s="1761">
        <f>H356</f>
        <v>0</v>
      </c>
      <c r="L356" s="478"/>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640</v>
      </c>
      <c r="B361" s="602" t="s">
        <v>639</v>
      </c>
      <c r="C361" s="616"/>
      <c r="D361" s="616"/>
      <c r="E361" s="616"/>
      <c r="F361" s="616"/>
      <c r="G361" s="616"/>
      <c r="H361" s="466"/>
      <c r="I361" s="616"/>
      <c r="J361" s="616"/>
      <c r="K361" s="1692">
        <f>SUM(C361:J361)</f>
        <v>0</v>
      </c>
      <c r="L361" s="465"/>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74" t="s">
        <v>1053</v>
      </c>
      <c r="B368" s="2175"/>
      <c r="C368" s="654"/>
      <c r="D368" s="654"/>
      <c r="E368" s="626"/>
      <c r="F368" s="626"/>
      <c r="G368" s="626"/>
      <c r="H368" s="626"/>
      <c r="I368" s="626"/>
      <c r="J368" s="623"/>
      <c r="K368" s="1692">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2006/metadata/properties"/>
    <ds:schemaRef ds:uri="d21dc803-237d-4c68-8692-8d731fd29118"/>
    <ds:schemaRef ds:uri="http://schemas.microsoft.com/office/infopath/2007/PartnerControls"/>
    <ds:schemaRef ds:uri="4d435f69-8686-490b-bd6d-b153bf22ab5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2018-10-02T17:22:23Z</cp:lastPrinted>
  <dcterms:created xsi:type="dcterms:W3CDTF">2003-10-29T19:06:34Z</dcterms:created>
  <dcterms:modified xsi:type="dcterms:W3CDTF">2018-10-10T18:23:03Z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