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883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C220" i="5" l="1"/>
  <c r="C218" i="5"/>
  <c r="C107" i="5"/>
  <c r="D12" i="11" l="1"/>
  <c r="C65" i="5" l="1"/>
  <c r="E70" i="29"/>
  <c r="F63" i="29"/>
  <c r="H5" i="29"/>
  <c r="D5" i="29"/>
  <c r="C106" i="5"/>
  <c r="G124" i="29"/>
  <c r="E124" i="29"/>
  <c r="F124" i="29"/>
  <c r="H169" i="29"/>
  <c r="H170" i="29"/>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E59" i="181"/>
  <c r="F59" i="181" s="1"/>
  <c r="G59" i="181" s="1"/>
  <c r="E58" i="181"/>
  <c r="F58" i="181" s="1"/>
  <c r="G58" i="181" s="1"/>
  <c r="F57" i="181"/>
  <c r="G57" i="181" s="1"/>
  <c r="E57" i="181"/>
  <c r="E56" i="181"/>
  <c r="F56" i="181" s="1"/>
  <c r="G56" i="181" s="1"/>
  <c r="E55" i="181"/>
  <c r="F55" i="181" s="1"/>
  <c r="G55" i="181" s="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5" i="170"/>
  <c r="C18" i="170" s="1"/>
  <c r="C21" i="170" s="1"/>
  <c r="C24" i="170" s="1"/>
  <c r="C28" i="170" s="1"/>
  <c r="C13" i="170"/>
  <c r="B1" i="184" l="1"/>
  <c r="B1" i="183"/>
  <c r="B2" i="179"/>
  <c r="B2" i="184"/>
  <c r="B2" i="183"/>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5" i="127"/>
  <c r="B66" i="127"/>
  <c r="E26" i="108"/>
  <c r="G26" i="108"/>
  <c r="D27" i="108"/>
  <c r="E27" i="108"/>
  <c r="F27" i="108"/>
  <c r="G27" i="108"/>
  <c r="E28" i="108"/>
  <c r="F28" i="108"/>
  <c r="F36" i="108"/>
  <c r="F37" i="108"/>
  <c r="G28" i="108"/>
  <c r="D36" i="108"/>
  <c r="D37" i="108"/>
  <c r="E31" i="108"/>
  <c r="G31" i="108"/>
  <c r="E33" i="108"/>
  <c r="G33" i="108"/>
  <c r="E34" i="108"/>
  <c r="G34" i="108"/>
  <c r="E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22" i="37"/>
  <c r="H22" i="37"/>
  <c r="J22" i="37"/>
  <c r="L22" i="37"/>
  <c r="D24" i="37"/>
  <c r="B4270" i="106" s="1"/>
  <c r="D4270"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B5599" i="106"/>
  <c r="D5599" i="106" s="1"/>
  <c r="K274" i="5"/>
  <c r="H109" i="5"/>
  <c r="B6025" i="106" s="1"/>
  <c r="D6025" i="106" s="1"/>
  <c r="D7" i="7"/>
  <c r="B1763" i="106" s="1"/>
  <c r="D1763"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H4" i="4"/>
  <c r="B2655" i="106" s="1"/>
  <c r="D2655" i="106" s="1"/>
  <c r="F106" i="34"/>
  <c r="H173" i="5"/>
  <c r="F127" i="34"/>
  <c r="F130" i="34"/>
  <c r="F136" i="34"/>
  <c r="L5" i="11"/>
  <c r="B2056" i="106" s="1"/>
  <c r="D2056" i="106" s="1"/>
  <c r="I274" i="5"/>
  <c r="K173" i="5"/>
  <c r="K6" i="4" s="1"/>
  <c r="B3570" i="106" s="1"/>
  <c r="D3570" i="106" s="1"/>
  <c r="F172" i="5"/>
  <c r="B5644" i="106" s="1"/>
  <c r="D5644" i="106" s="1"/>
  <c r="E109" i="5"/>
  <c r="E4" i="4" s="1"/>
  <c r="B2630" i="106" s="1"/>
  <c r="D2630" i="106" s="1"/>
  <c r="B5096" i="106"/>
  <c r="D5096" i="106" s="1"/>
  <c r="B7235" i="106"/>
  <c r="D7235" i="106" s="1"/>
  <c r="B7041" i="106"/>
  <c r="D7041" i="106" s="1"/>
  <c r="K350" i="29"/>
  <c r="B3670" i="106" s="1"/>
  <c r="D3670" i="106" s="1"/>
  <c r="K76" i="4"/>
  <c r="B3586" i="106" s="1"/>
  <c r="D3586" i="106" s="1"/>
  <c r="L13" i="11"/>
  <c r="B2060" i="106" s="1"/>
  <c r="D2060" i="106" s="1"/>
  <c r="G210" i="29"/>
  <c r="B1365" i="106" s="1"/>
  <c r="D1365" i="106" s="1"/>
  <c r="E174" i="29"/>
  <c r="B1309" i="106" s="1"/>
  <c r="D1309" i="106" s="1"/>
  <c r="K24" i="12"/>
  <c r="B4268" i="106"/>
  <c r="D4268" i="106" s="1"/>
  <c r="B3621" i="106"/>
  <c r="D3621" i="106" s="1"/>
  <c r="C367" i="29"/>
  <c r="N22" i="3"/>
  <c r="B283" i="106" s="1"/>
  <c r="D283" i="106" s="1"/>
  <c r="F19" i="7"/>
  <c r="B1807" i="106" s="1"/>
  <c r="D1807" i="106" s="1"/>
  <c r="G35" i="108"/>
  <c r="D31" i="108"/>
  <c r="G29" i="108"/>
  <c r="B1126" i="106"/>
  <c r="D1126" i="106" s="1"/>
  <c r="D26" i="108"/>
  <c r="F26" i="108"/>
  <c r="F41" i="34"/>
  <c r="C172" i="5"/>
  <c r="B5214" i="106" s="1"/>
  <c r="D5214" i="106" s="1"/>
  <c r="C109" i="5"/>
  <c r="B5121" i="106" s="1"/>
  <c r="D5121" i="106" s="1"/>
  <c r="G30" i="108"/>
  <c r="E30" i="108"/>
  <c r="D109" i="5"/>
  <c r="B1329" i="106"/>
  <c r="D1329" i="106" s="1"/>
  <c r="F61" i="34"/>
  <c r="F65" i="34"/>
  <c r="E29" i="108"/>
  <c r="K184" i="29"/>
  <c r="F13" i="4" s="1"/>
  <c r="B2596" i="106" s="1"/>
  <c r="D2596" i="106" s="1"/>
  <c r="B1410" i="106"/>
  <c r="D1410" i="106" s="1"/>
  <c r="G109" i="5"/>
  <c r="B3649" i="106"/>
  <c r="D3649" i="106" s="1"/>
  <c r="G367" i="29"/>
  <c r="K352" i="29"/>
  <c r="K13" i="4" s="1"/>
  <c r="B3572" i="106" s="1"/>
  <c r="D3572" i="106" s="1"/>
  <c r="D52" i="36"/>
  <c r="D31" i="36"/>
  <c r="L342" i="29"/>
  <c r="L31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F274" i="5" l="1"/>
  <c r="D41" i="108"/>
  <c r="E43" i="108" s="1"/>
  <c r="H367" i="29"/>
  <c r="B3660" i="106" s="1"/>
  <c r="D3660" i="106" s="1"/>
  <c r="B7733" i="106"/>
  <c r="D7733" i="106" s="1"/>
  <c r="K26" i="12"/>
  <c r="B7743" i="106" s="1"/>
  <c r="D7743" i="106" s="1"/>
  <c r="B5906" i="106"/>
  <c r="D5906" i="106" s="1"/>
  <c r="H6" i="4"/>
  <c r="C4" i="4"/>
  <c r="B2551" i="106" s="1"/>
  <c r="D2551" i="106" s="1"/>
  <c r="C173" i="5"/>
  <c r="B5223" i="106" s="1"/>
  <c r="D5223" i="106" s="1"/>
  <c r="L16" i="11"/>
  <c r="B2061" i="106" s="1"/>
  <c r="D2061" i="106" s="1"/>
  <c r="B1317" i="106"/>
  <c r="D1317" i="106" s="1"/>
  <c r="N23" i="3"/>
  <c r="B284" i="106" s="1"/>
  <c r="D284" i="106" s="1"/>
  <c r="D44" i="36"/>
  <c r="C114" i="29"/>
  <c r="B757" i="106" s="1"/>
  <c r="D757" i="106" s="1"/>
  <c r="B5356" i="106"/>
  <c r="D5356" i="106" s="1"/>
  <c r="D4" i="4"/>
  <c r="B2564" i="106" s="1"/>
  <c r="D2564" i="106" s="1"/>
  <c r="B1381" i="106"/>
  <c r="D1381" i="106" s="1"/>
  <c r="F275" i="5"/>
  <c r="D19" i="7"/>
  <c r="B1775" i="106" s="1"/>
  <c r="D1775" i="106" s="1"/>
  <c r="B6024" i="106"/>
  <c r="D6024" i="106" s="1"/>
  <c r="G4" i="4"/>
  <c r="B2603" i="106" s="1"/>
  <c r="D2603"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6" i="106" l="1"/>
  <c r="D2656" i="106" s="1"/>
  <c r="H8" i="4"/>
  <c r="C6" i="4"/>
  <c r="B2553" i="106" s="1"/>
  <c r="D2553" i="106" s="1"/>
  <c r="F8" i="4"/>
  <c r="G41" i="108"/>
  <c r="G44" i="108" s="1"/>
  <c r="G45" i="108" s="1"/>
  <c r="E41" i="108"/>
  <c r="E44" i="108" s="1"/>
  <c r="E45" i="108" s="1"/>
  <c r="J17" i="4"/>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<sst xmlns="http://schemas.openxmlformats.org/spreadsheetml/2006/main" count="5433" uniqueCount="2250">
  <si>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</si>
  <si>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</si>
  <si>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</si>
  <si>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</si>
  <si>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</si>
  <si>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</si>
  <si>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</si>
  <si>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</si>
  <si>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</si>
  <si>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</si>
  <si>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</si>
  <si>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</si>
  <si>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</si>
  <si>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</si>
  <si>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</si>
  <si>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</si>
  <si>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</si>
  <si>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</si>
  <si>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</si>
  <si>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</si>
  <si>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</si>
  <si>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</si>
  <si>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</si>
  <si>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</si>
  <si>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</si>
  <si>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</si>
  <si>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</si>
  <si>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</si>
  <si>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</si>
  <si>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</si>
  <si>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</si>
  <si>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</si>
  <si>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</si>
  <si>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</si>
  <si>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</si>
  <si>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</si>
  <si>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</si>
  <si>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</si>
  <si>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</si>
  <si>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</si>
  <si>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</si>
  <si>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</si>
  <si>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</si>
  <si>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</si>
  <si>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</si>
  <si>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</si>
  <si>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</si>
  <si>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</si>
  <si>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</si>
  <si>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</si>
  <si>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</si>
  <si>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</si>
  <si>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</si>
  <si>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</si>
  <si>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</si>
  <si>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</si>
  <si>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</si>
  <si>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</si>
  <si>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</si>
  <si>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</si>
  <si>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</si>
  <si>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</si>
  <si>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</si>
  <si>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</si>
  <si>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</si>
  <si>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</si>
  <si>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</si>
  <si>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</si>
  <si>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</si>
  <si>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</si>
  <si>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</si>
  <si>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</si>
  <si>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</si>
  <si>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</si>
  <si>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</si>
  <si>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</si>
  <si>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</si>
  <si>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</si>
  <si>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</si>
  <si>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</si>
  <si>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</si>
  <si>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</si>
  <si>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</si>
  <si>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</si>
  <si>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</si>
  <si>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</si>
  <si>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</si>
  <si>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</si>
  <si>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</si>
  <si>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</si>
  <si>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</si>
  <si>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</si>
  <si>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</si>
  <si>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</si>
  <si>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</si>
  <si>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</si>
  <si>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</si>
  <si>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</si>
  <si>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</si>
  <si>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</si>
  <si>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</si>
  <si>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</si>
  <si>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</si>
  <si>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</si>
  <si>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</si>
  <si>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</si>
  <si>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</si>
  <si>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</si>
  <si>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</si>
  <si>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</si>
  <si>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</si>
  <si>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</si>
  <si>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</si>
  <si>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</si>
  <si>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</si>
  <si>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</si>
  <si>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</si>
  <si>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</si>
  <si>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</si>
  <si>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</si>
  <si>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</si>
  <si>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</si>
  <si>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</si>
  <si>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</si>
  <si>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</si>
  <si>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</si>
  <si>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</si>
  <si>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</si>
  <si>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</si>
  <si>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</si>
  <si>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</si>
  <si>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</si>
  <si>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</si>
  <si>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</si>
  <si>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</si>
  <si>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</si>
  <si>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</si>
  <si>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</si>
  <si>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</si>
  <si>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</si>
  <si>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</si>
  <si>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</si>
  <si>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</si>
  <si>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</si>
  <si>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</si>
  <si>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</si>
  <si>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</si>
  <si>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</si>
  <si>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</si>
  <si>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</si>
  <si>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</si>
  <si>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</si>
  <si>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</si>
  <si>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</si>
  <si>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</si>
  <si>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</si>
  <si>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</si>
  <si>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</si>
  <si>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</si>
  <si>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</si>
  <si>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</si>
  <si>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</si>
  <si>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</si>
  <si>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</si>
  <si>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</si>
  <si>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</si>
  <si>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</si>
  <si>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</si>
  <si>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</si>
  <si>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</si>
  <si>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</si>
  <si>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</si>
  <si>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</si>
  <si>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</si>
  <si>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</si>
  <si>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</si>
  <si>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</si>
  <si>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</si>
  <si>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</si>
  <si>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</si>
  <si>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</si>
  <si>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</si>
  <si>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</si>
  <si>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</si>
  <si>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</si>
  <si>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</si>
  <si>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</si>
  <si>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</si>
  <si>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</si>
  <si>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</si>
  <si>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</si>
  <si>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</si>
  <si>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</si>
  <si>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</si>
  <si>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</si>
  <si>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</si>
  <si>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</si>
  <si>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</si>
  <si>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</si>
  <si>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</si>
  <si>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</si>
  <si>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</si>
  <si>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</si>
  <si>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</si>
  <si>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</si>
  <si>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</si>
  <si>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</si>
  <si>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</si>
  <si>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</si>
  <si>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</si>
  <si>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</si>
  <si>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</si>
  <si>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</si>
  <si>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</si>
  <si>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</si>
  <si>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</si>
  <si>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</si>
  <si>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</si>
  <si>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</si>
  <si>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</si>
  <si>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</si>
  <si>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</si>
  <si>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</si>
  <si>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</si>
  <si>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</si>
  <si>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</si>
  <si>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</si>
  <si>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</si>
  <si>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</si>
  <si>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</si>
  <si>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</si>
  <si>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</si>
  <si>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</si>
  <si>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</si>
  <si>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</si>
  <si>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</si>
  <si>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</si>
  <si>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</si>
  <si>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</si>
  <si>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</si>
  <si>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</si>
  <si>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</si>
  <si>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</si>
  <si>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</si>
  <si>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</si>
  <si>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</si>
  <si>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</si>
  <si>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</si>
  <si>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</si>
  <si>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</si>
  <si>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</si>
  <si>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</si>
  <si>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</si>
  <si>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</si>
  <si>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</si>
  <si>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</si>
  <si>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</si>
  <si>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</si>
  <si>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</si>
  <si>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</si>
  <si>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</si>
  <si>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</si>
  <si>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</si>
  <si>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</si>
  <si>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</si>
  <si>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</si>
  <si>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</si>
  <si>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</si>
  <si>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</si>
  <si>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</si>
  <si>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</si>
  <si>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</si>
  <si>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</si>
  <si>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</si>
  <si>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</si>
  <si>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</si>
  <si>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</si>
  <si>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</si>
  <si>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</si>
  <si>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</si>
  <si>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</si>
  <si>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</si>
  <si>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</si>
  <si>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</si>
  <si>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</si>
  <si>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</si>
  <si>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</si>
  <si>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</si>
  <si>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</si>
  <si>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</si>
  <si>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</si>
  <si>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</si>
  <si>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</si>
  <si>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</si>
  <si>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</si>
  <si>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</si>
  <si>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</si>
  <si>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</si>
  <si>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</si>
  <si>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</si>
  <si>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</si>
  <si>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</si>
  <si>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</si>
  <si>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</si>
  <si>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</si>
  <si>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</si>
  <si>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</si>
  <si>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</si>
  <si>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</si>
  <si>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</si>
  <si>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</si>
  <si>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</si>
  <si>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</si>
  <si>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</si>
  <si>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</si>
  <si>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</si>
  <si>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</si>
  <si>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</si>
  <si>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</si>
  <si>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</si>
  <si>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</si>
  <si>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</si>
  <si>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</si>
  <si>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</si>
  <si>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</si>
  <si>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</si>
  <si>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</si>
  <si>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</si>
  <si>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</si>
  <si>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</si>
  <si>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</si>
  <si>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</si>
  <si>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</si>
  <si>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</si>
  <si>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</si>
  <si>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</si>
  <si>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</si>
  <si>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</si>
  <si>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</si>
  <si>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</si>
  <si>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</si>
  <si>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</si>
  <si>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</si>
  <si>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</si>
  <si>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</si>
  <si>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</si>
  <si>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</si>
  <si>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</si>
  <si>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</si>
  <si>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</si>
  <si>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</si>
  <si>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</si>
  <si>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</si>
  <si>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</si>
  <si>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</si>
  <si>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</si>
  <si>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</si>
  <si>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</si>
  <si>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</si>
  <si>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</si>
  <si>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</si>
  <si>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</si>
  <si>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</si>
  <si>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</si>
  <si>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</si>
  <si>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</si>
  <si>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</si>
  <si>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</si>
  <si>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</si>
  <si>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</si>
  <si>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</si>
  <si>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</si>
  <si>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</si>
  <si>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</si>
  <si>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</si>
  <si>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</si>
  <si>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</si>
  <si>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</si>
  <si>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</si>
  <si>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</si>
  <si>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</si>
  <si>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</si>
  <si>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</si>
  <si>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</si>
  <si>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</si>
  <si>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</si>
  <si>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</si>
  <si>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</si>
  <si>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</si>
  <si>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</si>
  <si>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</si>
  <si>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</si>
  <si>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</si>
  <si>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</si>
  <si>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</si>
  <si>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</si>
  <si>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</si>
  <si>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</si>
  <si>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</si>
  <si>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</si>
  <si>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</si>
  <si>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</si>
  <si>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</si>
  <si>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</si>
  <si>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</si>
  <si>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</si>
  <si>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</si>
  <si>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</si>
  <si>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</si>
  <si>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</si>
  <si>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</si>
  <si>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</si>
  <si>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</si>
  <si>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</si>
  <si>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</si>
  <si>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</si>
  <si>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</si>
  <si>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</si>
  <si>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</si>
  <si>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</si>
  <si>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</si>
  <si>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</si>
  <si>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</si>
  <si>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</si>
  <si>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</si>
  <si>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</si>
  <si>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</si>
  <si>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</si>
  <si>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</si>
  <si>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</si>
  <si>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</si>
  <si>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</si>
  <si>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</si>
  <si>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</si>
  <si>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</si>
  <si>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</si>
  <si>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</si>
  <si>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</si>
  <si>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</si>
  <si>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</si>
  <si>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</si>
  <si>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</si>
  <si>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</si>
  <si>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</si>
  <si>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</si>
  <si>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</si>
  <si>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</si>
  <si>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</si>
  <si>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</si>
  <si>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</si>
  <si>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</si>
  <si>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</si>
  <si>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</si>
  <si>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</si>
  <si>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</si>
  <si>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</si>
  <si>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</si>
  <si>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</si>
  <si>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</si>
  <si>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</si>
  <si>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</si>
  <si>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</si>
  <si>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</si>
  <si>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</si>
  <si>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</si>
  <si>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</si>
  <si>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</si>
  <si>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</si>
  <si>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</si>
  <si>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</si>
  <si>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</si>
  <si>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</si>
  <si>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</si>
  <si>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</si>
  <si>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</si>
  <si>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</si>
  <si>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</si>
  <si>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</si>
  <si>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</si>
  <si>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</si>
  <si>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</si>
  <si>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</si>
  <si>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</si>
  <si>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</si>
  <si>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</si>
  <si>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</si>
  <si>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</si>
  <si>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</si>
  <si>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</si>
  <si>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</si>
  <si>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</si>
  <si>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</si>
  <si>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</si>
  <si>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</si>
  <si>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</si>
  <si>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</si>
  <si>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</si>
  <si>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</si>
  <si>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</si>
  <si>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</si>
  <si>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</si>
  <si>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</si>
  <si>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</si>
  <si>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</si>
  <si>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</si>
  <si>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</si>
  <si>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</si>
  <si>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</si>
  <si>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</si>
  <si>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</si>
  <si>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</si>
  <si>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</si>
  <si>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</si>
  <si>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</si>
  <si>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</si>
  <si>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</si>
  <si>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</si>
  <si>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</si>
  <si>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</si>
  <si>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</si>
  <si>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</si>
  <si>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</si>
  <si>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</si>
  <si>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</si>
  <si>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</si>
  <si>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</si>
  <si>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</si>
  <si>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</si>
  <si>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</si>
  <si>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</si>
  <si>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</si>
  <si>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</si>
  <si>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</si>
  <si>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</si>
  <si>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</si>
  <si>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</si>
  <si>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</si>
  <si>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</si>
  <si>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</si>
  <si>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</si>
  <si>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</si>
  <si>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</si>
  <si>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</si>
  <si>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</si>
  <si>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</si>
  <si>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</si>
  <si>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</si>
  <si>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</si>
  <si>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</si>
  <si>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</si>
  <si>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</si>
  <si>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</si>
  <si>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</si>
  <si>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</si>
  <si>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</si>
  <si>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</si>
  <si>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</si>
  <si>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</si>
  <si>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</si>
  <si>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</si>
  <si>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</si>
  <si>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</si>
  <si>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</si>
  <si>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</si>
  <si>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</si>
  <si>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</si>
  <si>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</si>
  <si>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</si>
  <si>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</si>
  <si>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</si>
  <si>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</si>
  <si>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</si>
  <si>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</si>
  <si>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</si>
  <si>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</si>
  <si>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</si>
  <si>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</si>
  <si>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</si>
  <si>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</si>
  <si>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</si>
  <si>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</si>
  <si>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</si>
  <si>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</si>
  <si>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</si>
  <si>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</si>
  <si>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</si>
  <si>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</si>
  <si>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</si>
  <si>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</si>
  <si>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</si>
  <si>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</si>
  <si>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</si>
  <si>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</si>
  <si>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</si>
  <si>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</si>
  <si>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</si>
  <si>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</si>
  <si>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</si>
  <si>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</si>
  <si>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</si>
  <si>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</si>
  <si>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</si>
  <si>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</si>
  <si>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</si>
  <si>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</si>
  <si>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</si>
  <si>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</si>
  <si>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</si>
  <si>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</si>
  <si>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</si>
  <si>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</si>
  <si>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</si>
  <si>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</si>
  <si>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</si>
  <si>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</si>
  <si>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</si>
  <si>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</si>
  <si>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</si>
  <si>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</si>
  <si>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</si>
  <si>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</si>
  <si>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</si>
  <si>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</si>
  <si>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</si>
  <si>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</si>
  <si>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</si>
  <si>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</si>
  <si>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</si>
  <si>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</si>
  <si>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</si>
  <si>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</si>
  <si>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</si>
  <si>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</si>
  <si>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</si>
  <si>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</si>
  <si>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</si>
  <si>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</si>
  <si>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</si>
  <si>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</si>
  <si>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</si>
  <si>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</si>
  <si>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</si>
  <si>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</si>
  <si>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</si>
  <si>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</si>
  <si>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</si>
  <si>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</si>
  <si>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</si>
  <si>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</si>
  <si>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</si>
  <si>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</si>
  <si>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</si>
  <si>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</si>
  <si>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</si>
  <si>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</si>
  <si>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</si>
  <si>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</si>
  <si>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</si>
  <si>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</si>
  <si>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</si>
  <si>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</si>
  <si>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</si>
  <si>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</si>
  <si>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</si>
  <si>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</si>
  <si>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</si>
  <si>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</si>
  <si>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</si>
  <si>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</si>
  <si>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</si>
  <si>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</si>
  <si>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</si>
  <si>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</si>
  <si>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</si>
  <si>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</si>
  <si>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</si>
  <si>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</si>
  <si>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</si>
  <si>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</si>
  <si>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</si>
  <si>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</si>
  <si>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</si>
  <si>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</si>
  <si>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</si>
  <si>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</si>
  <si>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</si>
  <si>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</si>
  <si>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</si>
  <si>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</si>
  <si>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</si>
  <si>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</si>
  <si>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</si>
  <si>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</si>
  <si>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</si>
  <si>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</si>
  <si>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</si>
  <si>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</si>
  <si>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</si>
  <si>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</si>
  <si>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</si>
  <si>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</si>
  <si>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</si>
  <si>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</si>
  <si>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</si>
  <si>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</si>
  <si>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</si>
  <si>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</si>
  <si>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</si>
  <si>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</si>
  <si>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</si>
  <si>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</si>
  <si>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</si>
  <si>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</si>
  <si>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</si>
  <si>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</si>
  <si>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</si>
  <si>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</si>
  <si>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</si>
  <si>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</si>
  <si>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</si>
  <si>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</si>
  <si>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</si>
  <si>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</si>
  <si>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</si>
  <si>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</si>
  <si>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</si>
  <si>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</si>
  <si>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</si>
  <si>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</si>
  <si>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</si>
  <si>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</si>
  <si>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</si>
  <si>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</si>
  <si>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</si>
  <si>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</si>
  <si>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</si>
  <si>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</si>
  <si>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</si>
  <si>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</si>
  <si>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</si>
  <si>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</si>
  <si>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</si>
  <si>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</si>
  <si>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</si>
  <si>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</si>
  <si>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</si>
  <si>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</si>
  <si>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</si>
  <si>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</si>
  <si>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</si>
  <si>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</si>
  <si>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</si>
  <si>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</si>
  <si>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</si>
  <si>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</si>
  <si>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</si>
  <si>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</si>
  <si>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</si>
  <si>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</si>
  <si>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</si>
  <si>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</si>
  <si>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</si>
  <si>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</si>
  <si>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</si>
  <si>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</si>
  <si>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</si>
  <si>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</si>
  <si>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</si>
  <si>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</si>
  <si>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</si>
  <si>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</si>
  <si>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</si>
  <si>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</si>
  <si>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</si>
  <si>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</si>
  <si>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</si>
  <si>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</si>
  <si>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</si>
  <si>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</si>
  <si>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</si>
  <si>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</si>
  <si>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</si>
  <si>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</si>
  <si>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</si>
  <si>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</si>
  <si>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</si>
  <si>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</si>
  <si>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</si>
  <si>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</si>
  <si>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</si>
  <si>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</si>
  <si>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</si>
  <si>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</si>
  <si>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</si>
  <si>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</si>
  <si>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</si>
  <si>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</si>
  <si>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</si>
  <si>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</si>
  <si>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</si>
  <si>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</si>
  <si>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</si>
  <si>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</si>
  <si>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</si>
  <si>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</si>
  <si>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</si>
  <si>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</si>
  <si>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</si>
  <si>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</si>
  <si>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</si>
  <si>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</si>
  <si>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</si>
  <si>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</si>
  <si>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</si>
  <si>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</si>
  <si>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</si>
  <si>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</si>
  <si>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</si>
  <si>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</si>
  <si>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</si>
  <si>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</si>
  <si>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</si>
  <si>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</si>
  <si>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</si>
  <si>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</si>
  <si>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</si>
  <si>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</si>
  <si>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</si>
  <si>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</si>
  <si>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</si>
  <si>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</si>
  <si>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</si>
  <si>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</si>
  <si>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</si>
  <si>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</si>
  <si>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</si>
  <si>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</si>
  <si>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</si>
  <si>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</si>
  <si>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</si>
  <si>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</si>
  <si>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</si>
  <si>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</si>
  <si>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</si>
  <si>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</si>
  <si>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</si>
  <si>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</si>
  <si>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</si>
  <si>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</si>
  <si>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</si>
  <si>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</si>
  <si>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</si>
  <si>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</si>
  <si>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</si>
  <si>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</si>
  <si>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</si>
  <si>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</si>
  <si>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</si>
  <si>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</si>
  <si>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</si>
  <si>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</si>
  <si>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</si>
  <si>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</si>
  <si>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</si>
  <si>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</si>
  <si>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</si>
  <si>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</si>
  <si>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</si>
  <si>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</si>
  <si>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</si>
  <si>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</si>
  <si>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</si>
  <si>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</si>
  <si>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</si>
  <si>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</si>
  <si>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</si>
  <si>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</si>
  <si>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</si>
  <si>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</si>
  <si>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</si>
  <si>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</si>
  <si>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</si>
  <si>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</si>
  <si>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</si>
  <si>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</si>
  <si>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</si>
  <si>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</si>
  <si>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</si>
  <si>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</si>
  <si>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</si>
  <si>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</si>
  <si>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</si>
  <si>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</si>
  <si>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</si>
  <si>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</si>
  <si>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</si>
  <si>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</si>
  <si>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</si>
  <si>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</si>
  <si>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</si>
  <si>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</si>
  <si>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</si>
  <si>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</si>
  <si>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</si>
  <si>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</si>
  <si>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</si>
  <si>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</si>
  <si>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</si>
  <si>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</si>
  <si>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</si>
  <si>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</si>
  <si>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</si>
  <si>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</si>
  <si>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</si>
  <si>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</si>
  <si>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</si>
  <si>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</si>
  <si>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</si>
  <si>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</si>
  <si>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</si>
  <si>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</si>
  <si>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</si>
  <si>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</si>
  <si>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</si>
  <si>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</si>
  <si>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</si>
  <si>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</si>
  <si>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</si>
  <si>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</si>
  <si>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</si>
  <si>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</si>
  <si>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</si>
  <si>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</si>
  <si>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</si>
  <si>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</si>
  <si>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</si>
  <si>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</si>
  <si>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</si>
  <si>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</si>
  <si>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</si>
  <si>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</si>
  <si>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</si>
  <si>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</si>
  <si>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</si>
  <si>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</si>
  <si>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</si>
  <si>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</si>
  <si>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</si>
  <si>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</si>
  <si>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</si>
  <si>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</si>
  <si>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</si>
  <si>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</si>
  <si>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</si>
  <si>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</si>
  <si>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</si>
  <si>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</si>
  <si>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</si>
  <si>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</si>
  <si>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</si>
  <si>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</si>
  <si>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</si>
  <si>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</si>
  <si>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</si>
  <si>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</si>
  <si>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</si>
  <si>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</si>
  <si>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</si>
  <si>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</si>
  <si>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</si>
  <si>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</si>
  <si>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</si>
  <si>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</si>
  <si>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</si>
  <si>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</si>
  <si>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</si>
  <si>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</si>
  <si>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</si>
  <si>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</si>
  <si>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</si>
  <si>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</si>
  <si>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</si>
  <si>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</si>
  <si>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</si>
  <si>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</si>
  <si>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</si>
  <si>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</si>
  <si>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</si>
  <si>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</si>
  <si>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</si>
  <si>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</si>
  <si>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</si>
  <si>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</si>
  <si>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</si>
  <si>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</si>
  <si>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</si>
  <si>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</si>
  <si>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</si>
  <si>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</si>
  <si>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</si>
  <si>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</si>
  <si>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</si>
  <si>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</si>
  <si>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</si>
  <si>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</si>
  <si>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</si>
  <si>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</si>
  <si>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</si>
  <si>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</si>
  <si>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</si>
  <si>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</si>
  <si>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</si>
  <si>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</si>
  <si>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</si>
  <si>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</si>
  <si>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</si>
  <si>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</si>
  <si>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</si>
  <si>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</si>
  <si>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</si>
  <si>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</si>
  <si>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</si>
  <si>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</si>
  <si>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</si>
  <si>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</si>
  <si>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</si>
  <si>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</si>
  <si>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</si>
  <si>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</si>
  <si>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</si>
  <si>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</si>
  <si>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</si>
  <si>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</si>
  <si>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</si>
  <si>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</si>
  <si>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</si>
  <si>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</si>
  <si>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</si>
  <si>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</si>
  <si>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</si>
  <si>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</si>
  <si>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</si>
  <si>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</si>
  <si>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</si>
  <si>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</si>
  <si>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</si>
  <si>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</si>
  <si>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</si>
  <si>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</si>
  <si>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</si>
  <si>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</si>
  <si>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</si>
  <si>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</si>
  <si>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</si>
  <si>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</si>
  <si>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</si>
  <si>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</si>
  <si>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</si>
  <si>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</si>
  <si>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</si>
  <si>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</si>
  <si>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</si>
  <si>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</si>
  <si>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</si>
  <si>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</si>
  <si>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</si>
  <si>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</si>
  <si>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</si>
  <si>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</si>
  <si>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</si>
  <si>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</si>
  <si>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</si>
  <si>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</si>
  <si>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</si>
  <si>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</si>
  <si>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</si>
  <si>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</si>
  <si>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</si>
  <si>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</si>
  <si>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</si>
  <si>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</si>
  <si>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</si>
  <si>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</si>
  <si>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</si>
  <si>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</si>
  <si>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</si>
  <si>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</si>
  <si>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</si>
  <si>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</si>
  <si>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</si>
  <si>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</si>
  <si>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</si>
  <si>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</si>
  <si>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</si>
  <si>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</si>
  <si>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</si>
  <si>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</si>
  <si>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</si>
  <si>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</si>
  <si>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</si>
  <si>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</si>
  <si>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</si>
  <si>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</si>
  <si>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</si>
  <si>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</si>
  <si>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</si>
  <si>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</si>
  <si>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</si>
  <si>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</si>
  <si>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</si>
  <si>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</si>
  <si>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</si>
  <si>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</si>
  <si>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</si>
  <si>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</si>
  <si>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</si>
  <si>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</si>
  <si>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</si>
  <si>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</si>
  <si>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</si>
  <si>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</si>
  <si>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</si>
  <si>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</si>
  <si>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</si>
  <si>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</si>
  <si>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</si>
  <si>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</si>
  <si>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</si>
  <si>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</si>
  <si>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</si>
  <si>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</si>
  <si>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</si>
  <si>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</si>
  <si>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</si>
  <si>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</si>
  <si>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</si>
  <si>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</si>
  <si>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</si>
  <si>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</si>
  <si>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</si>
  <si>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</si>
  <si>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</si>
  <si>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</si>
  <si>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</si>
  <si>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</si>
  <si>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</si>
  <si>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</si>
  <si>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</si>
  <si>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</si>
  <si>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</si>
  <si>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</si>
  <si>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</si>
  <si>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</si>
  <si>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</si>
  <si>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</si>
  <si>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</si>
  <si>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</si>
  <si>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</si>
  <si>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</si>
  <si>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</si>
  <si>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</si>
  <si>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</si>
  <si>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</si>
  <si>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</si>
  <si>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</si>
  <si>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</si>
  <si>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</si>
  <si>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</si>
  <si>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</si>
  <si>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</si>
  <si>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</si>
  <si>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</si>
  <si>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</si>
  <si>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</si>
  <si>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</si>
  <si>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</si>
  <si>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</si>
  <si>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</si>
  <si>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</si>
  <si>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</si>
  <si>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</si>
  <si>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</si>
  <si>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</si>
  <si>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</si>
  <si>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</si>
  <si>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</si>
  <si>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</si>
  <si>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</si>
  <si>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</si>
  <si>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</si>
  <si>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</si>
  <si>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</si>
  <si>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</si>
  <si>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</si>
  <si>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</si>
  <si>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</si>
  <si>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</si>
  <si>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</si>
  <si>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</si>
  <si>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</si>
  <si>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</si>
  <si>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</si>
  <si>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</si>
  <si>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</si>
  <si>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</si>
  <si>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</si>
  <si>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</si>
  <si>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</si>
  <si>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</si>
  <si>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</si>
  <si>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</si>
  <si>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</si>
  <si>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</si>
  <si>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</si>
  <si>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</si>
  <si>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</si>
  <si>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</si>
  <si>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</si>
  <si>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</si>
  <si>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</si>
  <si>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</si>
  <si>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</si>
  <si>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</si>
  <si>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</si>
  <si>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</si>
  <si>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</si>
  <si>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</si>
  <si>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</si>
  <si>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</si>
  <si>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</si>
  <si>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</si>
  <si>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</si>
  <si>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</si>
  <si>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</si>
  <si>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</si>
  <si>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</si>
  <si>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</si>
  <si>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</si>
  <si>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</si>
  <si>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</si>
  <si>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</si>
  <si>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</si>
  <si>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</si>
  <si>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</si>
  <si>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</si>
  <si>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</si>
  <si>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</si>
  <si>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</si>
  <si>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</si>
  <si>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</si>
  <si>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</si>
  <si>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</si>
  <si>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</si>
  <si>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</si>
  <si>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</si>
  <si>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</si>
  <si>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</si>
  <si>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</si>
  <si>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</si>
  <si>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</si>
  <si>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</si>
  <si>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</si>
  <si>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</si>
  <si>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</si>
  <si>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</si>
  <si>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</si>
  <si>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</si>
  <si>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</si>
  <si>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</si>
  <si>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</si>
  <si>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</si>
  <si>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</si>
  <si>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</si>
  <si>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</si>
  <si>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</si>
  <si>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</si>
  <si>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</si>
  <si>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</si>
  <si>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</si>
  <si>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</si>
  <si>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</si>
  <si>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</si>
  <si>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</si>
  <si>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</si>
  <si>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</si>
  <si>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</si>
  <si>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</si>
  <si>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</si>
  <si>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</si>
  <si>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</si>
  <si>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</si>
  <si>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</si>
  <si>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</si>
  <si>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</si>
  <si>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</si>
  <si>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</si>
  <si>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</si>
  <si>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</si>
  <si>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</si>
  <si>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</si>
  <si>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</si>
  <si>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</si>
  <si>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</si>
  <si>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</si>
  <si>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</si>
  <si>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</si>
  <si>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</si>
  <si>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</si>
  <si>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</si>
  <si>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</si>
  <si>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</si>
  <si>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</si>
  <si>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</si>
  <si>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</si>
  <si>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</si>
  <si>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</si>
  <si>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</si>
  <si>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</si>
  <si>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</si>
  <si>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</si>
  <si>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</si>
  <si>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</si>
  <si>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</si>
  <si>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</si>
  <si>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</si>
  <si>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</si>
  <si>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</si>
  <si>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</si>
  <si>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</si>
  <si>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</si>
  <si>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</si>
  <si>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</si>
  <si>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</si>
  <si>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</si>
  <si>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</si>
  <si>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</si>
  <si>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</si>
  <si>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</si>
  <si>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</si>
  <si>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</si>
  <si>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</si>
  <si>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</si>
  <si>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</si>
  <si>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</si>
  <si>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</si>
  <si>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</si>
  <si>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</si>
  <si>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</si>
  <si>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</si>
  <si>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</si>
  <si>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</si>
  <si>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</si>
  <si>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</si>
  <si>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</si>
  <si>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</si>
  <si>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</si>
  <si>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</si>
  <si>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</si>
  <si>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</si>
  <si>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</si>
  <si>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</si>
  <si>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</si>
  <si>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</si>
  <si>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</si>
  <si>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</si>
  <si>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</si>
  <si>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</si>
  <si>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</si>
  <si>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</si>
  <si>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</si>
  <si>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</si>
  <si>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</si>
  <si>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</si>
  <si>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</si>
  <si>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</si>
  <si>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</si>
  <si>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</si>
  <si>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</si>
  <si>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</si>
  <si>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</si>
  <si>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</si>
  <si>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</si>
  <si>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</si>
  <si>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</si>
  <si>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</si>
  <si>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</si>
  <si>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</si>
  <si>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</si>
  <si>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</si>
  <si>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</si>
  <si>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</si>
  <si>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</si>
  <si>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</si>
  <si>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</si>
  <si>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</si>
  <si>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</si>
  <si>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</si>
  <si>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</si>
  <si>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</si>
  <si>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</si>
  <si>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</si>
  <si>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</si>
  <si>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</si>
  <si>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</si>
  <si>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</si>
  <si>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</si>
  <si>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</si>
  <si>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</si>
  <si>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</si>
  <si>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</si>
  <si>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</si>
  <si>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</si>
  <si>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</si>
  <si>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</si>
  <si>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</si>
  <si>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</si>
  <si>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</si>
  <si>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</si>
  <si>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</si>
  <si>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</si>
  <si>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</si>
  <si>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</si>
  <si>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</si>
  <si>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</si>
  <si>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</si>
  <si>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</si>
  <si>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</si>
  <si>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</si>
  <si>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</si>
  <si>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</si>
  <si>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</si>
  <si>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</si>
  <si>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</si>
  <si>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</si>
  <si>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</si>
  <si>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</si>
  <si>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</si>
  <si>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</si>
  <si>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</si>
  <si>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</si>
  <si>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</si>
  <si>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</si>
  <si>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</si>
  <si>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</si>
  <si>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</si>
  <si>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</si>
  <si>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</si>
  <si>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</si>
  <si>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</si>
  <si>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</si>
  <si>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</si>
  <si>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</si>
  <si>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</si>
  <si>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</si>
  <si>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</si>
  <si>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</si>
  <si>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</si>
  <si>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</si>
  <si>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</si>
  <si>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</si>
  <si>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</si>
  <si>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</si>
  <si>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</si>
  <si>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</si>
  <si>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</si>
  <si>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</si>
  <si>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</si>
  <si>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</si>
  <si>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</si>
  <si>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</si>
  <si>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</si>
  <si>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</si>
  <si>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</si>
  <si>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</si>
  <si>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</si>
  <si>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</si>
  <si>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</si>
  <si>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</si>
  <si>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</si>
  <si>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</si>
  <si>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</si>
  <si>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</si>
  <si>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</si>
  <si>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</si>
  <si>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</si>
  <si>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</si>
  <si>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</si>
  <si>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</si>
  <si>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</si>
  <si>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</si>
  <si>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</si>
  <si>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</si>
  <si>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</si>
  <si>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</si>
  <si>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</si>
  <si>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</si>
  <si>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</si>
  <si>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</si>
  <si>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</si>
  <si>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</si>
  <si>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</si>
  <si>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</si>
  <si>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</si>
  <si>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</si>
  <si>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</si>
  <si>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</si>
  <si>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</si>
  <si>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</si>
  <si>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</si>
  <si>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</si>
  <si>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</si>
  <si>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</si>
  <si>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</si>
  <si>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</si>
  <si>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</si>
  <si>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</si>
  <si>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</si>
  <si>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</si>
  <si>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</si>
  <si>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</si>
  <si>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</si>
  <si>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</si>
  <si>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</si>
  <si>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</si>
  <si>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</si>
  <si>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</si>
  <si>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</si>
  <si>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</si>
  <si>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</si>
  <si>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</si>
  <si>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</si>
  <si>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</si>
  <si>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</si>
  <si>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</si>
  <si>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</si>
  <si>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</si>
  <si>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</si>
  <si>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</si>
  <si>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</si>
  <si>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</si>
  <si>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</si>
  <si>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</si>
  <si>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</si>
  <si>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</si>
  <si>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</si>
  <si>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</si>
  <si>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</si>
  <si>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</si>
  <si>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</si>
  <si>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</si>
  <si>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</si>
  <si>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</si>
  <si>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</si>
  <si>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</si>
  <si>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</si>
  <si>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</si>
  <si>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</si>
  <si>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</si>
  <si>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</si>
  <si>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</si>
  <si>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</si>
  <si>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</si>
  <si>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</si>
  <si>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</si>
  <si>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</si>
  <si>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</si>
  <si>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</si>
  <si>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</si>
  <si>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</si>
  <si>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</si>
  <si>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</si>
  <si>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</si>
  <si>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</si>
  <si>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</si>
  <si>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</si>
  <si>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</si>
  <si>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</si>
  <si>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</si>
  <si>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</si>
  <si>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</si>
  <si>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</si>
  <si>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</si>
  <si>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</si>
  <si>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</si>
  <si>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</si>
  <si>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</si>
  <si>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</si>
  <si>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</si>
  <si>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</si>
  <si>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</si>
  <si>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</si>
  <si>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</si>
  <si>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</si>
  <si>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</si>
  <si>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</si>
  <si>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</si>
  <si>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</si>
  <si>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</si>
  <si>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</si>
  <si>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</si>
  <si>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</si>
  <si>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</si>
  <si>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</si>
  <si>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</si>
  <si>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</si>
  <si>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</si>
  <si>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</si>
  <si>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</si>
  <si>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</si>
  <si>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</si>
  <si>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</si>
  <si>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</si>
  <si>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</si>
  <si>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</si>
  <si>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</si>
  <si>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</si>
  <si>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</si>
  <si>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</si>
  <si>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</si>
  <si>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</si>
  <si>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</si>
  <si>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</si>
  <si>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</si>
  <si>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</si>
  <si>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</si>
  <si>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</si>
  <si>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</si>
  <si>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</si>
  <si>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</si>
  <si>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</si>
  <si>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</si>
  <si>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</si>
  <si>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</si>
  <si>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</si>
  <si>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</si>
  <si>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</si>
  <si>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</si>
  <si>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</si>
  <si>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</si>
  <si>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</si>
  <si>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</si>
  <si>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</si>
  <si>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</si>
  <si>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</si>
  <si>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</si>
  <si>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</si>
  <si>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</si>
  <si>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</si>
  <si>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</si>
  <si>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</si>
  <si>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</si>
  <si>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</si>
  <si>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</si>
  <si>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</si>
  <si>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</si>
  <si>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</si>
  <si>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</si>
  <si>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</si>
  <si>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</si>
  <si>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</si>
  <si>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</si>
  <si>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</si>
  <si>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</si>
  <si>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</si>
  <si>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</si>
  <si>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</si>
  <si>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</si>
  <si>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</si>
  <si>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</si>
  <si>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</si>
  <si>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</si>
  <si>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</si>
  <si>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</si>
  <si>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</si>
  <si>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</si>
  <si>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</si>
  <si>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</si>
  <si>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</si>
  <si>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</si>
  <si>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</si>
  <si>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</si>
  <si>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</si>
  <si>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</si>
  <si>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</si>
  <si>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</si>
  <si>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</si>
  <si>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</si>
  <si>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</si>
  <si>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</si>
  <si>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</si>
  <si>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</si>
  <si>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</si>
  <si>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</si>
  <si>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</si>
  <si>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</si>
  <si>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</si>
  <si>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</si>
  <si>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</si>
  <si>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</si>
  <si>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</si>
  <si>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</si>
  <si>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</si>
  <si>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</si>
  <si>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</si>
  <si>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</si>
  <si>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</si>
  <si>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</si>
  <si>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</si>
  <si>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</si>
  <si>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</si>
  <si>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</si>
  <si>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</si>
  <si>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</si>
  <si>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</si>
  <si>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</si>
  <si>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</si>
  <si>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</si>
  <si>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</si>
  <si>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</si>
  <si>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</si>
  <si>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</si>
  <si>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</si>
  <si>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</si>
  <si>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</si>
  <si>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</si>
  <si>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</si>
  <si>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</si>
  <si>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</si>
  <si>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</si>
  <si>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</si>
  <si>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</si>
  <si>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</si>
  <si>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</si>
  <si>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</si>
  <si>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</si>
  <si>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</si>
  <si>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</si>
  <si>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</si>
  <si>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</si>
  <si>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</si>
  <si>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</si>
  <si>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</si>
  <si>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</si>
  <si>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</si>
  <si>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</si>
  <si>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</si>
  <si>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</si>
  <si>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</si>
  <si>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</si>
  <si>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</si>
  <si>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</si>
  <si>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</si>
  <si>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</si>
  <si>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</si>
  <si>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</si>
  <si>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</si>
  <si>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</si>
  <si>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</si>
  <si>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</si>
  <si>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</si>
  <si>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</si>
  <si>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</si>
  <si>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</si>
  <si>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</si>
  <si>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</si>
  <si>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</si>
  <si>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</si>
  <si>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</si>
  <si>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</si>
  <si>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</si>
  <si>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</si>
  <si>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</si>
  <si>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</si>
  <si>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</si>
  <si>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</si>
  <si>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</si>
  <si>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</si>
  <si>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</si>
  <si>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</si>
  <si>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</si>
  <si>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</si>
  <si>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</si>
  <si>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</si>
  <si>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</si>
  <si>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</si>
  <si>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</si>
  <si>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</si>
  <si>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</si>
  <si>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</si>
  <si>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</si>
  <si>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</si>
  <si>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</si>
  <si>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</si>
  <si>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</si>
  <si>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</si>
  <si>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</si>
  <si>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</si>
  <si>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</si>
  <si>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</si>
  <si>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</si>
  <si>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</si>
  <si>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</si>
  <si>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</si>
  <si>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</si>
  <si>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</si>
  <si>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</si>
  <si>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</si>
  <si>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</si>
  <si>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</si>
  <si>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</si>
  <si>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</si>
  <si>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</si>
  <si>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</si>
  <si>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</si>
  <si>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</si>
  <si>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</si>
  <si>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</si>
  <si>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</si>
  <si>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</si>
  <si>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</si>
  <si>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</si>
  <si>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</si>
  <si>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</si>
  <si>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</si>
  <si>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</si>
  <si>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</si>
  <si>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</si>
  <si>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</si>
  <si>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</si>
  <si>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</si>
  <si>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</si>
  <si>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</si>
  <si>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</si>
  <si>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</si>
  <si>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</si>
  <si>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</si>
  <si>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</si>
  <si>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</si>
  <si>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</si>
  <si>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</si>
  <si>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</si>
  <si>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</si>
  <si>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</si>
  <si>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</si>
  <si>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</si>
  <si>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</si>
  <si>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</si>
  <si>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</si>
  <si>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</si>
  <si>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</si>
  <si>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</si>
  <si>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</si>
  <si>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</si>
  <si>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</si>
  <si>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</si>
  <si>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</si>
  <si>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</si>
  <si>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</si>
  <si>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</si>
  <si>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</si>
  <si>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</si>
  <si>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</si>
  <si>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</si>
  <si>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</si>
  <si>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</si>
  <si>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</si>
  <si>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</si>
  <si>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</si>
  <si>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</si>
  <si>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</si>
  <si>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</si>
  <si>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</si>
  <si>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</si>
  <si>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</si>
  <si>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</si>
  <si>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</si>
  <si>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</si>
  <si>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</si>
  <si>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</si>
  <si>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</si>
  <si>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</si>
  <si>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</si>
  <si>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</si>
  <si>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</si>
  <si>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</si>
  <si>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</si>
  <si>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</si>
  <si>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</si>
  <si>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</si>
  <si>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</si>
  <si>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</si>
  <si>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</si>
  <si>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</si>
  <si>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</si>
  <si>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</si>
  <si>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</si>
  <si>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</si>
  <si>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</si>
  <si>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</si>
  <si>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</si>
  <si>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</si>
  <si>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</si>
  <si>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</si>
  <si>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</si>
  <si>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</si>
  <si>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</si>
  <si>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</si>
  <si>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</si>
  <si>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</si>
  <si>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</si>
  <si>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</si>
  <si>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</si>
  <si>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</si>
  <si>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</si>
  <si>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</si>
  <si>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</si>
  <si>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</si>
  <si>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</si>
  <si>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</si>
  <si>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</si>
  <si>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</si>
  <si>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</si>
  <si>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</si>
  <si>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</si>
  <si>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</si>
  <si>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</si>
  <si>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</si>
  <si>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</si>
  <si>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</si>
  <si>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</si>
  <si>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</si>
  <si>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</si>
  <si>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</si>
  <si>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</si>
  <si>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</si>
  <si>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</si>
  <si>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</si>
  <si>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</si>
  <si>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</si>
  <si>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</si>
  <si>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</si>
  <si>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</si>
  <si>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</si>
  <si>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</si>
  <si>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</si>
  <si>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</si>
  <si>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</si>
  <si>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</si>
  <si>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</si>
  <si>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</si>
  <si>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</si>
  <si>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</si>
  <si>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</si>
  <si>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</si>
  <si>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</si>
  <si>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</si>
  <si>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</si>
  <si>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</si>
  <si>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</si>
  <si>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</si>
  <si>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</si>
  <si>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</si>
  <si>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</si>
  <si>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</si>
  <si>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</si>
  <si>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</si>
  <si>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</si>
  <si>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</si>
  <si>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</si>
  <si>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</si>
  <si>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</si>
  <si>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</si>
  <si>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</si>
  <si>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</si>
  <si>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</si>
  <si>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</si>
  <si>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</si>
  <si>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</si>
  <si>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</si>
  <si>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</si>
  <si>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</si>
  <si>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</si>
  <si>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</si>
  <si>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</si>
  <si>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</si>
  <si>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</si>
  <si>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</si>
  <si>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</si>
  <si>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</si>
  <si>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</si>
  <si>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</si>
  <si>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</si>
  <si>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</si>
  <si>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</si>
  <si>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</si>
  <si>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</si>
  <si>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</si>
  <si>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</si>
  <si>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</si>
  <si>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</si>
  <si>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</si>
  <si>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</si>
  <si>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</si>
  <si>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</si>
  <si>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</si>
  <si>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</si>
  <si>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</si>
  <si>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</si>
  <si>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</si>
  <si>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</si>
  <si>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</si>
  <si>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</si>
  <si>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</si>
  <si>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</si>
  <si>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</si>
  <si>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</si>
  <si>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</si>
  <si>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</si>
  <si>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</si>
  <si>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</si>
  <si>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</si>
  <si>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</si>
  <si>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</si>
  <si>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</si>
  <si>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</si>
  <si>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</si>
  <si>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</si>
  <si>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</si>
  <si>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</si>
  <si>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</si>
  <si>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</si>
  <si>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</si>
  <si>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</si>
  <si>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</si>
  <si>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</si>
  <si>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</si>
  <si>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</si>
  <si>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</si>
  <si>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</si>
  <si>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</si>
  <si>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</si>
  <si>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</si>
  <si>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</si>
  <si>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</si>
  <si>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</si>
  <si>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</si>
  <si>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</si>
  <si>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</si>
  <si>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</si>
  <si>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</si>
  <si>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</si>
  <si>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</si>
  <si>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</si>
  <si>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</si>
  <si>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</si>
  <si>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</si>
  <si>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</si>
  <si>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</si>
  <si>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</si>
  <si>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</si>
  <si>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</si>
  <si>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</si>
  <si>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</si>
  <si>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</si>
  <si>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</si>
  <si>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</si>
  <si>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</si>
  <si>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</si>
  <si>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</si>
  <si>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</si>
  <si>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</si>
  <si>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</si>
  <si>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</si>
  <si>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</si>
  <si>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</si>
  <si>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</si>
  <si>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1401 Greenwood Avenue</t>
  </si>
  <si>
    <t>Glenview</t>
  </si>
  <si>
    <t>847-998-5000</t>
  </si>
  <si>
    <t>847-486-7811</t>
  </si>
  <si>
    <t>Evoy, Kamschulte, Jacobs &amp; Co. LLP</t>
  </si>
  <si>
    <t>John D. Aceto, Jr., CPA</t>
  </si>
  <si>
    <t>2122 Yeoman Street</t>
  </si>
  <si>
    <t>Waukegan</t>
  </si>
  <si>
    <t>IL</t>
  </si>
  <si>
    <t>847-662-8305</t>
  </si>
  <si>
    <t>847-662-8300</t>
  </si>
  <si>
    <t>066-003289</t>
  </si>
  <si>
    <t>Dr. Dane Delli</t>
  </si>
  <si>
    <t>Retired Bond Issues</t>
  </si>
  <si>
    <t>2014 General Obligation Limited School Bonds</t>
  </si>
  <si>
    <t>1/4</t>
  </si>
  <si>
    <t>2015A General Obligation Limited School Bonds</t>
  </si>
  <si>
    <t>2015B General Obligation Refunding School Bonds</t>
  </si>
  <si>
    <t>2016A General Obligation Limited School Bonds</t>
  </si>
  <si>
    <t>2016B General Obligation Refunding School Bonds</t>
  </si>
  <si>
    <t>SCIP Insurance COOP</t>
  </si>
  <si>
    <t>North Suburban Special Ed COOP NSSED</t>
  </si>
  <si>
    <t>Education Fund</t>
  </si>
  <si>
    <t>Page 9, Line 17, Other Payments in Lieu of Taxes, TIF District Reimbursements - $7,362,645</t>
  </si>
  <si>
    <t>Page 11, Line 106, Other Local Fees, Early Childhood Program - $36,517.</t>
  </si>
  <si>
    <t xml:space="preserve">Page 11, Line 107, Other Local Revenue, P-Card Rebate $7,745; Erate $25,301; Classroom OM $131,670; Mainstream SAIL $19,240; </t>
  </si>
  <si>
    <t xml:space="preserve">     NSSED prior year reimbursement $20,400; Mainstream ESL $4,000; Dividends $2,238</t>
  </si>
  <si>
    <t>Operations Fund</t>
  </si>
  <si>
    <t>Page 11,  Line 107, Other Local Revenue, Insurance Reimb HVAC Repair $12,238; Safety Grant $10,750; PTA Conto to Playground $21,500;</t>
  </si>
  <si>
    <t xml:space="preserve">     Easement to Lion School $10,000; Misc $79.</t>
  </si>
  <si>
    <t>Bond &amp; Interest Fund</t>
  </si>
  <si>
    <t>Page 18, Line 165, Debt Service Other, Bond Service Cost Fees - $4,687</t>
  </si>
  <si>
    <t>US DEPARTMENT OF AGICULTURE</t>
  </si>
  <si>
    <t>Passed Through ISBE Child Nutrition Cluster</t>
  </si>
  <si>
    <t xml:space="preserve">      National School Lunch</t>
  </si>
  <si>
    <t xml:space="preserve">      School Breakfast</t>
  </si>
  <si>
    <t xml:space="preserve">      ISBE Lanter Commodities</t>
  </si>
  <si>
    <t xml:space="preserve">      DoD Fresh Fruits &amp; Vegetables</t>
  </si>
  <si>
    <t>Total US Department of Agriculture Child Nutrition Cluster</t>
  </si>
  <si>
    <t>4210-2017</t>
  </si>
  <si>
    <t>4210-2018</t>
  </si>
  <si>
    <t>4220-2017</t>
  </si>
  <si>
    <t>4220-2018</t>
  </si>
  <si>
    <t>N/A</t>
  </si>
  <si>
    <t>US DEPARTMENT OF HEALTH &amp; HUMAN SERVICES</t>
  </si>
  <si>
    <t>Passed Through IL Depart of Healthcare &amp; Family Services</t>
  </si>
  <si>
    <t xml:space="preserve">      Medicaid Matching Funds-Admin Outreach</t>
  </si>
  <si>
    <t>Total Department of Health &amp; Human Services</t>
  </si>
  <si>
    <t>4991-2017</t>
  </si>
  <si>
    <t>4991-2018</t>
  </si>
  <si>
    <t>US DEPARTMENT OF EDUCATION</t>
  </si>
  <si>
    <t>Passed Through from Nortern Suburban Special Education District-Special Education Cluster</t>
  </si>
  <si>
    <t>(M) IDEA Preschool</t>
  </si>
  <si>
    <t>84.027A</t>
  </si>
  <si>
    <t>4600-2017</t>
  </si>
  <si>
    <t>4600-2018</t>
  </si>
  <si>
    <t>(M) IDEA, Part B - Flow Through</t>
  </si>
  <si>
    <t>4620-2017</t>
  </si>
  <si>
    <t>4620-2018</t>
  </si>
  <si>
    <t>Total Passed Through Northern Suburban Sec Ed Dist - Special Ed Cluster</t>
  </si>
  <si>
    <t>Passed Through ISBE Special Education Cluster</t>
  </si>
  <si>
    <t>(M) IDEA Room &amp; Board (XC)</t>
  </si>
  <si>
    <t>4625-2017</t>
  </si>
  <si>
    <t>(M) IDEA Room &amp; Board (Non-XC)</t>
  </si>
  <si>
    <t>4625-2018</t>
  </si>
  <si>
    <t>Total Passed Through ISBE Special Education Cluster</t>
  </si>
  <si>
    <t>TOTAL SPECIAL EDUCATION CLUSTER</t>
  </si>
  <si>
    <t>US DEPARTMENT OF EDUCATION - CONTINUED</t>
  </si>
  <si>
    <t>Passed Through ISBE</t>
  </si>
  <si>
    <t xml:space="preserve">      Title I - Low Income</t>
  </si>
  <si>
    <t>84.010A</t>
  </si>
  <si>
    <t>4300-2017</t>
  </si>
  <si>
    <t>4300-2018</t>
  </si>
  <si>
    <t xml:space="preserve">      Title III - LIPLEP</t>
  </si>
  <si>
    <t>84.365A</t>
  </si>
  <si>
    <t>4909-2017</t>
  </si>
  <si>
    <t>4909-2018</t>
  </si>
  <si>
    <t xml:space="preserve">      Title II - Teacher Quality</t>
  </si>
  <si>
    <t>84.367A</t>
  </si>
  <si>
    <t>4932-2017</t>
  </si>
  <si>
    <t>4932-2018</t>
  </si>
  <si>
    <t>Total Passed Through ISBE</t>
  </si>
  <si>
    <t>TOTAL FEDERAL FINANCIAL ASSISTANCE</t>
  </si>
  <si>
    <t>Value of Federal Awards Expended in the Form of Non-Cash Assistance During the year</t>
  </si>
  <si>
    <t>Federal Insurance in Effect During the Year</t>
  </si>
  <si>
    <t>Federal Loans or Loan Guarantees, Including Interest Subsidies Outstanding at Year End</t>
  </si>
  <si>
    <r>
      <t>The accompanying Schedule of Expenditures of Federal Awards includes the federal grant activity of Glenview CCSD 34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</si>
  <si>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Glenview CCSD 34 provided federal awards to subrecipients as follows:</t>
  </si>
  <si>
    <t>NONE</t>
  </si>
  <si>
    <r>
      <t xml:space="preserve">The following amounts were expended in the form of non-cash assistance by Glenview CCSD 34 and </t>
    </r>
    <r>
      <rPr>
        <b/>
        <sz val="9"/>
        <rFont val="Calibri"/>
        <family val="2"/>
        <scheme val="minor"/>
      </rPr>
      <t>should be</t>
    </r>
    <r>
      <rPr>
        <sz val="9"/>
        <rFont val="Calibri"/>
        <family val="2"/>
        <scheme val="minor"/>
      </rPr>
      <t xml:space="preserve"> included in the Schedule of Expenditures of Federal Awards:</t>
    </r>
  </si>
  <si>
    <t>Unmodified</t>
  </si>
  <si>
    <t>IDEA, Preschool</t>
  </si>
  <si>
    <t>IDEA, Flow-Through</t>
  </si>
  <si>
    <t>IDEA, Room &amp; Board</t>
  </si>
  <si>
    <t>Amounts Passed Through to Subrecipients</t>
  </si>
  <si>
    <t>Total US Department of Education</t>
  </si>
  <si>
    <t>Ed-Instruction-Purchased Services</t>
  </si>
  <si>
    <t>10-1000-300</t>
  </si>
  <si>
    <t>Verizon Wireless</t>
  </si>
  <si>
    <t>Ed-Instruction-Supplies</t>
  </si>
  <si>
    <t>10-1000-400</t>
  </si>
  <si>
    <t>Committee for Children</t>
  </si>
  <si>
    <t>Pearson Education</t>
  </si>
  <si>
    <t>NSSED</t>
  </si>
  <si>
    <t>McGraw Hill School Education</t>
  </si>
  <si>
    <t>Midland Paper</t>
  </si>
  <si>
    <t>Houghton Mifflin Harcourt</t>
  </si>
  <si>
    <t>IXL Learning</t>
  </si>
  <si>
    <t>Ed-Instruction-Other</t>
  </si>
  <si>
    <t>Arlyn School</t>
  </si>
  <si>
    <t>Bellefaire JCB</t>
  </si>
  <si>
    <t>Boston Higashi School</t>
  </si>
  <si>
    <t>Comm Consolidated School</t>
  </si>
  <si>
    <t>Cove School</t>
  </si>
  <si>
    <t>Hyde Park Day School</t>
  </si>
  <si>
    <t>Keshet</t>
  </si>
  <si>
    <t>Maryville Academy</t>
  </si>
  <si>
    <t>NSSEO</t>
  </si>
  <si>
    <t>Oconomowoc Development Training</t>
  </si>
  <si>
    <t>Soring Eagle Academy</t>
  </si>
  <si>
    <t>Sonia Shankman Orthogenic School</t>
  </si>
  <si>
    <t>Ed-Support-Purchased Services</t>
  </si>
  <si>
    <t>Comcast</t>
  </si>
  <si>
    <t>10-2200-300</t>
  </si>
  <si>
    <t>10-2200-400</t>
  </si>
  <si>
    <t>Jamf Software, LLC</t>
  </si>
  <si>
    <t>Ed-Support-Supplies</t>
  </si>
  <si>
    <t>Schoology Incorporated</t>
  </si>
  <si>
    <t>Trebron</t>
  </si>
  <si>
    <t>NCS Pearson Inc</t>
  </si>
  <si>
    <t>Nwea</t>
  </si>
  <si>
    <t>Hodges, Loizzi, Eisenhammer</t>
  </si>
  <si>
    <t>10-2300-300</t>
  </si>
  <si>
    <t>Maine Township School Treasurer</t>
  </si>
  <si>
    <t>10-2400-400</t>
  </si>
  <si>
    <t>Follett School Solutions</t>
  </si>
  <si>
    <t>10-2550-300</t>
  </si>
  <si>
    <t>Alltown Bus Service Inc</t>
  </si>
  <si>
    <t>10-2560-400</t>
  </si>
  <si>
    <t>10-2630-300</t>
  </si>
  <si>
    <t>Canon Financial Service</t>
  </si>
  <si>
    <t>Genesis Technologies</t>
  </si>
  <si>
    <t>10-2640-300</t>
  </si>
  <si>
    <t>Humanex Ventures LLC</t>
  </si>
  <si>
    <t>Frontline Placement Technologies</t>
  </si>
  <si>
    <t>Health Care Services Corp</t>
  </si>
  <si>
    <t>10-2560-300</t>
  </si>
  <si>
    <t>Emearald Restaurant Ser</t>
  </si>
  <si>
    <t>Get Fresh Produce Inc</t>
  </si>
  <si>
    <t>P&amp;M Distributors</t>
  </si>
  <si>
    <t>Performance Food Service Chicago</t>
  </si>
  <si>
    <t>HUB International Midwest Limited</t>
  </si>
  <si>
    <t>Op-Support-Purchased Services</t>
  </si>
  <si>
    <t>20-2540-300</t>
  </si>
  <si>
    <t>Lakeshore Recycling Systems</t>
  </si>
  <si>
    <t>Johnson Controls</t>
  </si>
  <si>
    <t>Roberts Environmental Control Corp</t>
  </si>
  <si>
    <t>Sonitrol Chicagoland North</t>
  </si>
  <si>
    <t>AT&amp;T</t>
  </si>
  <si>
    <t>Op-Support-Supplies</t>
  </si>
  <si>
    <t>20-2540-400</t>
  </si>
  <si>
    <t>MC Squared Energy LLC</t>
  </si>
  <si>
    <t>Centerpoint Energy Services</t>
  </si>
  <si>
    <t>Village of Glenview</t>
  </si>
  <si>
    <t>Tr-Support-Purchased Services</t>
  </si>
  <si>
    <t>40-2550-300</t>
  </si>
  <si>
    <t>303 Transportation LLC</t>
  </si>
  <si>
    <t>Safeway Transportation Service</t>
  </si>
  <si>
    <t>Septran</t>
  </si>
  <si>
    <t>Tort-Support-Purchased Services</t>
  </si>
  <si>
    <t>80-2300-300</t>
  </si>
  <si>
    <t>Illinois Public Risk Fund</t>
  </si>
  <si>
    <t>Suburban School Coop Ins</t>
  </si>
  <si>
    <t>Glenview CCSD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</si>
</sst>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53" fillId="0" borderId="2" xfId="9" quotePrefix="1" applyNumberFormat="1" applyFont="1" applyFill="1" applyBorder="1" applyAlignment="1" applyProtection="1">
      <alignment horizontal="right" vertical="center"/>
      <protection locked="0"/>
    </xf>
    <xf numFmtId="0" fontId="53" fillId="0" borderId="2" xfId="9" quotePrefix="1" applyFont="1" applyFill="1" applyBorder="1" applyAlignment="1" applyProtection="1">
      <alignment horizontal="right" vertical="top"/>
      <protection locked="0"/>
    </xf>
    <xf numFmtId="0" fontId="73" fillId="0" borderId="0" xfId="0"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467591</xdr:colOff>
          <xdr:row>2</xdr:row>
          <xdr:rowOff>77932</xdr:rowOff>
        </xdr:from>
        <xdr:to>
          <xdr:col>1</xdr:col>
          <xdr:colOff>1331768</xdr:colOff>
          <xdr:row>5</xdr:row>
          <xdr:rowOff>106506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2074</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2074</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5016034004</v>
      </c>
      <c r="B13" s="2037"/>
      <c r="C13" s="2037"/>
      <c r="D13" s="2037"/>
      <c r="E13" s="2037"/>
      <c r="F13" s="2037"/>
      <c r="G13" s="2037"/>
      <c r="H13" s="2038"/>
      <c r="I13" s="31"/>
      <c r="J13" s="30"/>
      <c r="K13" s="28"/>
      <c r="L13" s="30"/>
      <c r="M13" s="30"/>
      <c r="N13" s="30"/>
      <c r="O13" s="30"/>
      <c r="P13" s="30"/>
      <c r="Q13" s="30"/>
      <c r="R13" s="30"/>
      <c r="S13" s="30"/>
      <c r="T13" s="2041" t="s">
        <v>2080</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2075</v>
      </c>
      <c r="B15" s="2039"/>
      <c r="C15" s="2039"/>
      <c r="D15" s="2039"/>
      <c r="E15" s="2039"/>
      <c r="F15" s="2039"/>
      <c r="G15" s="2039"/>
      <c r="H15" s="2040"/>
      <c r="T15" s="2045" t="s">
        <v>2081</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2249</v>
      </c>
      <c r="B17" s="1996"/>
      <c r="C17" s="1996"/>
      <c r="D17" s="1996"/>
      <c r="E17" s="1996"/>
      <c r="F17" s="1996"/>
      <c r="G17" s="1996"/>
      <c r="H17" s="2021"/>
      <c r="T17" s="2052" t="s">
        <v>2082</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2076</v>
      </c>
      <c r="B19" s="1981"/>
      <c r="C19" s="1981"/>
      <c r="D19" s="1981"/>
      <c r="E19" s="1981"/>
      <c r="F19" s="1981"/>
      <c r="G19" s="1981"/>
      <c r="H19" s="1961"/>
      <c r="I19" s="30"/>
      <c r="J19" s="99"/>
      <c r="K19" s="40"/>
      <c r="L19" s="38"/>
      <c r="M19" s="112" t="s">
        <v>333</v>
      </c>
      <c r="P19" s="27"/>
      <c r="Q19" s="27"/>
      <c r="R19" s="27"/>
      <c r="S19" s="31"/>
      <c r="T19" s="2035" t="s">
        <v>2083</v>
      </c>
      <c r="U19" s="1960"/>
      <c r="V19" s="1960"/>
      <c r="W19" s="1961"/>
      <c r="X19" s="2050" t="s">
        <v>2084</v>
      </c>
      <c r="Y19" s="2051"/>
      <c r="Z19" s="2048">
        <v>60087</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2077</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2085</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2087</v>
      </c>
      <c r="U23" s="2058"/>
      <c r="V23" s="2058"/>
      <c r="W23" s="2058"/>
      <c r="X23" s="2062">
        <v>44530</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60025</v>
      </c>
      <c r="B25" s="1960"/>
      <c r="C25" s="1960"/>
      <c r="D25" s="1960"/>
      <c r="E25" s="1960"/>
      <c r="F25" s="1960"/>
      <c r="G25" s="1960"/>
      <c r="H25" s="1961"/>
      <c r="I25" s="113"/>
      <c r="J25" s="1984"/>
      <c r="K25" s="1984"/>
      <c r="L25" s="1984"/>
      <c r="M25" s="1984"/>
      <c r="N25" s="1984"/>
      <c r="O25" s="1984"/>
      <c r="P25" s="1984"/>
      <c r="Q25" s="1984"/>
      <c r="R25" s="1984"/>
      <c r="S25" s="1985"/>
      <c r="T25" s="2055"/>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2088</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2078</v>
      </c>
      <c r="B42" s="1979"/>
      <c r="C42" s="1980"/>
      <c r="D42" s="1978" t="s">
        <v>2079</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1" t="s">
        <v>1902</v>
      </c>
      <c r="B2" s="1550" t="s">
        <v>2034</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69">
        <f>'Revenues 9-14'!C5</f>
        <v>38594843</v>
      </c>
      <c r="C4" s="1546">
        <v>20823196</v>
      </c>
      <c r="D4" s="1772">
        <f>B4-C4</f>
        <v>17771647</v>
      </c>
      <c r="E4" s="1546">
        <v>40129338</v>
      </c>
      <c r="F4" s="1772">
        <f>E4-C4</f>
        <v>19306142</v>
      </c>
    </row>
    <row r="5" spans="1:6" ht="13.7" customHeight="1" x14ac:dyDescent="0.2">
      <c r="A5" s="716" t="s">
        <v>925</v>
      </c>
      <c r="B5" s="1770">
        <f>'Revenues 9-14'!D5</f>
        <v>4341665</v>
      </c>
      <c r="C5" s="585">
        <v>2283603</v>
      </c>
      <c r="D5" s="1773">
        <f t="shared" ref="D5:D18" si="0">B5-C5</f>
        <v>2058062</v>
      </c>
      <c r="E5" s="585">
        <v>4400000</v>
      </c>
      <c r="F5" s="1773">
        <f>E5-C5</f>
        <v>2116397</v>
      </c>
    </row>
    <row r="6" spans="1:6" ht="13.7" customHeight="1" x14ac:dyDescent="0.2">
      <c r="A6" s="716" t="s">
        <v>431</v>
      </c>
      <c r="B6" s="1770">
        <f>'Revenues 9-14'!E5</f>
        <v>3627428</v>
      </c>
      <c r="C6" s="585">
        <v>1937652</v>
      </c>
      <c r="D6" s="1773">
        <f t="shared" si="0"/>
        <v>1689776</v>
      </c>
      <c r="E6" s="585">
        <v>3734863</v>
      </c>
      <c r="F6" s="1773">
        <f t="shared" ref="F6:F18" si="1">E6-C6</f>
        <v>1797211</v>
      </c>
    </row>
    <row r="7" spans="1:6" ht="13.7" customHeight="1" x14ac:dyDescent="0.2">
      <c r="A7" s="716" t="s">
        <v>157</v>
      </c>
      <c r="B7" s="1770">
        <f>'Revenues 9-14'!F5</f>
        <v>2585497</v>
      </c>
      <c r="C7" s="585">
        <v>1494324</v>
      </c>
      <c r="D7" s="1773">
        <f t="shared" si="0"/>
        <v>1091173</v>
      </c>
      <c r="E7" s="585">
        <v>2880000</v>
      </c>
      <c r="F7" s="1773">
        <f t="shared" si="1"/>
        <v>1385676</v>
      </c>
    </row>
    <row r="8" spans="1:6" ht="13.7" customHeight="1" x14ac:dyDescent="0.2">
      <c r="A8" s="716" t="s">
        <v>1241</v>
      </c>
      <c r="B8" s="1770">
        <f>'Revenues 9-14'!G5</f>
        <v>1070165</v>
      </c>
      <c r="C8" s="585">
        <v>578266</v>
      </c>
      <c r="D8" s="1773">
        <f t="shared" si="0"/>
        <v>491899</v>
      </c>
      <c r="E8" s="585">
        <v>1115000</v>
      </c>
      <c r="F8" s="1773">
        <f t="shared" si="1"/>
        <v>536734</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0</v>
      </c>
      <c r="C10" s="585"/>
      <c r="D10" s="1773">
        <f t="shared" si="0"/>
        <v>0</v>
      </c>
      <c r="E10" s="585"/>
      <c r="F10" s="1773">
        <f t="shared" si="1"/>
        <v>0</v>
      </c>
    </row>
    <row r="11" spans="1:6" x14ac:dyDescent="0.2">
      <c r="A11" s="716" t="s">
        <v>429</v>
      </c>
      <c r="B11" s="1770">
        <f>'Revenues 9-14'!J5</f>
        <v>518207</v>
      </c>
      <c r="C11" s="585">
        <v>279986</v>
      </c>
      <c r="D11" s="1773">
        <f t="shared" si="0"/>
        <v>238221</v>
      </c>
      <c r="E11" s="585">
        <v>539000</v>
      </c>
      <c r="F11" s="1773">
        <f t="shared" si="1"/>
        <v>259014</v>
      </c>
    </row>
    <row r="12" spans="1:6" ht="13.7" customHeight="1" x14ac:dyDescent="0.2">
      <c r="A12" s="716" t="s">
        <v>159</v>
      </c>
      <c r="B12" s="1770">
        <f>'Revenues 9-14'!K5</f>
        <v>0</v>
      </c>
      <c r="C12" s="585"/>
      <c r="D12" s="1773">
        <f t="shared" si="0"/>
        <v>0</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0</v>
      </c>
      <c r="C14" s="585"/>
      <c r="D14" s="1773">
        <f t="shared" si="0"/>
        <v>0</v>
      </c>
      <c r="E14" s="585"/>
      <c r="F14" s="1773">
        <f t="shared" si="1"/>
        <v>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828663</v>
      </c>
      <c r="C16" s="585">
        <v>448395</v>
      </c>
      <c r="D16" s="1773">
        <f t="shared" si="0"/>
        <v>380268</v>
      </c>
      <c r="E16" s="585">
        <v>865000</v>
      </c>
      <c r="F16" s="1773">
        <f t="shared" si="1"/>
        <v>416605</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51566468</v>
      </c>
      <c r="C19" s="1771">
        <f>SUM(C4:C18)</f>
        <v>27845422</v>
      </c>
      <c r="D19" s="1771">
        <f>SUM(D4:D18)</f>
        <v>23721046</v>
      </c>
      <c r="E19" s="1771">
        <f>SUM(E4:E18)</f>
        <v>53663201</v>
      </c>
      <c r="F19" s="1771">
        <f>SUM(F4:F18)</f>
        <v>25817779</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4" colorId="8" zoomScale="110" zoomScaleNormal="110" workbookViewId="0">
      <selection activeCell="J42" sqref="J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1902</v>
      </c>
      <c r="B2" s="2229"/>
      <c r="C2" s="1905" t="s">
        <v>2035</v>
      </c>
      <c r="D2" s="724" t="s">
        <v>2042</v>
      </c>
      <c r="E2" s="724" t="s">
        <v>2043</v>
      </c>
      <c r="F2" s="1905" t="s">
        <v>2036</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5">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4" t="s">
        <v>652</v>
      </c>
      <c r="B15" s="2215"/>
      <c r="C15" s="1775">
        <f>SUM(C6:C14)</f>
        <v>0</v>
      </c>
      <c r="D15" s="1775">
        <f>SUM(D6:D14)</f>
        <v>0</v>
      </c>
      <c r="E15" s="1775">
        <f>SUM(E6:E14)</f>
        <v>0</v>
      </c>
      <c r="F15" s="1775">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5">
        <f>SUM(C17+D17)-E17</f>
        <v>0</v>
      </c>
    </row>
    <row r="18" spans="1:11" ht="12.75" customHeight="1" thickTop="1" thickBot="1" x14ac:dyDescent="0.25">
      <c r="A18" s="2209" t="s">
        <v>6</v>
      </c>
      <c r="B18" s="2210"/>
      <c r="C18" s="727"/>
      <c r="D18" s="585"/>
      <c r="E18" s="727"/>
      <c r="F18" s="1775">
        <f>SUM(C18+D18)-E18</f>
        <v>0</v>
      </c>
    </row>
    <row r="19" spans="1:11" ht="12.75" customHeight="1" thickTop="1" thickBot="1" x14ac:dyDescent="0.25">
      <c r="A19" s="2209" t="s">
        <v>406</v>
      </c>
      <c r="B19" s="2210"/>
      <c r="C19" s="727"/>
      <c r="D19" s="585"/>
      <c r="E19" s="727"/>
      <c r="F19" s="1775">
        <f>SUM(C19+D19)-E19</f>
        <v>0</v>
      </c>
    </row>
    <row r="20" spans="1:11" ht="12.75" customHeight="1" thickTop="1" thickBot="1" x14ac:dyDescent="0.25">
      <c r="A20" s="2209" t="s">
        <v>468</v>
      </c>
      <c r="B20" s="2210"/>
      <c r="C20" s="727"/>
      <c r="D20" s="585"/>
      <c r="E20" s="727"/>
      <c r="F20" s="1775">
        <f>SUM(C20+D20)-E20</f>
        <v>0</v>
      </c>
    </row>
    <row r="21" spans="1:11" ht="14.25" thickTop="1" thickBot="1" x14ac:dyDescent="0.25">
      <c r="A21" s="2214" t="s">
        <v>653</v>
      </c>
      <c r="B21" s="2215"/>
      <c r="C21" s="1775">
        <f>SUM(C17:C20)</f>
        <v>0</v>
      </c>
      <c r="D21" s="1775">
        <f>SUM(D17:D20)</f>
        <v>0</v>
      </c>
      <c r="E21" s="1775">
        <f>SUM(E17:E20)</f>
        <v>0</v>
      </c>
      <c r="F21" s="1775">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5">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5">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5">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6" t="s">
        <v>604</v>
      </c>
      <c r="D30" s="1906" t="s">
        <v>1772</v>
      </c>
      <c r="E30" s="1906" t="s">
        <v>2037</v>
      </c>
      <c r="F30" s="1906" t="s">
        <v>2038</v>
      </c>
      <c r="G30" s="1906" t="s">
        <v>2041</v>
      </c>
      <c r="H30" s="1906" t="s">
        <v>2039</v>
      </c>
      <c r="I30" s="1906" t="s">
        <v>2040</v>
      </c>
      <c r="J30" s="1907" t="s">
        <v>2</v>
      </c>
      <c r="K30" s="732"/>
    </row>
    <row r="31" spans="1:11" ht="12" customHeight="1" x14ac:dyDescent="0.2">
      <c r="A31" s="733" t="s">
        <v>2089</v>
      </c>
      <c r="B31" s="734"/>
      <c r="C31" s="735"/>
      <c r="D31" s="736"/>
      <c r="E31" s="735"/>
      <c r="F31" s="735"/>
      <c r="G31" s="735"/>
      <c r="H31" s="735"/>
      <c r="I31" s="1776">
        <f>((E31+F31)-H31)+G31</f>
        <v>0</v>
      </c>
      <c r="J31" s="735">
        <v>-853990</v>
      </c>
      <c r="K31" s="737"/>
    </row>
    <row r="32" spans="1:11" ht="12" customHeight="1" x14ac:dyDescent="0.2">
      <c r="A32" s="733"/>
      <c r="B32" s="734"/>
      <c r="C32" s="735"/>
      <c r="D32" s="736"/>
      <c r="E32" s="735"/>
      <c r="F32" s="735"/>
      <c r="G32" s="735"/>
      <c r="H32" s="735"/>
      <c r="I32" s="1776">
        <f>((E32+F32)-H32)+G32</f>
        <v>0</v>
      </c>
      <c r="J32" s="735"/>
      <c r="K32" s="737"/>
    </row>
    <row r="33" spans="1:11" ht="12" customHeight="1" x14ac:dyDescent="0.2">
      <c r="A33" s="733" t="s">
        <v>2090</v>
      </c>
      <c r="B33" s="734">
        <v>41667</v>
      </c>
      <c r="C33" s="735">
        <v>4820000</v>
      </c>
      <c r="D33" s="1952" t="s">
        <v>2091</v>
      </c>
      <c r="E33" s="735">
        <v>2315000</v>
      </c>
      <c r="F33" s="735"/>
      <c r="G33" s="735"/>
      <c r="H33" s="735">
        <v>1445000</v>
      </c>
      <c r="I33" s="1776">
        <f t="shared" ref="I33:I48" si="1">((E33+F33)-H33)+G33</f>
        <v>870000</v>
      </c>
      <c r="J33" s="735">
        <v>829940</v>
      </c>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t="s">
        <v>2092</v>
      </c>
      <c r="B35" s="734">
        <v>42339</v>
      </c>
      <c r="C35" s="739">
        <v>5445000</v>
      </c>
      <c r="D35" s="1952" t="s">
        <v>999</v>
      </c>
      <c r="E35" s="739">
        <v>5445000</v>
      </c>
      <c r="F35" s="739"/>
      <c r="G35" s="739"/>
      <c r="H35" s="739">
        <v>70000</v>
      </c>
      <c r="I35" s="1776">
        <f t="shared" si="1"/>
        <v>5375000</v>
      </c>
      <c r="J35" s="739">
        <v>4974204</v>
      </c>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t="s">
        <v>2093</v>
      </c>
      <c r="B37" s="734">
        <v>42339</v>
      </c>
      <c r="C37" s="467">
        <v>3725000</v>
      </c>
      <c r="D37" s="741">
        <v>3</v>
      </c>
      <c r="E37" s="467">
        <v>3020000</v>
      </c>
      <c r="F37" s="467"/>
      <c r="G37" s="467"/>
      <c r="H37" s="467">
        <v>720000</v>
      </c>
      <c r="I37" s="1776">
        <f t="shared" si="1"/>
        <v>2300000</v>
      </c>
      <c r="J37" s="467">
        <v>1858921</v>
      </c>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t="s">
        <v>2094</v>
      </c>
      <c r="B39" s="734">
        <v>42675</v>
      </c>
      <c r="C39" s="735">
        <v>5660000</v>
      </c>
      <c r="D39" s="1953" t="s">
        <v>2091</v>
      </c>
      <c r="E39" s="743">
        <v>5480000</v>
      </c>
      <c r="F39" s="743"/>
      <c r="G39" s="743"/>
      <c r="H39" s="743"/>
      <c r="I39" s="1776">
        <f t="shared" si="1"/>
        <v>5480000</v>
      </c>
      <c r="J39" s="744">
        <v>5536378</v>
      </c>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t="s">
        <v>2095</v>
      </c>
      <c r="B41" s="734">
        <v>42675</v>
      </c>
      <c r="C41" s="735">
        <v>2785000</v>
      </c>
      <c r="D41" s="1953" t="s">
        <v>998</v>
      </c>
      <c r="E41" s="743">
        <v>2785000</v>
      </c>
      <c r="F41" s="743"/>
      <c r="G41" s="743"/>
      <c r="H41" s="743">
        <v>670000</v>
      </c>
      <c r="I41" s="1776">
        <f t="shared" si="1"/>
        <v>2115000</v>
      </c>
      <c r="J41" s="744">
        <v>1853881</v>
      </c>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22435000</v>
      </c>
      <c r="D49" s="746"/>
      <c r="E49" s="1776">
        <f t="shared" ref="E49:J49" si="2">SUM(E31:E48)</f>
        <v>19045000</v>
      </c>
      <c r="F49" s="1776">
        <f t="shared" si="2"/>
        <v>0</v>
      </c>
      <c r="G49" s="1776">
        <f t="shared" si="2"/>
        <v>0</v>
      </c>
      <c r="H49" s="1776">
        <f t="shared" si="2"/>
        <v>2905000</v>
      </c>
      <c r="I49" s="1776">
        <f t="shared" si="2"/>
        <v>16140000</v>
      </c>
      <c r="J49" s="1776">
        <f t="shared" si="2"/>
        <v>14199334</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1916</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1917</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7"/>
      <c r="G12" s="1778">
        <f>SUM(G5:G11)</f>
        <v>0</v>
      </c>
      <c r="H12" s="1778">
        <f>SUM(H5:H11)</f>
        <v>0</v>
      </c>
      <c r="I12" s="1778">
        <f>SUM(I5:I11)</f>
        <v>0</v>
      </c>
      <c r="J12" s="1778">
        <f>SUM(J5:J11)</f>
        <v>0</v>
      </c>
      <c r="K12" s="1778">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1913</v>
      </c>
      <c r="B19" s="2244"/>
      <c r="C19" s="2244"/>
      <c r="D19" s="2244"/>
      <c r="E19" s="2245"/>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79"/>
      <c r="G21" s="793"/>
      <c r="H21" s="797"/>
      <c r="I21" s="797"/>
      <c r="J21" s="1780">
        <f>SUM(J18:J20)</f>
        <v>0</v>
      </c>
      <c r="K21" s="794"/>
    </row>
    <row r="22" spans="1:11" ht="13.5" thickTop="1" x14ac:dyDescent="0.2">
      <c r="A22" s="2236" t="s">
        <v>1919</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1"/>
      <c r="G23" s="1778">
        <f>SUM(G14:G16,G21,G22)</f>
        <v>0</v>
      </c>
      <c r="H23" s="1778">
        <f>SUM(H14:H16,H21,H22)</f>
        <v>0</v>
      </c>
      <c r="I23" s="1778">
        <f>SUM(I14:I16,I21,I22)</f>
        <v>0</v>
      </c>
      <c r="J23" s="1778">
        <f>SUM(J14:J16,J21,J22)</f>
        <v>0</v>
      </c>
      <c r="K23" s="1778">
        <f>SUM(K14:K16,K21,K22)</f>
        <v>0</v>
      </c>
    </row>
    <row r="24" spans="1:11" ht="14.25" thickTop="1" thickBot="1" x14ac:dyDescent="0.25">
      <c r="A24" s="2266" t="s">
        <v>2023</v>
      </c>
      <c r="B24" s="2265"/>
      <c r="C24" s="2265"/>
      <c r="D24" s="2265"/>
      <c r="E24" s="2265"/>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2033</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194077</v>
      </c>
      <c r="D5" s="842"/>
      <c r="E5" s="842"/>
      <c r="F5" s="1780">
        <f>(C5+D5)-E5</f>
        <v>194077</v>
      </c>
      <c r="G5" s="838"/>
      <c r="H5" s="843"/>
      <c r="I5" s="843"/>
      <c r="J5" s="843"/>
      <c r="K5" s="794"/>
      <c r="L5" s="1789">
        <f>F5-K5</f>
        <v>194077</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101808286</v>
      </c>
      <c r="D8" s="845">
        <v>5143981</v>
      </c>
      <c r="E8" s="845"/>
      <c r="F8" s="1780">
        <f>(C8+D8)-E8</f>
        <v>106952267</v>
      </c>
      <c r="G8" s="844">
        <v>50</v>
      </c>
      <c r="H8" s="766">
        <v>35854677</v>
      </c>
      <c r="I8" s="766">
        <v>1944520</v>
      </c>
      <c r="J8" s="766"/>
      <c r="K8" s="1789">
        <f>(H8+I8)-J8</f>
        <v>37799197</v>
      </c>
      <c r="L8" s="1789">
        <f>F8-K8</f>
        <v>69153070</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3566686</v>
      </c>
      <c r="D10" s="847">
        <v>253000</v>
      </c>
      <c r="E10" s="847"/>
      <c r="F10" s="1784">
        <f>(C10+D10)-E10</f>
        <v>3819686</v>
      </c>
      <c r="G10" s="844">
        <v>20</v>
      </c>
      <c r="H10" s="848">
        <v>2772143</v>
      </c>
      <c r="I10" s="848">
        <v>96520</v>
      </c>
      <c r="J10" s="848"/>
      <c r="K10" s="1789">
        <f>(H10+I10)-J10</f>
        <v>2868663</v>
      </c>
      <c r="L10" s="1789">
        <f>F10-K10</f>
        <v>951023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28273219</v>
      </c>
      <c r="D12" s="845">
        <f>1401806</f>
        <v>1401806</v>
      </c>
      <c r="E12" s="845"/>
      <c r="F12" s="1780">
        <f>(C12+D12)-E12</f>
        <v>29675025</v>
      </c>
      <c r="G12" s="844">
        <v>10</v>
      </c>
      <c r="H12" s="766">
        <v>22492197</v>
      </c>
      <c r="I12" s="766">
        <v>1172900</v>
      </c>
      <c r="J12" s="766"/>
      <c r="K12" s="1789">
        <f>(H12+I12)-J12</f>
        <v>23665097</v>
      </c>
      <c r="L12" s="1789">
        <f>F12-K12</f>
        <v>6009928</v>
      </c>
    </row>
    <row r="13" spans="1:14" ht="14.25" thickTop="1" thickBot="1" x14ac:dyDescent="0.25">
      <c r="A13" s="849" t="s">
        <v>1184</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133842268</v>
      </c>
      <c r="D16" s="1780">
        <f>SUM(D3,D5:D6,D8:D10,D12:D15)</f>
        <v>6798787</v>
      </c>
      <c r="E16" s="1780">
        <f>SUM(E3,E5:E6,E8:E10,E12:E15)</f>
        <v>0</v>
      </c>
      <c r="F16" s="1780">
        <f>SUM(F3,F5:F6,F8:F10,F12:F15)</f>
        <v>140641055</v>
      </c>
      <c r="G16" s="844"/>
      <c r="H16" s="1780">
        <f>SUM(H3,H6,H8:H10,H12:H14,)</f>
        <v>61119017</v>
      </c>
      <c r="I16" s="1780">
        <f>SUM(I3,I6,I8:I10,I12:I14,)</f>
        <v>3213940</v>
      </c>
      <c r="J16" s="1780">
        <f>SUM(J3,J6,J8:J10,J12:J14,)</f>
        <v>0</v>
      </c>
      <c r="K16" s="1780">
        <f>(H16+I16)-J16</f>
        <v>64332957</v>
      </c>
      <c r="L16" s="1780">
        <f>F16-K16</f>
        <v>76308098</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3213940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9" activePane="bottomLeft" state="frozen"/>
      <selection activeCell="A47" sqref="A47"/>
      <selection pane="bottomLeft" activeCell="B99" sqref="B9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56944073</v>
      </c>
      <c r="G8" s="866"/>
    </row>
    <row r="9" spans="1:7" x14ac:dyDescent="0.2">
      <c r="A9" s="870" t="s">
        <v>480</v>
      </c>
      <c r="B9" s="871" t="s">
        <v>1986</v>
      </c>
      <c r="C9" s="872"/>
      <c r="D9" s="870" t="s">
        <v>522</v>
      </c>
      <c r="E9" s="869"/>
      <c r="F9" s="1931">
        <f>'Expenditures 15-22'!K151</f>
        <v>4933298</v>
      </c>
      <c r="G9" s="873"/>
    </row>
    <row r="10" spans="1:7" x14ac:dyDescent="0.2">
      <c r="A10" s="870" t="s">
        <v>520</v>
      </c>
      <c r="B10" s="871" t="s">
        <v>1987</v>
      </c>
      <c r="C10" s="872"/>
      <c r="D10" s="870" t="s">
        <v>522</v>
      </c>
      <c r="E10" s="869"/>
      <c r="F10" s="1931">
        <f>'Expenditures 15-22'!K174</f>
        <v>3535192</v>
      </c>
      <c r="G10" s="873"/>
    </row>
    <row r="11" spans="1:7" x14ac:dyDescent="0.2">
      <c r="A11" s="870" t="s">
        <v>481</v>
      </c>
      <c r="B11" s="871" t="s">
        <v>1988</v>
      </c>
      <c r="C11" s="872"/>
      <c r="D11" s="870" t="s">
        <v>522</v>
      </c>
      <c r="E11" s="869"/>
      <c r="F11" s="1931">
        <f>'Expenditures 15-22'!K210</f>
        <v>3895892</v>
      </c>
      <c r="G11" s="873"/>
    </row>
    <row r="12" spans="1:7" x14ac:dyDescent="0.2">
      <c r="A12" s="870" t="s">
        <v>482</v>
      </c>
      <c r="B12" s="871" t="s">
        <v>1989</v>
      </c>
      <c r="C12" s="872"/>
      <c r="D12" s="870" t="s">
        <v>522</v>
      </c>
      <c r="E12" s="869"/>
      <c r="F12" s="1931">
        <f>'Expenditures 15-22'!K295</f>
        <v>1907514</v>
      </c>
      <c r="G12" s="873"/>
    </row>
    <row r="13" spans="1:7" x14ac:dyDescent="0.2">
      <c r="A13" s="870" t="s">
        <v>108</v>
      </c>
      <c r="B13" s="871" t="s">
        <v>1990</v>
      </c>
      <c r="C13" s="872"/>
      <c r="D13" s="870" t="s">
        <v>522</v>
      </c>
      <c r="E13" s="869"/>
      <c r="F13" s="1931">
        <f>'Expenditures 15-22'!K342</f>
        <v>346336</v>
      </c>
      <c r="G13" s="874"/>
    </row>
    <row r="14" spans="1:7" ht="12" customHeight="1" thickBot="1" x14ac:dyDescent="0.25">
      <c r="A14" s="1790"/>
      <c r="B14" s="1791"/>
      <c r="C14" s="1792"/>
      <c r="D14" s="1793" t="s">
        <v>522</v>
      </c>
      <c r="E14" s="1794" t="s">
        <v>1015</v>
      </c>
      <c r="F14" s="1795">
        <f>SUM(F8:F13)</f>
        <v>71562305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950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266485</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4040074</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27279</v>
      </c>
      <c r="G52" s="866"/>
    </row>
    <row r="53" spans="1:7" x14ac:dyDescent="0.2">
      <c r="A53" s="870" t="s">
        <v>479</v>
      </c>
      <c r="B53" s="870" t="s">
        <v>1551</v>
      </c>
      <c r="C53" s="890">
        <f>'Expenditures 15-22'!B102</f>
        <v>4000</v>
      </c>
      <c r="D53" s="889" t="str">
        <f>'Expenditures 15-22'!A102</f>
        <v>Total Payments to Other Govt Units</v>
      </c>
      <c r="E53" s="869"/>
      <c r="F53" s="1935">
        <f>'Expenditures 15-22'!K102</f>
        <v>883665</v>
      </c>
      <c r="G53" s="866"/>
    </row>
    <row r="54" spans="1:7" x14ac:dyDescent="0.2">
      <c r="A54" s="870" t="s">
        <v>479</v>
      </c>
      <c r="B54" s="870" t="s">
        <v>1552</v>
      </c>
      <c r="C54" s="890" t="s">
        <v>1039</v>
      </c>
      <c r="D54" s="886" t="s">
        <v>1157</v>
      </c>
      <c r="E54" s="869"/>
      <c r="F54" s="1935">
        <f>'Expenditures 15-22'!G114</f>
        <v>1185741</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5">
        <f>'Expenditures 15-22'!K139</f>
        <v>0</v>
      </c>
      <c r="G57" s="866"/>
    </row>
    <row r="58" spans="1:7" x14ac:dyDescent="0.2">
      <c r="A58" s="870" t="s">
        <v>480</v>
      </c>
      <c r="B58" s="870" t="s">
        <v>1992</v>
      </c>
      <c r="C58" s="887" t="s">
        <v>1039</v>
      </c>
      <c r="D58" s="886" t="s">
        <v>1157</v>
      </c>
      <c r="E58" s="869"/>
      <c r="F58" s="1937">
        <f>'Expenditures 15-22'!G151</f>
        <v>651381</v>
      </c>
      <c r="G58" s="866"/>
    </row>
    <row r="59" spans="1:7" x14ac:dyDescent="0.2">
      <c r="A59" s="894" t="s">
        <v>480</v>
      </c>
      <c r="B59" s="857" t="s">
        <v>1993</v>
      </c>
      <c r="C59" s="895" t="s">
        <v>1039</v>
      </c>
      <c r="D59" s="857" t="s">
        <v>309</v>
      </c>
      <c r="F59" s="1938">
        <f>'Expenditures 15-22'!I151</f>
        <v>0</v>
      </c>
      <c r="G59" s="866"/>
    </row>
    <row r="60" spans="1:7" x14ac:dyDescent="0.2">
      <c r="A60" s="894" t="s">
        <v>520</v>
      </c>
      <c r="B60" s="857" t="s">
        <v>1994</v>
      </c>
      <c r="C60" s="895">
        <v>4000</v>
      </c>
      <c r="D60" s="857" t="s">
        <v>330</v>
      </c>
      <c r="F60" s="1936">
        <f>'Expenditures 15-22'!K160</f>
        <v>0</v>
      </c>
      <c r="G60" s="866"/>
    </row>
    <row r="61" spans="1:7" x14ac:dyDescent="0.2">
      <c r="A61" s="896" t="s">
        <v>520</v>
      </c>
      <c r="B61" s="896" t="s">
        <v>1995</v>
      </c>
      <c r="C61" s="897" t="str">
        <f>'Expenditures 15-22'!B170</f>
        <v>5300</v>
      </c>
      <c r="D61" s="898" t="s">
        <v>329</v>
      </c>
      <c r="E61" s="880"/>
      <c r="F61" s="1935">
        <f>'Expenditures 15-22'!K170</f>
        <v>2905000</v>
      </c>
      <c r="G61" s="866"/>
    </row>
    <row r="62" spans="1:7" x14ac:dyDescent="0.2">
      <c r="A62" s="870" t="s">
        <v>481</v>
      </c>
      <c r="B62" s="870" t="s">
        <v>1996</v>
      </c>
      <c r="C62" s="887">
        <f>'Expenditures 15-22'!B185</f>
        <v>3000</v>
      </c>
      <c r="D62" s="877" t="s">
        <v>469</v>
      </c>
      <c r="E62" s="869"/>
      <c r="F62" s="1935">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1998</v>
      </c>
      <c r="C64" s="897" t="str">
        <f>'Expenditures 15-22'!B206</f>
        <v>5300</v>
      </c>
      <c r="D64" s="893" t="s">
        <v>329</v>
      </c>
      <c r="E64" s="869"/>
      <c r="F64" s="1935">
        <f>'Expenditures 15-22'!K206</f>
        <v>0</v>
      </c>
      <c r="G64" s="866"/>
    </row>
    <row r="65" spans="1:8" x14ac:dyDescent="0.2">
      <c r="A65" s="870" t="s">
        <v>481</v>
      </c>
      <c r="B65" s="870" t="s">
        <v>1999</v>
      </c>
      <c r="C65" s="887" t="s">
        <v>1039</v>
      </c>
      <c r="D65" s="886" t="s">
        <v>1157</v>
      </c>
      <c r="E65" s="869"/>
      <c r="F65" s="1935">
        <f>'Expenditures 15-22'!G210</f>
        <v>805</v>
      </c>
      <c r="G65" s="866"/>
    </row>
    <row r="66" spans="1:8" x14ac:dyDescent="0.2">
      <c r="A66" s="870" t="s">
        <v>481</v>
      </c>
      <c r="B66" s="870" t="s">
        <v>2000</v>
      </c>
      <c r="C66" s="887" t="s">
        <v>1039</v>
      </c>
      <c r="D66" s="886" t="s">
        <v>309</v>
      </c>
      <c r="E66" s="869"/>
      <c r="F66" s="1935">
        <f>'Expenditures 15-22'!I210</f>
        <v>0</v>
      </c>
      <c r="G66" s="866"/>
    </row>
    <row r="67" spans="1:8" x14ac:dyDescent="0.2">
      <c r="A67" s="870" t="s">
        <v>482</v>
      </c>
      <c r="B67" s="870" t="s">
        <v>2001</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2003</v>
      </c>
      <c r="C70" s="887">
        <f>'Expenditures 15-22'!B221</f>
        <v>1300</v>
      </c>
      <c r="D70" s="888" t="str">
        <f>'Expenditures 15-22'!A221</f>
        <v>Adult/Continuing Education Programs</v>
      </c>
      <c r="E70" s="869"/>
      <c r="F70" s="1935">
        <f>'Expenditures 15-22'!K221</f>
        <v>0</v>
      </c>
      <c r="G70" s="866"/>
    </row>
    <row r="71" spans="1:8" x14ac:dyDescent="0.2">
      <c r="A71" s="870" t="s">
        <v>482</v>
      </c>
      <c r="B71" s="870" t="s">
        <v>2004</v>
      </c>
      <c r="C71" s="887">
        <f>'Expenditures 15-22'!B224</f>
        <v>1600</v>
      </c>
      <c r="D71" s="888" t="str">
        <f>'Expenditures 15-22'!A224</f>
        <v>Summer School Programs</v>
      </c>
      <c r="E71" s="869"/>
      <c r="F71" s="1935">
        <f>'Expenditures 15-22'!K224</f>
        <v>12336</v>
      </c>
      <c r="G71" s="866"/>
    </row>
    <row r="72" spans="1:8" x14ac:dyDescent="0.2">
      <c r="A72" s="870" t="s">
        <v>482</v>
      </c>
      <c r="B72" s="870" t="s">
        <v>2005</v>
      </c>
      <c r="C72" s="887">
        <f>'Expenditures 15-22'!B280</f>
        <v>3000</v>
      </c>
      <c r="D72" s="877" t="s">
        <v>469</v>
      </c>
      <c r="E72" s="869"/>
      <c r="F72" s="1935">
        <f>'Expenditures 15-22'!K280</f>
        <v>115</v>
      </c>
      <c r="G72" s="866"/>
    </row>
    <row r="73" spans="1:8" x14ac:dyDescent="0.2">
      <c r="A73" s="870" t="s">
        <v>482</v>
      </c>
      <c r="B73" s="870" t="s">
        <v>2006</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2007</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9973831</v>
      </c>
      <c r="G76" s="866"/>
    </row>
    <row r="77" spans="1:8" s="894" customFormat="1" ht="12" customHeight="1" thickTop="1" thickBot="1" x14ac:dyDescent="0.25">
      <c r="A77" s="1799"/>
      <c r="B77" s="1796"/>
      <c r="C77" s="1792"/>
      <c r="D77" s="1797" t="s">
        <v>2009</v>
      </c>
      <c r="E77" s="1794"/>
      <c r="F77" s="1800">
        <f>(F14-F76)</f>
        <v>61588474</v>
      </c>
      <c r="G77" s="870"/>
    </row>
    <row r="78" spans="1:8" s="894" customFormat="1" ht="12" customHeight="1" thickTop="1" x14ac:dyDescent="0.2">
      <c r="A78" s="1801"/>
      <c r="B78" s="1796"/>
      <c r="C78" s="1792"/>
      <c r="D78" s="1797" t="s">
        <v>2056</v>
      </c>
      <c r="E78" s="1794"/>
      <c r="F78" s="899">
        <v>4480.28</v>
      </c>
      <c r="G78" s="900"/>
      <c r="H78" s="870"/>
    </row>
    <row r="79" spans="1:8" s="894" customFormat="1" ht="12" customHeight="1" thickBot="1" x14ac:dyDescent="0.25">
      <c r="A79" s="1802"/>
      <c r="B79" s="1796"/>
      <c r="C79" s="1792"/>
      <c r="D79" s="1797" t="s">
        <v>2010</v>
      </c>
      <c r="E79" s="1794" t="s">
        <v>1015</v>
      </c>
      <c r="F79" s="1803">
        <f>IF(F78&gt;0,F77/F78," Complete Line 78")</f>
        <v>13746.568071638381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61832</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893795</v>
      </c>
      <c r="G94" s="913"/>
    </row>
    <row r="95" spans="1:7" x14ac:dyDescent="0.2">
      <c r="A95" s="909" t="s">
        <v>142</v>
      </c>
      <c r="B95" s="909" t="s">
        <v>177</v>
      </c>
      <c r="C95" s="911">
        <v>1700</v>
      </c>
      <c r="D95" s="919" t="str">
        <f>'Revenues 9-14'!A82</f>
        <v>Total District/School Activity Income</v>
      </c>
      <c r="E95" s="907"/>
      <c r="F95" s="1809">
        <f>SUM('Revenues 9-14'!C82,'Revenues 9-14'!D82)</f>
        <v>160389</v>
      </c>
      <c r="G95" s="913"/>
    </row>
    <row r="96" spans="1:7" x14ac:dyDescent="0.2">
      <c r="A96" s="909" t="s">
        <v>479</v>
      </c>
      <c r="B96" s="909" t="s">
        <v>178</v>
      </c>
      <c r="C96" s="911">
        <f>'Revenues 9-14'!B84</f>
        <v>1811</v>
      </c>
      <c r="D96" s="912" t="str">
        <f>'Revenues 9-14'!A84</f>
        <v>Rentals - Regular Textbooks</v>
      </c>
      <c r="E96" s="907"/>
      <c r="F96" s="1809">
        <f>'Revenues 9-14'!C84</f>
        <v>402303</v>
      </c>
      <c r="G96" s="913"/>
    </row>
    <row r="97" spans="1:7" x14ac:dyDescent="0.2">
      <c r="A97" s="909" t="s">
        <v>479</v>
      </c>
      <c r="B97" s="909" t="s">
        <v>179</v>
      </c>
      <c r="C97" s="911">
        <f>'Revenues 9-14'!B87</f>
        <v>1819</v>
      </c>
      <c r="D97" s="912" t="str">
        <f>'Revenues 9-14'!A87</f>
        <v>Rentals - Other (Describe &amp; Itemize)</v>
      </c>
      <c r="E97" s="907"/>
      <c r="F97" s="1809">
        <f>'Revenues 9-14'!C87</f>
        <v>408943</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73655</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36517</v>
      </c>
      <c r="G104" s="913"/>
    </row>
    <row r="105" spans="1:7" x14ac:dyDescent="0.2">
      <c r="A105" s="909" t="s">
        <v>524</v>
      </c>
      <c r="B105" s="909" t="s">
        <v>842</v>
      </c>
      <c r="C105" s="914">
        <v>3100</v>
      </c>
      <c r="D105" s="920" t="str">
        <f>'Revenues 9-14'!A131</f>
        <v>Total Special Education</v>
      </c>
      <c r="E105" s="907"/>
      <c r="F105" s="1809">
        <f>SUM('Revenues 9-14'!C131:D131,'Revenues 9-14'!F131)</f>
        <v>1210742</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183264</v>
      </c>
      <c r="G107" s="913"/>
    </row>
    <row r="108" spans="1:7" x14ac:dyDescent="0.2">
      <c r="A108" s="909" t="s">
        <v>479</v>
      </c>
      <c r="B108" s="909" t="s">
        <v>844</v>
      </c>
      <c r="C108" s="921">
        <f>'Revenues 9-14'!B145</f>
        <v>3360</v>
      </c>
      <c r="D108" s="912" t="str">
        <f>'Revenues 9-14'!A145</f>
        <v>State Free Lunch &amp; Breakfast</v>
      </c>
      <c r="E108" s="907"/>
      <c r="F108" s="1809">
        <f>'Revenues 9-14'!C145</f>
        <v>7150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2025324</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3065</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557512</v>
      </c>
      <c r="G129" s="931"/>
    </row>
    <row r="130" spans="1:7" x14ac:dyDescent="0.2">
      <c r="A130" s="928" t="s">
        <v>689</v>
      </c>
      <c r="B130" s="928" t="s">
        <v>804</v>
      </c>
      <c r="C130" s="933">
        <v>4300</v>
      </c>
      <c r="D130" s="934" t="str">
        <f>'Revenues 9-14'!A211</f>
        <v>Total Title I</v>
      </c>
      <c r="E130" s="907"/>
      <c r="F130" s="1809">
        <f>SUM('Revenues 9-14'!C211,'Revenues 9-14'!D211,'Revenues 9-14'!F211,'Revenues 9-14'!G211)</f>
        <v>953053</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867454</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557956</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110013</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42506</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80347</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202249</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2055</v>
      </c>
      <c r="C175" s="1942">
        <v>3100</v>
      </c>
      <c r="D175" s="1943" t="s">
        <v>2058</v>
      </c>
      <c r="E175" s="907"/>
      <c r="F175" s="1927">
        <v>1688556</v>
      </c>
      <c r="G175" s="928"/>
    </row>
    <row r="176" spans="1:7" x14ac:dyDescent="0.2">
      <c r="A176" s="1940" t="s">
        <v>685</v>
      </c>
      <c r="B176" s="1941" t="s">
        <v>2055</v>
      </c>
      <c r="C176" s="1942">
        <v>3300</v>
      </c>
      <c r="D176" s="1943" t="s">
        <v>2059</v>
      </c>
      <c r="E176" s="907"/>
      <c r="F176" s="1927">
        <v>189514</v>
      </c>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10716139</v>
      </c>
    </row>
    <row r="179" spans="1:7" ht="12" customHeight="1" x14ac:dyDescent="0.2">
      <c r="A179" s="1790"/>
      <c r="B179" s="1804"/>
      <c r="C179" s="1805"/>
      <c r="D179" s="1806" t="s">
        <v>2012</v>
      </c>
      <c r="E179" s="1807"/>
      <c r="F179" s="1809">
        <f>'PCTC-OEPP 27-28'!F77-F178</f>
        <v>50872335</v>
      </c>
    </row>
    <row r="180" spans="1:7" ht="12" customHeight="1" x14ac:dyDescent="0.2">
      <c r="A180" s="1790"/>
      <c r="B180" s="1804"/>
      <c r="C180" s="1805"/>
      <c r="D180" s="1806" t="s">
        <v>1921</v>
      </c>
      <c r="E180" s="1807"/>
      <c r="F180" s="1809">
        <f>'Cap Outlay Deprec 26'!I18</f>
        <v>3213940</v>
      </c>
    </row>
    <row r="181" spans="1:7" ht="12" customHeight="1" x14ac:dyDescent="0.2">
      <c r="A181" s="1790"/>
      <c r="B181" s="1804"/>
      <c r="C181" s="1805"/>
      <c r="D181" s="1806" t="s">
        <v>2013</v>
      </c>
      <c r="E181" s="1807"/>
      <c r="F181" s="1809">
        <f>F179+F180</f>
        <v>54086275</v>
      </c>
    </row>
    <row r="182" spans="1:7" ht="12" customHeight="1" x14ac:dyDescent="0.2">
      <c r="A182" s="1790"/>
      <c r="B182" s="1810"/>
      <c r="C182" s="1805"/>
      <c r="D182" s="1806" t="str">
        <f>D78</f>
        <v>9 Month ADA from District Average Daily Attendance/Prior General State Aid Inquiry 2017-2018</v>
      </c>
      <c r="E182" s="1807"/>
      <c r="F182" s="1811">
        <f>'PCTC-OEPP 27-28'!F78</f>
        <v>4480.28</v>
      </c>
      <c r="G182" s="931"/>
    </row>
    <row r="183" spans="1:7" ht="12" customHeight="1" thickBot="1" x14ac:dyDescent="0.25">
      <c r="A183" s="1790"/>
      <c r="B183" s="1810"/>
      <c r="C183" s="1805"/>
      <c r="D183" s="1806" t="s">
        <v>2014</v>
      </c>
      <c r="E183" s="1807" t="s">
        <v>1626</v>
      </c>
      <c r="F183" s="1812">
        <f>F181/F182</f>
        <v>12072.074736400404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50"/>
      <c r="D188" s="931"/>
      <c r="E188" s="950"/>
      <c r="F188" s="931"/>
      <c r="G188" s="931"/>
    </row>
    <row r="189" spans="1:7" x14ac:dyDescent="0.2">
      <c r="A189" s="1948" t="s">
        <v>2061</v>
      </c>
      <c r="B189" s="1949"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1938</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1" t="s">
        <v>1939</v>
      </c>
      <c r="B14" s="1682"/>
      <c r="C14" s="1682"/>
      <c r="D14" s="1682"/>
      <c r="E14" s="1682"/>
      <c r="F14" s="1682"/>
      <c r="G14" s="1683"/>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2172</v>
      </c>
      <c r="B17" s="1956" t="s">
        <v>2173</v>
      </c>
      <c r="C17" s="1957" t="s">
        <v>2174</v>
      </c>
      <c r="D17" s="1865">
        <v>34038</v>
      </c>
      <c r="E17" s="1562">
        <f t="shared" ref="E17:E141" si="1">IF(D17&lt;=25000,D17,IF(D17&gt;25000,25000,0))</f>
        <v>25000</v>
      </c>
      <c r="F17" s="1813">
        <f t="shared" si="0"/>
        <v>25000</v>
      </c>
      <c r="G17" s="1814">
        <f>IF(F17=0,0,D17-F17)</f>
        <v>9038</v>
      </c>
      <c r="H17" s="1669"/>
    </row>
    <row r="18" spans="1:8" x14ac:dyDescent="0.25">
      <c r="A18" s="1955" t="s">
        <v>2175</v>
      </c>
      <c r="B18" s="1956" t="s">
        <v>2176</v>
      </c>
      <c r="C18" s="1957" t="s">
        <v>2177</v>
      </c>
      <c r="D18" s="1865">
        <v>37561</v>
      </c>
      <c r="E18" s="1562">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12561</v>
      </c>
    </row>
    <row r="19" spans="1:8" x14ac:dyDescent="0.25">
      <c r="A19" s="1955" t="s">
        <v>2175</v>
      </c>
      <c r="B19" s="1956" t="s">
        <v>2176</v>
      </c>
      <c r="C19" s="1957" t="s">
        <v>2178</v>
      </c>
      <c r="D19" s="1865">
        <v>35562</v>
      </c>
      <c r="E19" s="1562">
        <f t="shared" si="2"/>
        <v>25000</v>
      </c>
      <c r="F19" s="1813">
        <f t="shared" si="3"/>
        <v>25000</v>
      </c>
      <c r="G19" s="1814">
        <f t="shared" si="4"/>
        <v>10562</v>
      </c>
    </row>
    <row r="20" spans="1:8" x14ac:dyDescent="0.25">
      <c r="A20" s="1955" t="s">
        <v>2172</v>
      </c>
      <c r="B20" s="1956" t="s">
        <v>2173</v>
      </c>
      <c r="C20" s="1957" t="s">
        <v>2179</v>
      </c>
      <c r="D20" s="1865">
        <v>686074</v>
      </c>
      <c r="E20" s="1562">
        <f t="shared" si="2"/>
        <v>25000</v>
      </c>
      <c r="F20" s="1813">
        <f t="shared" si="3"/>
        <v>25000</v>
      </c>
      <c r="G20" s="1814">
        <f t="shared" si="4"/>
        <v>661074</v>
      </c>
    </row>
    <row r="21" spans="1:8" x14ac:dyDescent="0.25">
      <c r="A21" s="1955" t="s">
        <v>2175</v>
      </c>
      <c r="B21" s="1956" t="s">
        <v>2176</v>
      </c>
      <c r="C21" s="1957" t="s">
        <v>2180</v>
      </c>
      <c r="D21" s="1865">
        <v>162038</v>
      </c>
      <c r="E21" s="1562">
        <f t="shared" si="2"/>
        <v>25000</v>
      </c>
      <c r="F21" s="1813">
        <f t="shared" si="3"/>
        <v>25000</v>
      </c>
      <c r="G21" s="1814">
        <f t="shared" si="4"/>
        <v>137038</v>
      </c>
    </row>
    <row r="22" spans="1:8" x14ac:dyDescent="0.25">
      <c r="A22" s="1955" t="s">
        <v>2172</v>
      </c>
      <c r="B22" s="1956" t="s">
        <v>2173</v>
      </c>
      <c r="C22" s="1957" t="s">
        <v>2181</v>
      </c>
      <c r="D22" s="1865">
        <v>42320</v>
      </c>
      <c r="E22" s="1562">
        <f t="shared" si="2"/>
        <v>25000</v>
      </c>
      <c r="F22" s="1813">
        <f t="shared" si="3"/>
        <v>25000</v>
      </c>
      <c r="G22" s="1814">
        <f t="shared" si="4"/>
        <v>17320</v>
      </c>
    </row>
    <row r="23" spans="1:8" x14ac:dyDescent="0.25">
      <c r="A23" s="1955" t="s">
        <v>2175</v>
      </c>
      <c r="B23" s="1956" t="s">
        <v>2176</v>
      </c>
      <c r="C23" s="1957" t="s">
        <v>2182</v>
      </c>
      <c r="D23" s="1865">
        <v>44701</v>
      </c>
      <c r="E23" s="1562">
        <f t="shared" si="2"/>
        <v>25000</v>
      </c>
      <c r="F23" s="1813">
        <f t="shared" si="3"/>
        <v>25000</v>
      </c>
      <c r="G23" s="1814">
        <f t="shared" si="4"/>
        <v>19701</v>
      </c>
    </row>
    <row r="24" spans="1:8" x14ac:dyDescent="0.25">
      <c r="A24" s="1955" t="s">
        <v>2175</v>
      </c>
      <c r="B24" s="1956" t="s">
        <v>2176</v>
      </c>
      <c r="C24" s="1957" t="s">
        <v>2183</v>
      </c>
      <c r="D24" s="1865">
        <v>29179</v>
      </c>
      <c r="E24" s="1562">
        <f t="shared" si="2"/>
        <v>25000</v>
      </c>
      <c r="F24" s="1813">
        <f t="shared" si="3"/>
        <v>25000</v>
      </c>
      <c r="G24" s="1814">
        <f t="shared" si="4"/>
        <v>4179</v>
      </c>
    </row>
    <row r="25" spans="1:8" x14ac:dyDescent="0.25">
      <c r="A25" s="1955" t="s">
        <v>2184</v>
      </c>
      <c r="B25" s="1956" t="s">
        <v>1928</v>
      </c>
      <c r="C25" s="1957" t="s">
        <v>2185</v>
      </c>
      <c r="D25" s="1865">
        <v>76598</v>
      </c>
      <c r="E25" s="1562">
        <f t="shared" si="2"/>
        <v>25000</v>
      </c>
      <c r="F25" s="1813">
        <f t="shared" si="3"/>
        <v>25000</v>
      </c>
      <c r="G25" s="1814">
        <f t="shared" si="4"/>
        <v>51598</v>
      </c>
    </row>
    <row r="26" spans="1:8" x14ac:dyDescent="0.25">
      <c r="A26" s="1955" t="s">
        <v>2184</v>
      </c>
      <c r="B26" s="1956" t="s">
        <v>1928</v>
      </c>
      <c r="C26" s="1957" t="s">
        <v>2186</v>
      </c>
      <c r="D26" s="1865">
        <v>296536</v>
      </c>
      <c r="E26" s="1562">
        <f t="shared" si="2"/>
        <v>25000</v>
      </c>
      <c r="F26" s="1813">
        <f t="shared" si="3"/>
        <v>25000</v>
      </c>
      <c r="G26" s="1814">
        <f t="shared" si="4"/>
        <v>271536</v>
      </c>
    </row>
    <row r="27" spans="1:8" x14ac:dyDescent="0.25">
      <c r="A27" s="1955" t="s">
        <v>2184</v>
      </c>
      <c r="B27" s="1956" t="s">
        <v>1928</v>
      </c>
      <c r="C27" s="1957" t="s">
        <v>2187</v>
      </c>
      <c r="D27" s="1865">
        <v>244627</v>
      </c>
      <c r="E27" s="1562">
        <f t="shared" si="2"/>
        <v>25000</v>
      </c>
      <c r="F27" s="1813">
        <f t="shared" si="3"/>
        <v>25000</v>
      </c>
      <c r="G27" s="1814">
        <f t="shared" si="4"/>
        <v>219627</v>
      </c>
    </row>
    <row r="28" spans="1:8" x14ac:dyDescent="0.25">
      <c r="A28" s="1955" t="s">
        <v>2184</v>
      </c>
      <c r="B28" s="1956" t="s">
        <v>1928</v>
      </c>
      <c r="C28" s="1957" t="s">
        <v>2188</v>
      </c>
      <c r="D28" s="1865">
        <v>47066</v>
      </c>
      <c r="E28" s="1562">
        <f t="shared" si="2"/>
        <v>25000</v>
      </c>
      <c r="F28" s="1813">
        <f t="shared" si="3"/>
        <v>25000</v>
      </c>
      <c r="G28" s="1814">
        <f t="shared" si="4"/>
        <v>22066</v>
      </c>
    </row>
    <row r="29" spans="1:8" x14ac:dyDescent="0.25">
      <c r="A29" s="1955" t="s">
        <v>2184</v>
      </c>
      <c r="B29" s="1956" t="s">
        <v>1928</v>
      </c>
      <c r="C29" s="1957" t="s">
        <v>2189</v>
      </c>
      <c r="D29" s="1865">
        <v>51609</v>
      </c>
      <c r="E29" s="1562">
        <f t="shared" si="2"/>
        <v>25000</v>
      </c>
      <c r="F29" s="1813">
        <f t="shared" si="3"/>
        <v>25000</v>
      </c>
      <c r="G29" s="1814">
        <f t="shared" si="4"/>
        <v>26609</v>
      </c>
    </row>
    <row r="30" spans="1:8" x14ac:dyDescent="0.25">
      <c r="A30" s="1955" t="s">
        <v>2184</v>
      </c>
      <c r="B30" s="1956" t="s">
        <v>1928</v>
      </c>
      <c r="C30" s="1957" t="s">
        <v>2190</v>
      </c>
      <c r="D30" s="1865">
        <v>138326</v>
      </c>
      <c r="E30" s="1562">
        <f t="shared" si="2"/>
        <v>25000</v>
      </c>
      <c r="F30" s="1813">
        <f t="shared" si="3"/>
        <v>25000</v>
      </c>
      <c r="G30" s="1814">
        <f t="shared" si="4"/>
        <v>113326</v>
      </c>
    </row>
    <row r="31" spans="1:8" x14ac:dyDescent="0.25">
      <c r="A31" s="1955" t="s">
        <v>2184</v>
      </c>
      <c r="B31" s="1956" t="s">
        <v>1928</v>
      </c>
      <c r="C31" s="1957" t="s">
        <v>2191</v>
      </c>
      <c r="D31" s="1865">
        <v>101067</v>
      </c>
      <c r="E31" s="1562">
        <f t="shared" si="2"/>
        <v>25000</v>
      </c>
      <c r="F31" s="1813">
        <f t="shared" si="3"/>
        <v>25000</v>
      </c>
      <c r="G31" s="1814">
        <f t="shared" si="4"/>
        <v>76067</v>
      </c>
    </row>
    <row r="32" spans="1:8" x14ac:dyDescent="0.25">
      <c r="A32" s="1955" t="s">
        <v>2184</v>
      </c>
      <c r="B32" s="1956" t="s">
        <v>1928</v>
      </c>
      <c r="C32" s="1957" t="s">
        <v>2192</v>
      </c>
      <c r="D32" s="1865">
        <v>54589</v>
      </c>
      <c r="E32" s="1562">
        <f t="shared" si="2"/>
        <v>25000</v>
      </c>
      <c r="F32" s="1813">
        <f t="shared" si="3"/>
        <v>25000</v>
      </c>
      <c r="G32" s="1814">
        <f t="shared" si="4"/>
        <v>29589</v>
      </c>
    </row>
    <row r="33" spans="1:7" x14ac:dyDescent="0.25">
      <c r="A33" s="1955" t="s">
        <v>2184</v>
      </c>
      <c r="B33" s="1956" t="s">
        <v>1928</v>
      </c>
      <c r="C33" s="1957" t="s">
        <v>2179</v>
      </c>
      <c r="D33" s="1865">
        <v>2509432</v>
      </c>
      <c r="E33" s="1562">
        <f t="shared" si="2"/>
        <v>25000</v>
      </c>
      <c r="F33" s="1813">
        <f t="shared" si="3"/>
        <v>25000</v>
      </c>
      <c r="G33" s="1814">
        <f t="shared" si="4"/>
        <v>2484432</v>
      </c>
    </row>
    <row r="34" spans="1:7" x14ac:dyDescent="0.25">
      <c r="A34" s="1955" t="s">
        <v>2184</v>
      </c>
      <c r="B34" s="1956" t="s">
        <v>1928</v>
      </c>
      <c r="C34" s="1957" t="s">
        <v>2193</v>
      </c>
      <c r="D34" s="1865">
        <v>91441</v>
      </c>
      <c r="E34" s="1562">
        <f t="shared" si="2"/>
        <v>25000</v>
      </c>
      <c r="F34" s="1813">
        <f t="shared" si="3"/>
        <v>25000</v>
      </c>
      <c r="G34" s="1814">
        <f t="shared" si="4"/>
        <v>66441</v>
      </c>
    </row>
    <row r="35" spans="1:7" x14ac:dyDescent="0.25">
      <c r="A35" s="1955" t="s">
        <v>2184</v>
      </c>
      <c r="B35" s="1956" t="s">
        <v>1928</v>
      </c>
      <c r="C35" s="1957" t="s">
        <v>2194</v>
      </c>
      <c r="D35" s="1865">
        <v>162977</v>
      </c>
      <c r="E35" s="1562">
        <f t="shared" si="2"/>
        <v>25000</v>
      </c>
      <c r="F35" s="1813">
        <f t="shared" si="3"/>
        <v>25000</v>
      </c>
      <c r="G35" s="1814">
        <f t="shared" si="4"/>
        <v>137977</v>
      </c>
    </row>
    <row r="36" spans="1:7" x14ac:dyDescent="0.25">
      <c r="A36" s="1955" t="s">
        <v>2184</v>
      </c>
      <c r="B36" s="1956" t="s">
        <v>1928</v>
      </c>
      <c r="C36" s="1957" t="s">
        <v>2195</v>
      </c>
      <c r="D36" s="1865">
        <v>87499</v>
      </c>
      <c r="E36" s="1562">
        <f t="shared" si="2"/>
        <v>25000</v>
      </c>
      <c r="F36" s="1813">
        <f t="shared" si="3"/>
        <v>25000</v>
      </c>
      <c r="G36" s="1814">
        <f t="shared" si="4"/>
        <v>62499</v>
      </c>
    </row>
    <row r="37" spans="1:7" x14ac:dyDescent="0.25">
      <c r="A37" s="1955" t="s">
        <v>2184</v>
      </c>
      <c r="B37" s="1956" t="s">
        <v>1928</v>
      </c>
      <c r="C37" s="1957" t="s">
        <v>2196</v>
      </c>
      <c r="D37" s="1865">
        <v>184650</v>
      </c>
      <c r="E37" s="1562">
        <f t="shared" si="2"/>
        <v>25000</v>
      </c>
      <c r="F37" s="1813">
        <f t="shared" si="3"/>
        <v>25000</v>
      </c>
      <c r="G37" s="1814">
        <f t="shared" si="4"/>
        <v>159650</v>
      </c>
    </row>
    <row r="38" spans="1:7" x14ac:dyDescent="0.25">
      <c r="A38" s="1955" t="s">
        <v>2197</v>
      </c>
      <c r="B38" s="1958" t="s">
        <v>2199</v>
      </c>
      <c r="C38" s="1957" t="s">
        <v>2198</v>
      </c>
      <c r="D38" s="1865">
        <v>117558</v>
      </c>
      <c r="E38" s="1562">
        <f t="shared" si="2"/>
        <v>25000</v>
      </c>
      <c r="F38" s="1813">
        <f t="shared" si="3"/>
        <v>25000</v>
      </c>
      <c r="G38" s="1814">
        <f t="shared" si="4"/>
        <v>92558</v>
      </c>
    </row>
    <row r="39" spans="1:7" x14ac:dyDescent="0.25">
      <c r="A39" s="1955" t="s">
        <v>2202</v>
      </c>
      <c r="B39" s="1958" t="s">
        <v>2200</v>
      </c>
      <c r="C39" s="1957" t="s">
        <v>2201</v>
      </c>
      <c r="D39" s="1865">
        <v>38440</v>
      </c>
      <c r="E39" s="1562">
        <f t="shared" si="2"/>
        <v>25000</v>
      </c>
      <c r="F39" s="1813">
        <f t="shared" si="3"/>
        <v>25000</v>
      </c>
      <c r="G39" s="1814">
        <f t="shared" si="4"/>
        <v>13440</v>
      </c>
    </row>
    <row r="40" spans="1:7" x14ac:dyDescent="0.25">
      <c r="A40" s="1955" t="s">
        <v>2202</v>
      </c>
      <c r="B40" s="1958" t="s">
        <v>2200</v>
      </c>
      <c r="C40" s="1957" t="s">
        <v>2203</v>
      </c>
      <c r="D40" s="1865">
        <v>72042</v>
      </c>
      <c r="E40" s="1562">
        <f t="shared" si="2"/>
        <v>25000</v>
      </c>
      <c r="F40" s="1813">
        <f t="shared" si="3"/>
        <v>25000</v>
      </c>
      <c r="G40" s="1814">
        <f t="shared" si="4"/>
        <v>47042</v>
      </c>
    </row>
    <row r="41" spans="1:7" x14ac:dyDescent="0.25">
      <c r="A41" s="1955" t="s">
        <v>2202</v>
      </c>
      <c r="B41" s="1958" t="s">
        <v>2200</v>
      </c>
      <c r="C41" s="1957" t="s">
        <v>2204</v>
      </c>
      <c r="D41" s="1865">
        <v>27000</v>
      </c>
      <c r="E41" s="1562">
        <f t="shared" si="2"/>
        <v>25000</v>
      </c>
      <c r="F41" s="1813">
        <f t="shared" si="3"/>
        <v>25000</v>
      </c>
      <c r="G41" s="1814">
        <f t="shared" si="4"/>
        <v>2000</v>
      </c>
    </row>
    <row r="42" spans="1:7" x14ac:dyDescent="0.25">
      <c r="A42" s="1955" t="s">
        <v>2197</v>
      </c>
      <c r="B42" s="1958" t="s">
        <v>2199</v>
      </c>
      <c r="C42" s="1957" t="s">
        <v>2205</v>
      </c>
      <c r="D42" s="1865">
        <v>66050</v>
      </c>
      <c r="E42" s="1562">
        <f t="shared" si="2"/>
        <v>25000</v>
      </c>
      <c r="F42" s="1813">
        <f t="shared" si="3"/>
        <v>25000</v>
      </c>
      <c r="G42" s="1814">
        <f t="shared" si="4"/>
        <v>41050</v>
      </c>
    </row>
    <row r="43" spans="1:7" x14ac:dyDescent="0.25">
      <c r="A43" s="1955" t="s">
        <v>2197</v>
      </c>
      <c r="B43" s="1958" t="s">
        <v>2199</v>
      </c>
      <c r="C43" s="1957" t="s">
        <v>2206</v>
      </c>
      <c r="D43" s="1865">
        <v>54838</v>
      </c>
      <c r="E43" s="1562">
        <f t="shared" si="2"/>
        <v>25000</v>
      </c>
      <c r="F43" s="1813">
        <f t="shared" si="3"/>
        <v>25000</v>
      </c>
      <c r="G43" s="1814">
        <f t="shared" si="4"/>
        <v>29838</v>
      </c>
    </row>
    <row r="44" spans="1:7" x14ac:dyDescent="0.25">
      <c r="A44" s="1955" t="s">
        <v>2197</v>
      </c>
      <c r="B44" s="1958" t="s">
        <v>2208</v>
      </c>
      <c r="C44" s="1957" t="s">
        <v>2207</v>
      </c>
      <c r="D44" s="1865">
        <v>75912</v>
      </c>
      <c r="E44" s="1562">
        <f t="shared" si="2"/>
        <v>25000</v>
      </c>
      <c r="F44" s="1813">
        <f t="shared" si="3"/>
        <v>25000</v>
      </c>
      <c r="G44" s="1814">
        <f t="shared" si="4"/>
        <v>50912</v>
      </c>
    </row>
    <row r="45" spans="1:7" x14ac:dyDescent="0.25">
      <c r="A45" s="1955" t="s">
        <v>2197</v>
      </c>
      <c r="B45" s="1958" t="s">
        <v>2208</v>
      </c>
      <c r="C45" s="1957" t="s">
        <v>2209</v>
      </c>
      <c r="D45" s="1865">
        <v>46405</v>
      </c>
      <c r="E45" s="1562">
        <f t="shared" si="2"/>
        <v>25000</v>
      </c>
      <c r="F45" s="1813">
        <f t="shared" si="3"/>
        <v>25000</v>
      </c>
      <c r="G45" s="1814">
        <f t="shared" si="4"/>
        <v>21405</v>
      </c>
    </row>
    <row r="46" spans="1:7" x14ac:dyDescent="0.25">
      <c r="A46" s="1955" t="s">
        <v>2202</v>
      </c>
      <c r="B46" s="1958" t="s">
        <v>2210</v>
      </c>
      <c r="C46" s="1957" t="s">
        <v>2211</v>
      </c>
      <c r="D46" s="1865">
        <v>43629</v>
      </c>
      <c r="E46" s="1562">
        <f t="shared" si="2"/>
        <v>25000</v>
      </c>
      <c r="F46" s="1813">
        <f t="shared" si="3"/>
        <v>25000</v>
      </c>
      <c r="G46" s="1814">
        <f t="shared" si="4"/>
        <v>18629</v>
      </c>
    </row>
    <row r="47" spans="1:7" x14ac:dyDescent="0.25">
      <c r="A47" s="1955" t="s">
        <v>2197</v>
      </c>
      <c r="B47" s="1958" t="s">
        <v>2212</v>
      </c>
      <c r="C47" s="1957" t="s">
        <v>2213</v>
      </c>
      <c r="D47" s="1865">
        <v>33127</v>
      </c>
      <c r="E47" s="1562">
        <f t="shared" si="2"/>
        <v>25000</v>
      </c>
      <c r="F47" s="1813">
        <f t="shared" si="3"/>
        <v>25000</v>
      </c>
      <c r="G47" s="1814">
        <f t="shared" si="4"/>
        <v>8127</v>
      </c>
    </row>
    <row r="48" spans="1:7" x14ac:dyDescent="0.25">
      <c r="A48" s="1955" t="s">
        <v>2197</v>
      </c>
      <c r="B48" s="1958" t="s">
        <v>2215</v>
      </c>
      <c r="C48" s="1957" t="s">
        <v>2216</v>
      </c>
      <c r="D48" s="1865">
        <v>113604</v>
      </c>
      <c r="E48" s="1562">
        <f t="shared" si="2"/>
        <v>25000</v>
      </c>
      <c r="F48" s="1813">
        <f t="shared" si="3"/>
        <v>25000</v>
      </c>
      <c r="G48" s="1814">
        <f t="shared" si="4"/>
        <v>88604</v>
      </c>
    </row>
    <row r="49" spans="1:7" x14ac:dyDescent="0.25">
      <c r="A49" s="1955" t="s">
        <v>2197</v>
      </c>
      <c r="B49" s="1958" t="s">
        <v>2215</v>
      </c>
      <c r="C49" s="1957" t="s">
        <v>2217</v>
      </c>
      <c r="D49" s="1865">
        <v>62228</v>
      </c>
      <c r="E49" s="1562">
        <f t="shared" si="2"/>
        <v>25000</v>
      </c>
      <c r="F49" s="1813">
        <f t="shared" si="3"/>
        <v>25000</v>
      </c>
      <c r="G49" s="1814">
        <f t="shared" si="4"/>
        <v>37228</v>
      </c>
    </row>
    <row r="50" spans="1:7" x14ac:dyDescent="0.25">
      <c r="A50" s="1955" t="s">
        <v>2197</v>
      </c>
      <c r="B50" s="1958" t="s">
        <v>2218</v>
      </c>
      <c r="C50" s="1957" t="s">
        <v>2219</v>
      </c>
      <c r="D50" s="1865">
        <v>37175</v>
      </c>
      <c r="E50" s="1562">
        <f t="shared" si="2"/>
        <v>25000</v>
      </c>
      <c r="F50" s="1813">
        <f t="shared" si="3"/>
        <v>25000</v>
      </c>
      <c r="G50" s="1814">
        <f t="shared" si="4"/>
        <v>12175</v>
      </c>
    </row>
    <row r="51" spans="1:7" x14ac:dyDescent="0.25">
      <c r="A51" s="1955" t="s">
        <v>2197</v>
      </c>
      <c r="B51" s="1958" t="s">
        <v>2218</v>
      </c>
      <c r="C51" s="1957" t="s">
        <v>2220</v>
      </c>
      <c r="D51" s="1865">
        <v>48069</v>
      </c>
      <c r="E51" s="1562">
        <f t="shared" si="2"/>
        <v>25000</v>
      </c>
      <c r="F51" s="1813">
        <f t="shared" si="3"/>
        <v>25000</v>
      </c>
      <c r="G51" s="1814">
        <f t="shared" si="4"/>
        <v>23069</v>
      </c>
    </row>
    <row r="52" spans="1:7" x14ac:dyDescent="0.25">
      <c r="A52" s="1955" t="s">
        <v>2172</v>
      </c>
      <c r="B52" s="1958" t="s">
        <v>2173</v>
      </c>
      <c r="C52" s="1957" t="s">
        <v>2221</v>
      </c>
      <c r="D52" s="1865">
        <v>441050</v>
      </c>
      <c r="E52" s="1562">
        <f t="shared" si="2"/>
        <v>25000</v>
      </c>
      <c r="F52" s="1813">
        <f t="shared" si="3"/>
        <v>25000</v>
      </c>
      <c r="G52" s="1814">
        <f t="shared" si="4"/>
        <v>416050</v>
      </c>
    </row>
    <row r="53" spans="1:7" x14ac:dyDescent="0.25">
      <c r="A53" s="1955" t="s">
        <v>2172</v>
      </c>
      <c r="B53" s="1958" t="s">
        <v>2173</v>
      </c>
      <c r="C53" s="1957" t="s">
        <v>2227</v>
      </c>
      <c r="D53" s="1865">
        <v>45500</v>
      </c>
      <c r="E53" s="1562">
        <f t="shared" si="2"/>
        <v>25000</v>
      </c>
      <c r="F53" s="1813">
        <f t="shared" si="3"/>
        <v>25000</v>
      </c>
      <c r="G53" s="1814">
        <f t="shared" si="4"/>
        <v>20500</v>
      </c>
    </row>
    <row r="54" spans="1:7" x14ac:dyDescent="0.25">
      <c r="A54" s="1955" t="s">
        <v>2197</v>
      </c>
      <c r="B54" s="1958" t="s">
        <v>2222</v>
      </c>
      <c r="C54" s="1957" t="s">
        <v>2223</v>
      </c>
      <c r="D54" s="1865">
        <v>54744</v>
      </c>
      <c r="E54" s="1562">
        <f t="shared" si="2"/>
        <v>25000</v>
      </c>
      <c r="F54" s="1813">
        <f t="shared" si="3"/>
        <v>25000</v>
      </c>
      <c r="G54" s="1814">
        <f t="shared" si="4"/>
        <v>29744</v>
      </c>
    </row>
    <row r="55" spans="1:7" x14ac:dyDescent="0.25">
      <c r="A55" s="1955" t="s">
        <v>2202</v>
      </c>
      <c r="B55" s="1958" t="s">
        <v>2214</v>
      </c>
      <c r="C55" s="1957" t="s">
        <v>2224</v>
      </c>
      <c r="D55" s="1865">
        <v>53768</v>
      </c>
      <c r="E55" s="1562">
        <f t="shared" si="2"/>
        <v>25000</v>
      </c>
      <c r="F55" s="1813">
        <f t="shared" si="3"/>
        <v>25000</v>
      </c>
      <c r="G55" s="1814">
        <f t="shared" si="4"/>
        <v>28768</v>
      </c>
    </row>
    <row r="56" spans="1:7" x14ac:dyDescent="0.25">
      <c r="A56" s="1955" t="s">
        <v>2202</v>
      </c>
      <c r="B56" s="1958" t="s">
        <v>2214</v>
      </c>
      <c r="C56" s="1957" t="s">
        <v>2225</v>
      </c>
      <c r="D56" s="1865">
        <v>66923</v>
      </c>
      <c r="E56" s="1562">
        <f t="shared" si="2"/>
        <v>25000</v>
      </c>
      <c r="F56" s="1813">
        <f t="shared" si="3"/>
        <v>25000</v>
      </c>
      <c r="G56" s="1814">
        <f t="shared" si="4"/>
        <v>41923</v>
      </c>
    </row>
    <row r="57" spans="1:7" x14ac:dyDescent="0.25">
      <c r="A57" s="1955" t="s">
        <v>2202</v>
      </c>
      <c r="B57" s="1958" t="s">
        <v>2214</v>
      </c>
      <c r="C57" s="1957" t="s">
        <v>2226</v>
      </c>
      <c r="D57" s="1865">
        <v>503120</v>
      </c>
      <c r="E57" s="1562">
        <f t="shared" si="2"/>
        <v>25000</v>
      </c>
      <c r="F57" s="1813">
        <f t="shared" si="3"/>
        <v>25000</v>
      </c>
      <c r="G57" s="1814">
        <f t="shared" si="4"/>
        <v>478120</v>
      </c>
    </row>
    <row r="58" spans="1:7" x14ac:dyDescent="0.25">
      <c r="A58" s="1955" t="s">
        <v>2228</v>
      </c>
      <c r="B58" s="1958" t="s">
        <v>2229</v>
      </c>
      <c r="C58" s="1957" t="s">
        <v>2230</v>
      </c>
      <c r="D58" s="1865">
        <v>46053</v>
      </c>
      <c r="E58" s="1562">
        <f t="shared" si="2"/>
        <v>25000</v>
      </c>
      <c r="F58" s="1813">
        <f t="shared" si="3"/>
        <v>25000</v>
      </c>
      <c r="G58" s="1814">
        <f t="shared" si="4"/>
        <v>21053</v>
      </c>
    </row>
    <row r="59" spans="1:7" x14ac:dyDescent="0.25">
      <c r="A59" s="1955" t="s">
        <v>2228</v>
      </c>
      <c r="B59" s="1958" t="s">
        <v>2229</v>
      </c>
      <c r="C59" s="1957" t="s">
        <v>2231</v>
      </c>
      <c r="D59" s="1865">
        <v>31492</v>
      </c>
      <c r="E59" s="1562">
        <f t="shared" si="2"/>
        <v>25000</v>
      </c>
      <c r="F59" s="1813">
        <f t="shared" si="3"/>
        <v>25000</v>
      </c>
      <c r="G59" s="1814">
        <f t="shared" si="4"/>
        <v>6492</v>
      </c>
    </row>
    <row r="60" spans="1:7" x14ac:dyDescent="0.25">
      <c r="A60" s="1955" t="s">
        <v>2228</v>
      </c>
      <c r="B60" s="1958" t="s">
        <v>2229</v>
      </c>
      <c r="C60" s="1957" t="s">
        <v>2232</v>
      </c>
      <c r="D60" s="1865">
        <v>133540</v>
      </c>
      <c r="E60" s="1562">
        <f t="shared" si="2"/>
        <v>25000</v>
      </c>
      <c r="F60" s="1813">
        <f t="shared" si="3"/>
        <v>25000</v>
      </c>
      <c r="G60" s="1814">
        <f t="shared" si="4"/>
        <v>108540</v>
      </c>
    </row>
    <row r="61" spans="1:7" x14ac:dyDescent="0.25">
      <c r="A61" s="1955" t="s">
        <v>2228</v>
      </c>
      <c r="B61" s="1958" t="s">
        <v>2229</v>
      </c>
      <c r="C61" s="1957" t="s">
        <v>2233</v>
      </c>
      <c r="D61" s="1865">
        <v>29642</v>
      </c>
      <c r="E61" s="1562">
        <f t="shared" si="2"/>
        <v>25000</v>
      </c>
      <c r="F61" s="1813">
        <f t="shared" si="3"/>
        <v>25000</v>
      </c>
      <c r="G61" s="1814">
        <f t="shared" si="4"/>
        <v>4642</v>
      </c>
    </row>
    <row r="62" spans="1:7" x14ac:dyDescent="0.25">
      <c r="A62" s="1955" t="s">
        <v>2228</v>
      </c>
      <c r="B62" s="1958" t="s">
        <v>2229</v>
      </c>
      <c r="C62" s="1957" t="s">
        <v>2234</v>
      </c>
      <c r="D62" s="1865">
        <v>42369</v>
      </c>
      <c r="E62" s="1562">
        <f t="shared" si="2"/>
        <v>25000</v>
      </c>
      <c r="F62" s="1813">
        <f t="shared" si="3"/>
        <v>25000</v>
      </c>
      <c r="G62" s="1814">
        <f t="shared" si="4"/>
        <v>17369</v>
      </c>
    </row>
    <row r="63" spans="1:7" x14ac:dyDescent="0.25">
      <c r="A63" s="1955" t="s">
        <v>2228</v>
      </c>
      <c r="B63" s="1958" t="s">
        <v>2229</v>
      </c>
      <c r="C63" s="1957" t="s">
        <v>2198</v>
      </c>
      <c r="D63" s="1865">
        <v>40253</v>
      </c>
      <c r="E63" s="1562">
        <f t="shared" si="2"/>
        <v>25000</v>
      </c>
      <c r="F63" s="1813">
        <f t="shared" si="3"/>
        <v>25000</v>
      </c>
      <c r="G63" s="1814">
        <f t="shared" si="4"/>
        <v>15253</v>
      </c>
    </row>
    <row r="64" spans="1:7" x14ac:dyDescent="0.25">
      <c r="A64" s="1955" t="s">
        <v>2235</v>
      </c>
      <c r="B64" s="1958" t="s">
        <v>2236</v>
      </c>
      <c r="C64" s="1957" t="s">
        <v>2238</v>
      </c>
      <c r="D64" s="1865">
        <v>206688</v>
      </c>
      <c r="E64" s="1562">
        <f t="shared" si="2"/>
        <v>25000</v>
      </c>
      <c r="F64" s="1813">
        <f t="shared" si="3"/>
        <v>25000</v>
      </c>
      <c r="G64" s="1814">
        <f t="shared" si="4"/>
        <v>181688</v>
      </c>
    </row>
    <row r="65" spans="1:7" x14ac:dyDescent="0.25">
      <c r="A65" s="1955" t="s">
        <v>2235</v>
      </c>
      <c r="B65" s="1958" t="s">
        <v>2236</v>
      </c>
      <c r="C65" s="1957" t="s">
        <v>2237</v>
      </c>
      <c r="D65" s="1865">
        <v>750465</v>
      </c>
      <c r="E65" s="1562">
        <f t="shared" si="2"/>
        <v>25000</v>
      </c>
      <c r="F65" s="1813">
        <f t="shared" si="3"/>
        <v>25000</v>
      </c>
      <c r="G65" s="1814">
        <f t="shared" si="4"/>
        <v>725465</v>
      </c>
    </row>
    <row r="66" spans="1:7" x14ac:dyDescent="0.25">
      <c r="A66" s="1955" t="s">
        <v>2228</v>
      </c>
      <c r="B66" s="1958" t="s">
        <v>2229</v>
      </c>
      <c r="C66" s="1957" t="s">
        <v>2239</v>
      </c>
      <c r="D66" s="1865">
        <v>79347</v>
      </c>
      <c r="E66" s="1562">
        <f t="shared" si="2"/>
        <v>25000</v>
      </c>
      <c r="F66" s="1813">
        <f t="shared" si="3"/>
        <v>25000</v>
      </c>
      <c r="G66" s="1814">
        <f t="shared" si="4"/>
        <v>54347</v>
      </c>
    </row>
    <row r="67" spans="1:7" x14ac:dyDescent="0.25">
      <c r="A67" s="1955" t="s">
        <v>2240</v>
      </c>
      <c r="B67" s="1958" t="s">
        <v>2241</v>
      </c>
      <c r="C67" s="1957" t="s">
        <v>2242</v>
      </c>
      <c r="D67" s="1865">
        <v>341381</v>
      </c>
      <c r="E67" s="1562">
        <f t="shared" si="2"/>
        <v>25000</v>
      </c>
      <c r="F67" s="1813">
        <f t="shared" si="3"/>
        <v>25000</v>
      </c>
      <c r="G67" s="1814">
        <f t="shared" si="4"/>
        <v>316381</v>
      </c>
    </row>
    <row r="68" spans="1:7" x14ac:dyDescent="0.25">
      <c r="A68" s="1955" t="s">
        <v>2240</v>
      </c>
      <c r="B68" s="1958" t="s">
        <v>2241</v>
      </c>
      <c r="C68" s="1957" t="s">
        <v>2213</v>
      </c>
      <c r="D68" s="1865">
        <v>2746989</v>
      </c>
      <c r="E68" s="1562">
        <f t="shared" si="2"/>
        <v>25000</v>
      </c>
      <c r="F68" s="1813">
        <f t="shared" si="3"/>
        <v>25000</v>
      </c>
      <c r="G68" s="1814">
        <f t="shared" si="4"/>
        <v>2721989</v>
      </c>
    </row>
    <row r="69" spans="1:7" x14ac:dyDescent="0.25">
      <c r="A69" s="1955" t="s">
        <v>2240</v>
      </c>
      <c r="B69" s="1958" t="s">
        <v>2241</v>
      </c>
      <c r="C69" s="1957" t="s">
        <v>2243</v>
      </c>
      <c r="D69" s="1865">
        <v>135567</v>
      </c>
      <c r="E69" s="1562">
        <f t="shared" si="2"/>
        <v>25000</v>
      </c>
      <c r="F69" s="1813">
        <f t="shared" si="3"/>
        <v>25000</v>
      </c>
      <c r="G69" s="1814">
        <f t="shared" si="4"/>
        <v>110567</v>
      </c>
    </row>
    <row r="70" spans="1:7" x14ac:dyDescent="0.25">
      <c r="A70" s="1955" t="s">
        <v>2240</v>
      </c>
      <c r="B70" s="1958" t="s">
        <v>2241</v>
      </c>
      <c r="C70" s="1957" t="s">
        <v>2244</v>
      </c>
      <c r="D70" s="1865">
        <v>555675</v>
      </c>
      <c r="E70" s="1562">
        <f t="shared" si="2"/>
        <v>25000</v>
      </c>
      <c r="F70" s="1813">
        <f t="shared" si="3"/>
        <v>25000</v>
      </c>
      <c r="G70" s="1814">
        <f t="shared" si="4"/>
        <v>530675</v>
      </c>
    </row>
    <row r="71" spans="1:7" x14ac:dyDescent="0.25">
      <c r="A71" s="1955" t="s">
        <v>2245</v>
      </c>
      <c r="B71" s="1958" t="s">
        <v>2246</v>
      </c>
      <c r="C71" s="1957" t="s">
        <v>2247</v>
      </c>
      <c r="D71" s="1865">
        <v>187182</v>
      </c>
      <c r="E71" s="1562">
        <f t="shared" si="2"/>
        <v>25000</v>
      </c>
      <c r="F71" s="1813">
        <f t="shared" si="3"/>
        <v>25000</v>
      </c>
      <c r="G71" s="1814">
        <f t="shared" si="4"/>
        <v>162182</v>
      </c>
    </row>
    <row r="72" spans="1:7" x14ac:dyDescent="0.25">
      <c r="A72" s="1955" t="s">
        <v>2245</v>
      </c>
      <c r="B72" s="1958" t="s">
        <v>2246</v>
      </c>
      <c r="C72" s="1957" t="s">
        <v>2248</v>
      </c>
      <c r="D72" s="1865">
        <v>136843</v>
      </c>
      <c r="E72" s="1562">
        <f t="shared" si="2"/>
        <v>25000</v>
      </c>
      <c r="F72" s="1813">
        <f t="shared" si="3"/>
        <v>25000</v>
      </c>
      <c r="G72" s="1814">
        <f t="shared" si="4"/>
        <v>111843</v>
      </c>
    </row>
    <row r="73" spans="1:7" x14ac:dyDescent="0.25">
      <c r="A73" s="1675"/>
      <c r="B73" s="1687"/>
      <c r="C73" s="1676"/>
      <c r="D73" s="1865"/>
      <c r="E73" s="1562">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5"/>
      <c r="B74" s="1687"/>
      <c r="C74" s="1676"/>
      <c r="D74" s="1865"/>
      <c r="E74" s="1562">
        <f t="shared" si="5"/>
        <v>0</v>
      </c>
      <c r="F74" s="1813">
        <f t="shared" si="6"/>
        <v>0</v>
      </c>
      <c r="G74" s="1814">
        <f t="shared" si="7"/>
        <v>0</v>
      </c>
    </row>
    <row r="75" spans="1:7" x14ac:dyDescent="0.25">
      <c r="A75" s="1675"/>
      <c r="B75" s="1687"/>
      <c r="C75" s="1676"/>
      <c r="D75" s="1865"/>
      <c r="E75" s="1562">
        <f t="shared" si="5"/>
        <v>0</v>
      </c>
      <c r="F75" s="1813">
        <f t="shared" si="6"/>
        <v>0</v>
      </c>
      <c r="G75" s="1814">
        <f t="shared" si="7"/>
        <v>0</v>
      </c>
    </row>
    <row r="76" spans="1:7" x14ac:dyDescent="0.25">
      <c r="A76" s="1675"/>
      <c r="B76" s="1687"/>
      <c r="C76" s="1676"/>
      <c r="D76" s="1865"/>
      <c r="E76" s="1562">
        <f t="shared" si="5"/>
        <v>0</v>
      </c>
      <c r="F76" s="1813">
        <f t="shared" si="6"/>
        <v>0</v>
      </c>
      <c r="G76" s="1814">
        <f t="shared" si="7"/>
        <v>0</v>
      </c>
    </row>
    <row r="77" spans="1:7" x14ac:dyDescent="0.25">
      <c r="A77" s="1675"/>
      <c r="B77" s="1687"/>
      <c r="C77" s="1676"/>
      <c r="D77" s="1865"/>
      <c r="E77" s="1562">
        <f t="shared" si="5"/>
        <v>0</v>
      </c>
      <c r="F77" s="1813">
        <f t="shared" si="6"/>
        <v>0</v>
      </c>
      <c r="G77" s="1814">
        <f t="shared" si="7"/>
        <v>0</v>
      </c>
    </row>
    <row r="78" spans="1:7" x14ac:dyDescent="0.25">
      <c r="A78" s="1675"/>
      <c r="B78" s="1687"/>
      <c r="C78" s="1676"/>
      <c r="D78" s="1865"/>
      <c r="E78" s="1562">
        <f t="shared" si="5"/>
        <v>0</v>
      </c>
      <c r="F78" s="1813">
        <f t="shared" si="6"/>
        <v>0</v>
      </c>
      <c r="G78" s="1814">
        <f t="shared" si="7"/>
        <v>0</v>
      </c>
    </row>
    <row r="79" spans="1:7" x14ac:dyDescent="0.25">
      <c r="A79" s="1675"/>
      <c r="B79" s="1687"/>
      <c r="C79" s="1676"/>
      <c r="D79" s="1865"/>
      <c r="E79" s="1562">
        <f t="shared" si="5"/>
        <v>0</v>
      </c>
      <c r="F79" s="1813">
        <f t="shared" si="6"/>
        <v>0</v>
      </c>
      <c r="G79" s="1814">
        <f t="shared" si="7"/>
        <v>0</v>
      </c>
    </row>
    <row r="80" spans="1:7" x14ac:dyDescent="0.25">
      <c r="A80" s="1675"/>
      <c r="B80" s="1687"/>
      <c r="C80" s="1676"/>
      <c r="D80" s="1865"/>
      <c r="E80" s="1562">
        <f t="shared" si="5"/>
        <v>0</v>
      </c>
      <c r="F80" s="1813">
        <f t="shared" si="6"/>
        <v>0</v>
      </c>
      <c r="G80" s="1814">
        <f t="shared" si="7"/>
        <v>0</v>
      </c>
    </row>
    <row r="81" spans="1:7" x14ac:dyDescent="0.25">
      <c r="A81" s="1675"/>
      <c r="B81" s="1687"/>
      <c r="C81" s="1676"/>
      <c r="D81" s="1865"/>
      <c r="E81" s="1562">
        <f t="shared" si="5"/>
        <v>0</v>
      </c>
      <c r="F81" s="1813">
        <f t="shared" si="6"/>
        <v>0</v>
      </c>
      <c r="G81" s="1814">
        <f t="shared" si="7"/>
        <v>0</v>
      </c>
    </row>
    <row r="82" spans="1:7" x14ac:dyDescent="0.25">
      <c r="A82" s="1675"/>
      <c r="B82" s="1687"/>
      <c r="C82" s="1676"/>
      <c r="D82" s="1865"/>
      <c r="E82" s="1562">
        <f t="shared" si="5"/>
        <v>0</v>
      </c>
      <c r="F82" s="1813">
        <f t="shared" si="6"/>
        <v>0</v>
      </c>
      <c r="G82" s="1814">
        <f t="shared" si="7"/>
        <v>0</v>
      </c>
    </row>
    <row r="83" spans="1:7" x14ac:dyDescent="0.25">
      <c r="A83" s="1675"/>
      <c r="B83" s="1687"/>
      <c r="C83" s="1676"/>
      <c r="D83" s="1865"/>
      <c r="E83" s="1562">
        <f t="shared" si="5"/>
        <v>0</v>
      </c>
      <c r="F83" s="1813">
        <f t="shared" si="6"/>
        <v>0</v>
      </c>
      <c r="G83" s="1814">
        <f t="shared" si="7"/>
        <v>0</v>
      </c>
    </row>
    <row r="84" spans="1:7" x14ac:dyDescent="0.25">
      <c r="A84" s="1675"/>
      <c r="B84" s="1687"/>
      <c r="C84" s="1676"/>
      <c r="D84" s="1865"/>
      <c r="E84" s="1562">
        <f t="shared" si="5"/>
        <v>0</v>
      </c>
      <c r="F84" s="1813">
        <f t="shared" si="6"/>
        <v>0</v>
      </c>
      <c r="G84" s="1814">
        <f t="shared" si="7"/>
        <v>0</v>
      </c>
    </row>
    <row r="85" spans="1:7" x14ac:dyDescent="0.25">
      <c r="A85" s="1675"/>
      <c r="B85" s="1687"/>
      <c r="C85" s="1676"/>
      <c r="D85" s="1865"/>
      <c r="E85" s="1562">
        <f t="shared" si="2"/>
        <v>0</v>
      </c>
      <c r="F85" s="1813">
        <f t="shared" si="3"/>
        <v>0</v>
      </c>
      <c r="G85" s="1814">
        <f t="shared" si="4"/>
        <v>0</v>
      </c>
    </row>
    <row r="86" spans="1:7" x14ac:dyDescent="0.25">
      <c r="A86" s="1675"/>
      <c r="B86" s="1687"/>
      <c r="C86" s="1676"/>
      <c r="D86" s="1865"/>
      <c r="E86" s="1562">
        <f t="shared" si="2"/>
        <v>0</v>
      </c>
      <c r="F86" s="1813">
        <f t="shared" si="3"/>
        <v>0</v>
      </c>
      <c r="G86" s="1814">
        <f t="shared" si="4"/>
        <v>0</v>
      </c>
    </row>
    <row r="87" spans="1:7" x14ac:dyDescent="0.25">
      <c r="A87" s="1675"/>
      <c r="B87" s="1687"/>
      <c r="C87" s="1676"/>
      <c r="D87" s="1865"/>
      <c r="E87" s="1562">
        <f t="shared" si="2"/>
        <v>0</v>
      </c>
      <c r="F87" s="1813">
        <f t="shared" si="3"/>
        <v>0</v>
      </c>
      <c r="G87" s="1814">
        <f t="shared" si="4"/>
        <v>0</v>
      </c>
    </row>
    <row r="88" spans="1:7" x14ac:dyDescent="0.25">
      <c r="A88" s="1675"/>
      <c r="B88" s="1687"/>
      <c r="C88" s="1676"/>
      <c r="D88" s="1865"/>
      <c r="E88" s="1562">
        <f t="shared" si="2"/>
        <v>0</v>
      </c>
      <c r="F88" s="1813">
        <f t="shared" si="3"/>
        <v>0</v>
      </c>
      <c r="G88" s="1814">
        <f t="shared" si="4"/>
        <v>0</v>
      </c>
    </row>
    <row r="89" spans="1:7" x14ac:dyDescent="0.25">
      <c r="A89" s="1675"/>
      <c r="B89" s="1687"/>
      <c r="C89" s="1676"/>
      <c r="D89" s="1865"/>
      <c r="E89" s="1562">
        <f t="shared" si="2"/>
        <v>0</v>
      </c>
      <c r="F89" s="1813">
        <f t="shared" si="3"/>
        <v>0</v>
      </c>
      <c r="G89" s="1814">
        <f t="shared" si="4"/>
        <v>0</v>
      </c>
    </row>
    <row r="90" spans="1:7" x14ac:dyDescent="0.25">
      <c r="A90" s="1675"/>
      <c r="B90" s="1687"/>
      <c r="C90" s="1676"/>
      <c r="D90" s="1865"/>
      <c r="E90" s="1562">
        <f t="shared" si="2"/>
        <v>0</v>
      </c>
      <c r="F90" s="1813">
        <f t="shared" si="3"/>
        <v>0</v>
      </c>
      <c r="G90" s="1814">
        <f t="shared" si="4"/>
        <v>0</v>
      </c>
    </row>
    <row r="91" spans="1:7" x14ac:dyDescent="0.25">
      <c r="A91" s="1675"/>
      <c r="B91" s="1687"/>
      <c r="C91" s="1676"/>
      <c r="D91" s="1865"/>
      <c r="E91" s="1562">
        <f t="shared" si="2"/>
        <v>0</v>
      </c>
      <c r="F91" s="1813">
        <f t="shared" si="3"/>
        <v>0</v>
      </c>
      <c r="G91" s="1814">
        <f t="shared" si="4"/>
        <v>0</v>
      </c>
    </row>
    <row r="92" spans="1:7" x14ac:dyDescent="0.25">
      <c r="A92" s="1675"/>
      <c r="B92" s="1687"/>
      <c r="C92" s="1676"/>
      <c r="D92" s="1865"/>
      <c r="E92" s="1562">
        <f t="shared" si="2"/>
        <v>0</v>
      </c>
      <c r="F92" s="1813">
        <f t="shared" si="3"/>
        <v>0</v>
      </c>
      <c r="G92" s="1814">
        <f t="shared" si="4"/>
        <v>0</v>
      </c>
    </row>
    <row r="93" spans="1:7" x14ac:dyDescent="0.25">
      <c r="A93" s="1675"/>
      <c r="B93" s="1687"/>
      <c r="C93" s="1676"/>
      <c r="D93" s="1865"/>
      <c r="E93" s="1562">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5"/>
      <c r="B94" s="1687"/>
      <c r="C94" s="1676"/>
      <c r="D94" s="1865"/>
      <c r="E94" s="1562">
        <f t="shared" si="2"/>
        <v>0</v>
      </c>
      <c r="F94" s="1813">
        <f t="shared" si="3"/>
        <v>0</v>
      </c>
      <c r="G94" s="1814">
        <f t="shared" si="4"/>
        <v>0</v>
      </c>
    </row>
    <row r="95" spans="1:7" x14ac:dyDescent="0.25">
      <c r="A95" s="1675"/>
      <c r="B95" s="1687"/>
      <c r="C95" s="1676"/>
      <c r="D95" s="1865"/>
      <c r="E95" s="1562">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5"/>
      <c r="B96" s="1687"/>
      <c r="C96" s="1676"/>
      <c r="D96" s="1865"/>
      <c r="E96" s="1562">
        <f t="shared" si="11"/>
        <v>0</v>
      </c>
      <c r="F96" s="1813">
        <f t="shared" si="12"/>
        <v>0</v>
      </c>
      <c r="G96" s="1814">
        <f t="shared" si="13"/>
        <v>0</v>
      </c>
    </row>
    <row r="97" spans="1:7" x14ac:dyDescent="0.25">
      <c r="A97" s="1675"/>
      <c r="B97" s="1687"/>
      <c r="C97" s="1676"/>
      <c r="D97" s="1865"/>
      <c r="E97" s="1562">
        <f t="shared" si="11"/>
        <v>0</v>
      </c>
      <c r="F97" s="1813">
        <f t="shared" si="12"/>
        <v>0</v>
      </c>
      <c r="G97" s="1814">
        <f t="shared" si="13"/>
        <v>0</v>
      </c>
    </row>
    <row r="98" spans="1:7" x14ac:dyDescent="0.25">
      <c r="A98" s="1675"/>
      <c r="B98" s="1687"/>
      <c r="C98" s="1676"/>
      <c r="D98" s="1865"/>
      <c r="E98" s="1562">
        <f t="shared" si="11"/>
        <v>0</v>
      </c>
      <c r="F98" s="1813">
        <f t="shared" si="12"/>
        <v>0</v>
      </c>
      <c r="G98" s="1814">
        <f t="shared" si="13"/>
        <v>0</v>
      </c>
    </row>
    <row r="99" spans="1:7" x14ac:dyDescent="0.25">
      <c r="A99" s="1675"/>
      <c r="B99" s="1687"/>
      <c r="C99" s="1676"/>
      <c r="D99" s="1865"/>
      <c r="E99" s="1562">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5"/>
      <c r="B100" s="1687"/>
      <c r="C100" s="1676"/>
      <c r="D100" s="1865"/>
      <c r="E100" s="1562">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5"/>
      <c r="B101" s="1687"/>
      <c r="C101" s="1676"/>
      <c r="D101" s="1865"/>
      <c r="E101" s="1562">
        <f t="shared" si="17"/>
        <v>0</v>
      </c>
      <c r="F101" s="1813">
        <f t="shared" si="18"/>
        <v>0</v>
      </c>
      <c r="G101" s="1814">
        <f t="shared" si="19"/>
        <v>0</v>
      </c>
    </row>
    <row r="102" spans="1:7" x14ac:dyDescent="0.25">
      <c r="A102" s="1675"/>
      <c r="B102" s="1687"/>
      <c r="C102" s="1676"/>
      <c r="D102" s="1865"/>
      <c r="E102" s="1562">
        <f t="shared" si="17"/>
        <v>0</v>
      </c>
      <c r="F102" s="1813">
        <f t="shared" si="18"/>
        <v>0</v>
      </c>
      <c r="G102" s="1814">
        <f t="shared" si="19"/>
        <v>0</v>
      </c>
    </row>
    <row r="103" spans="1:7" x14ac:dyDescent="0.25">
      <c r="A103" s="1675"/>
      <c r="B103" s="1687"/>
      <c r="C103" s="1676"/>
      <c r="D103" s="1865"/>
      <c r="E103" s="1562">
        <f t="shared" si="17"/>
        <v>0</v>
      </c>
      <c r="F103" s="1813">
        <f t="shared" si="18"/>
        <v>0</v>
      </c>
      <c r="G103" s="1814">
        <f t="shared" si="19"/>
        <v>0</v>
      </c>
    </row>
    <row r="104" spans="1:7" x14ac:dyDescent="0.25">
      <c r="A104" s="1675"/>
      <c r="B104" s="1687"/>
      <c r="C104" s="1676"/>
      <c r="D104" s="1865"/>
      <c r="E104" s="1562">
        <f t="shared" si="17"/>
        <v>0</v>
      </c>
      <c r="F104" s="1813">
        <f t="shared" si="18"/>
        <v>0</v>
      </c>
      <c r="G104" s="1814">
        <f t="shared" si="19"/>
        <v>0</v>
      </c>
    </row>
    <row r="105" spans="1:7" x14ac:dyDescent="0.25">
      <c r="A105" s="1675"/>
      <c r="B105" s="1687"/>
      <c r="C105" s="1676"/>
      <c r="D105" s="1865"/>
      <c r="E105" s="1562">
        <f t="shared" si="17"/>
        <v>0</v>
      </c>
      <c r="F105" s="1813">
        <f t="shared" si="18"/>
        <v>0</v>
      </c>
      <c r="G105" s="1814">
        <f t="shared" si="19"/>
        <v>0</v>
      </c>
    </row>
    <row r="106" spans="1:7" x14ac:dyDescent="0.25">
      <c r="A106" s="1675"/>
      <c r="B106" s="1687"/>
      <c r="C106" s="1676"/>
      <c r="D106" s="1865"/>
      <c r="E106" s="1562">
        <f t="shared" si="17"/>
        <v>0</v>
      </c>
      <c r="F106" s="1813">
        <f t="shared" si="18"/>
        <v>0</v>
      </c>
      <c r="G106" s="1814">
        <f t="shared" si="19"/>
        <v>0</v>
      </c>
    </row>
    <row r="107" spans="1:7" x14ac:dyDescent="0.25">
      <c r="A107" s="1675"/>
      <c r="B107" s="1687"/>
      <c r="C107" s="1676"/>
      <c r="D107" s="1865"/>
      <c r="E107" s="1562">
        <f t="shared" si="17"/>
        <v>0</v>
      </c>
      <c r="F107" s="1813">
        <f t="shared" si="18"/>
        <v>0</v>
      </c>
      <c r="G107" s="1814">
        <f t="shared" si="19"/>
        <v>0</v>
      </c>
    </row>
    <row r="108" spans="1:7" x14ac:dyDescent="0.25">
      <c r="A108" s="1675"/>
      <c r="B108" s="1687"/>
      <c r="C108" s="1676"/>
      <c r="D108" s="1865"/>
      <c r="E108" s="1562">
        <f t="shared" si="17"/>
        <v>0</v>
      </c>
      <c r="F108" s="1813">
        <f t="shared" si="18"/>
        <v>0</v>
      </c>
      <c r="G108" s="1814">
        <f t="shared" si="19"/>
        <v>0</v>
      </c>
    </row>
    <row r="109" spans="1:7" x14ac:dyDescent="0.25">
      <c r="A109" s="1675"/>
      <c r="B109" s="1687"/>
      <c r="C109" s="1676"/>
      <c r="D109" s="1865"/>
      <c r="E109" s="1562">
        <f t="shared" si="17"/>
        <v>0</v>
      </c>
      <c r="F109" s="1813">
        <f t="shared" si="18"/>
        <v>0</v>
      </c>
      <c r="G109" s="1814">
        <f t="shared" si="19"/>
        <v>0</v>
      </c>
    </row>
    <row r="110" spans="1:7" x14ac:dyDescent="0.25">
      <c r="A110" s="1675"/>
      <c r="B110" s="1687"/>
      <c r="C110" s="1676"/>
      <c r="D110" s="1865"/>
      <c r="E110" s="1562">
        <f t="shared" si="17"/>
        <v>0</v>
      </c>
      <c r="F110" s="1813">
        <f t="shared" si="18"/>
        <v>0</v>
      </c>
      <c r="G110" s="1814">
        <f t="shared" si="19"/>
        <v>0</v>
      </c>
    </row>
    <row r="111" spans="1:7" x14ac:dyDescent="0.25">
      <c r="A111" s="1675"/>
      <c r="B111" s="1687"/>
      <c r="C111" s="1676"/>
      <c r="D111" s="1865"/>
      <c r="E111" s="1562">
        <f t="shared" si="17"/>
        <v>0</v>
      </c>
      <c r="F111" s="1813">
        <f t="shared" si="18"/>
        <v>0</v>
      </c>
      <c r="G111" s="1814">
        <f t="shared" si="19"/>
        <v>0</v>
      </c>
    </row>
    <row r="112" spans="1:7" x14ac:dyDescent="0.25">
      <c r="A112" s="1675"/>
      <c r="B112" s="1687"/>
      <c r="C112" s="1676"/>
      <c r="D112" s="1865"/>
      <c r="E112" s="1562">
        <f t="shared" si="17"/>
        <v>0</v>
      </c>
      <c r="F112" s="1813">
        <f t="shared" si="18"/>
        <v>0</v>
      </c>
      <c r="G112" s="1814">
        <f t="shared" si="19"/>
        <v>0</v>
      </c>
    </row>
    <row r="113" spans="1:7" x14ac:dyDescent="0.25">
      <c r="A113" s="1675"/>
      <c r="B113" s="1687"/>
      <c r="C113" s="1676"/>
      <c r="D113" s="1865"/>
      <c r="E113" s="1562">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5"/>
      <c r="B114" s="1687"/>
      <c r="C114" s="1676"/>
      <c r="D114" s="1865"/>
      <c r="E114" s="1562">
        <f t="shared" si="20"/>
        <v>0</v>
      </c>
      <c r="F114" s="1813">
        <f t="shared" si="21"/>
        <v>0</v>
      </c>
      <c r="G114" s="1814">
        <f t="shared" si="22"/>
        <v>0</v>
      </c>
    </row>
    <row r="115" spans="1:7" x14ac:dyDescent="0.25">
      <c r="A115" s="1675"/>
      <c r="B115" s="1687"/>
      <c r="C115" s="1676"/>
      <c r="D115" s="1865"/>
      <c r="E115" s="1562">
        <f t="shared" si="20"/>
        <v>0</v>
      </c>
      <c r="F115" s="1813">
        <f t="shared" si="21"/>
        <v>0</v>
      </c>
      <c r="G115" s="1814">
        <f t="shared" si="22"/>
        <v>0</v>
      </c>
    </row>
    <row r="116" spans="1:7" x14ac:dyDescent="0.25">
      <c r="A116" s="1675"/>
      <c r="B116" s="1687"/>
      <c r="C116" s="1676"/>
      <c r="D116" s="1865"/>
      <c r="E116" s="1562">
        <f t="shared" si="20"/>
        <v>0</v>
      </c>
      <c r="F116" s="1813">
        <f t="shared" si="21"/>
        <v>0</v>
      </c>
      <c r="G116" s="1814">
        <f t="shared" si="22"/>
        <v>0</v>
      </c>
    </row>
    <row r="117" spans="1:7" x14ac:dyDescent="0.25">
      <c r="A117" s="1675"/>
      <c r="B117" s="1687"/>
      <c r="C117" s="1676"/>
      <c r="D117" s="1865"/>
      <c r="E117" s="1562">
        <f t="shared" si="20"/>
        <v>0</v>
      </c>
      <c r="F117" s="1813">
        <f t="shared" si="21"/>
        <v>0</v>
      </c>
      <c r="G117" s="1814">
        <f t="shared" si="22"/>
        <v>0</v>
      </c>
    </row>
    <row r="118" spans="1:7" x14ac:dyDescent="0.25">
      <c r="A118" s="1675"/>
      <c r="B118" s="1687"/>
      <c r="C118" s="1676"/>
      <c r="D118" s="1865"/>
      <c r="E118" s="1562">
        <f t="shared" si="20"/>
        <v>0</v>
      </c>
      <c r="F118" s="1813">
        <f t="shared" si="21"/>
        <v>0</v>
      </c>
      <c r="G118" s="1814">
        <f t="shared" si="22"/>
        <v>0</v>
      </c>
    </row>
    <row r="119" spans="1:7" x14ac:dyDescent="0.25">
      <c r="A119" s="1675"/>
      <c r="B119" s="1687"/>
      <c r="C119" s="1676"/>
      <c r="D119" s="1865"/>
      <c r="E119" s="1562">
        <f t="shared" si="20"/>
        <v>0</v>
      </c>
      <c r="F119" s="1813">
        <f t="shared" si="21"/>
        <v>0</v>
      </c>
      <c r="G119" s="1814">
        <f t="shared" si="22"/>
        <v>0</v>
      </c>
    </row>
    <row r="120" spans="1:7" x14ac:dyDescent="0.25">
      <c r="A120" s="1675"/>
      <c r="B120" s="1687"/>
      <c r="C120" s="1676"/>
      <c r="D120" s="1865"/>
      <c r="E120" s="1562">
        <f t="shared" si="20"/>
        <v>0</v>
      </c>
      <c r="F120" s="1813">
        <f t="shared" si="21"/>
        <v>0</v>
      </c>
      <c r="G120" s="1814">
        <f t="shared" si="22"/>
        <v>0</v>
      </c>
    </row>
    <row r="121" spans="1:7" x14ac:dyDescent="0.25">
      <c r="A121" s="1675"/>
      <c r="B121" s="1687"/>
      <c r="C121" s="1676"/>
      <c r="D121" s="1865"/>
      <c r="E121" s="1562">
        <f t="shared" si="20"/>
        <v>0</v>
      </c>
      <c r="F121" s="1813">
        <f t="shared" si="21"/>
        <v>0</v>
      </c>
      <c r="G121" s="1814">
        <f t="shared" si="22"/>
        <v>0</v>
      </c>
    </row>
    <row r="122" spans="1:7" x14ac:dyDescent="0.25">
      <c r="A122" s="1675"/>
      <c r="B122" s="1687"/>
      <c r="C122" s="1676"/>
      <c r="D122" s="1865"/>
      <c r="E122" s="1562">
        <f t="shared" si="20"/>
        <v>0</v>
      </c>
      <c r="F122" s="1813">
        <f t="shared" si="21"/>
        <v>0</v>
      </c>
      <c r="G122" s="1814">
        <f t="shared" si="22"/>
        <v>0</v>
      </c>
    </row>
    <row r="123" spans="1:7" x14ac:dyDescent="0.25">
      <c r="A123" s="1675"/>
      <c r="B123" s="1687"/>
      <c r="C123" s="1676"/>
      <c r="D123" s="1865"/>
      <c r="E123" s="1562">
        <f t="shared" si="20"/>
        <v>0</v>
      </c>
      <c r="F123" s="1813">
        <f t="shared" si="21"/>
        <v>0</v>
      </c>
      <c r="G123" s="1814">
        <f t="shared" si="22"/>
        <v>0</v>
      </c>
    </row>
    <row r="124" spans="1:7" x14ac:dyDescent="0.25">
      <c r="A124" s="1675"/>
      <c r="B124" s="1687"/>
      <c r="C124" s="1676"/>
      <c r="D124" s="1865"/>
      <c r="E124" s="1562">
        <f t="shared" si="20"/>
        <v>0</v>
      </c>
      <c r="F124" s="1813">
        <f t="shared" si="21"/>
        <v>0</v>
      </c>
      <c r="G124" s="1814">
        <f t="shared" si="22"/>
        <v>0</v>
      </c>
    </row>
    <row r="125" spans="1:7" x14ac:dyDescent="0.25">
      <c r="A125" s="1675"/>
      <c r="B125" s="1687"/>
      <c r="C125" s="1676"/>
      <c r="D125" s="1865"/>
      <c r="E125" s="1562">
        <f t="shared" si="20"/>
        <v>0</v>
      </c>
      <c r="F125" s="1813">
        <f t="shared" si="21"/>
        <v>0</v>
      </c>
      <c r="G125" s="1814">
        <f t="shared" si="22"/>
        <v>0</v>
      </c>
    </row>
    <row r="126" spans="1:7" x14ac:dyDescent="0.25">
      <c r="A126" s="167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5"/>
      <c r="B127" s="1687"/>
      <c r="C127" s="1676"/>
      <c r="D127" s="1865"/>
      <c r="E127" s="1562">
        <f t="shared" si="23"/>
        <v>0</v>
      </c>
      <c r="F127" s="1813">
        <f t="shared" si="24"/>
        <v>0</v>
      </c>
      <c r="G127" s="1814">
        <f t="shared" si="25"/>
        <v>0</v>
      </c>
    </row>
    <row r="128" spans="1:7" x14ac:dyDescent="0.25">
      <c r="A128" s="1675"/>
      <c r="B128" s="1687"/>
      <c r="C128" s="1676"/>
      <c r="D128" s="1865"/>
      <c r="E128" s="1562">
        <f t="shared" si="23"/>
        <v>0</v>
      </c>
      <c r="F128" s="1813">
        <f t="shared" si="24"/>
        <v>0</v>
      </c>
      <c r="G128" s="1814">
        <f t="shared" si="25"/>
        <v>0</v>
      </c>
    </row>
    <row r="129" spans="1:7" x14ac:dyDescent="0.25">
      <c r="A129" s="1675"/>
      <c r="B129" s="1687"/>
      <c r="C129" s="1676"/>
      <c r="D129" s="1865"/>
      <c r="E129" s="1562">
        <f t="shared" si="23"/>
        <v>0</v>
      </c>
      <c r="F129" s="1813">
        <f t="shared" si="24"/>
        <v>0</v>
      </c>
      <c r="G129" s="1814">
        <f t="shared" si="25"/>
        <v>0</v>
      </c>
    </row>
    <row r="130" spans="1:7" x14ac:dyDescent="0.25">
      <c r="A130" s="1675"/>
      <c r="B130" s="1687"/>
      <c r="C130" s="1676"/>
      <c r="D130" s="1865"/>
      <c r="E130" s="1562">
        <f t="shared" si="23"/>
        <v>0</v>
      </c>
      <c r="F130" s="1813">
        <f t="shared" si="24"/>
        <v>0</v>
      </c>
      <c r="G130" s="1814">
        <f t="shared" si="25"/>
        <v>0</v>
      </c>
    </row>
    <row r="131" spans="1:7" x14ac:dyDescent="0.25">
      <c r="A131" s="1675"/>
      <c r="B131" s="1858"/>
      <c r="C131" s="1676"/>
      <c r="D131" s="1865"/>
      <c r="E131" s="1562">
        <f t="shared" si="23"/>
        <v>0</v>
      </c>
      <c r="F131" s="1813">
        <f t="shared" si="24"/>
        <v>0</v>
      </c>
      <c r="G131" s="1814">
        <f t="shared" si="25"/>
        <v>0</v>
      </c>
    </row>
    <row r="132" spans="1:7" x14ac:dyDescent="0.25">
      <c r="A132" s="1675"/>
      <c r="B132" s="1858"/>
      <c r="C132" s="1676"/>
      <c r="D132" s="1865"/>
      <c r="E132" s="1562">
        <f t="shared" si="23"/>
        <v>0</v>
      </c>
      <c r="F132" s="1813">
        <f t="shared" si="24"/>
        <v>0</v>
      </c>
      <c r="G132" s="1814">
        <f t="shared" si="25"/>
        <v>0</v>
      </c>
    </row>
    <row r="133" spans="1:7" x14ac:dyDescent="0.25">
      <c r="A133" s="1675"/>
      <c r="B133" s="1687"/>
      <c r="C133" s="1676"/>
      <c r="D133" s="1865"/>
      <c r="E133" s="1562">
        <f t="shared" si="23"/>
        <v>0</v>
      </c>
      <c r="F133" s="1813">
        <f t="shared" si="24"/>
        <v>0</v>
      </c>
      <c r="G133" s="1814">
        <f t="shared" si="25"/>
        <v>0</v>
      </c>
    </row>
    <row r="134" spans="1:7" x14ac:dyDescent="0.25">
      <c r="A134" s="1675"/>
      <c r="B134" s="1687"/>
      <c r="C134" s="1676"/>
      <c r="D134" s="1865"/>
      <c r="E134" s="1562">
        <f t="shared" si="23"/>
        <v>0</v>
      </c>
      <c r="F134" s="1813">
        <f t="shared" si="24"/>
        <v>0</v>
      </c>
      <c r="G134" s="1814">
        <f t="shared" si="25"/>
        <v>0</v>
      </c>
    </row>
    <row r="135" spans="1:7" x14ac:dyDescent="0.25">
      <c r="A135" s="167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5"/>
      <c r="B136" s="1687"/>
      <c r="C136" s="1676"/>
      <c r="D136" s="1865"/>
      <c r="E136" s="1562">
        <f t="shared" si="26"/>
        <v>0</v>
      </c>
      <c r="F136" s="1813">
        <f t="shared" si="27"/>
        <v>0</v>
      </c>
      <c r="G136" s="1814">
        <f t="shared" si="28"/>
        <v>0</v>
      </c>
    </row>
    <row r="137" spans="1:7" x14ac:dyDescent="0.25">
      <c r="A137" s="1675"/>
      <c r="B137" s="1687"/>
      <c r="C137" s="1676"/>
      <c r="D137" s="1865"/>
      <c r="E137" s="1562">
        <f t="shared" si="26"/>
        <v>0</v>
      </c>
      <c r="F137" s="1813">
        <f t="shared" si="27"/>
        <v>0</v>
      </c>
      <c r="G137" s="1814">
        <f t="shared" si="28"/>
        <v>0</v>
      </c>
    </row>
    <row r="138" spans="1:7" x14ac:dyDescent="0.25">
      <c r="A138" s="1675"/>
      <c r="B138" s="1687"/>
      <c r="C138" s="1676"/>
      <c r="D138" s="1865"/>
      <c r="E138" s="1562">
        <f t="shared" si="26"/>
        <v>0</v>
      </c>
      <c r="F138" s="1813">
        <f t="shared" si="27"/>
        <v>0</v>
      </c>
      <c r="G138" s="1814">
        <f t="shared" si="28"/>
        <v>0</v>
      </c>
    </row>
    <row r="139" spans="1:7" x14ac:dyDescent="0.25">
      <c r="A139" s="1675"/>
      <c r="B139" s="1687"/>
      <c r="C139" s="1676"/>
      <c r="D139" s="1865"/>
      <c r="E139" s="1562">
        <f t="shared" si="26"/>
        <v>0</v>
      </c>
      <c r="F139" s="1813">
        <f t="shared" si="27"/>
        <v>0</v>
      </c>
      <c r="G139" s="1814">
        <f t="shared" si="28"/>
        <v>0</v>
      </c>
    </row>
    <row r="140" spans="1:7" x14ac:dyDescent="0.25">
      <c r="A140" s="1675"/>
      <c r="B140" s="1686"/>
      <c r="C140" s="1676"/>
      <c r="D140" s="1865"/>
      <c r="E140" s="1562">
        <f t="shared" si="2"/>
        <v>0</v>
      </c>
      <c r="F140" s="1813">
        <f t="shared" si="3"/>
        <v>0</v>
      </c>
      <c r="G140" s="1814">
        <f t="shared" si="4"/>
        <v>0</v>
      </c>
    </row>
    <row r="141" spans="1:7" x14ac:dyDescent="0.25">
      <c r="A141" s="1817" t="s">
        <v>158</v>
      </c>
      <c r="B141" s="1818"/>
      <c r="C141" s="1819"/>
      <c r="D141" s="1815">
        <f>SUM(D17:D140)</f>
        <v>12582558</v>
      </c>
      <c r="E141" s="1563">
        <f t="shared" si="1"/>
        <v>25000</v>
      </c>
      <c r="F141" s="1815">
        <f>SUM(F17:F140)</f>
        <v>1400000</v>
      </c>
      <c r="G141" s="1816">
        <f>SUM(G17:G140)</f>
        <v>11182558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629059</v>
      </c>
      <c r="F10" s="975"/>
      <c r="G10" s="976"/>
      <c r="H10" s="162"/>
      <c r="I10" s="162"/>
    </row>
    <row r="11" spans="1:9" s="669" customFormat="1" ht="22.5" customHeight="1" x14ac:dyDescent="0.2">
      <c r="A11" s="2305" t="s">
        <v>1942</v>
      </c>
      <c r="B11" s="2306"/>
      <c r="C11" s="2306"/>
      <c r="D11" s="2307"/>
      <c r="E11" s="978">
        <v>113846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39665294</v>
      </c>
      <c r="F19" s="1820"/>
      <c r="G19" s="1822">
        <f>'Expenditures 15-22'!K33-SUM('Expenditures 15-22'!G33,'Expenditures 15-22'!I33)+'Expenditures 15-22'!D229</f>
        <v>39665294</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5067067</v>
      </c>
      <c r="F21" s="1823"/>
      <c r="G21" s="1826">
        <f>'Expenditures 15-22'!K42-SUM('Expenditures 15-22'!G42,'Expenditures 15-22'!I42)+'Expenditures 15-22'!K120-SUM('Expenditures 15-22'!G120,'Expenditures 15-22'!I120)+'Expenditures 15-22'!K180-SUM('Expenditures 15-22'!G180,'Expenditures 15-22'!I180)+'Expenditures 15-22'!D238</f>
        <v>5067067</v>
      </c>
      <c r="H21" s="988"/>
      <c r="I21" s="162"/>
    </row>
    <row r="22" spans="1:9" s="669" customFormat="1" ht="12" customHeight="1" x14ac:dyDescent="0.2">
      <c r="A22" s="995" t="s">
        <v>585</v>
      </c>
      <c r="B22" s="996"/>
      <c r="C22" s="994">
        <v>2200</v>
      </c>
      <c r="D22" s="1823"/>
      <c r="E22" s="1825">
        <f>'Expenditures 15-22'!K47-SUM('Expenditures 15-22'!G47,'Expenditures 15-22'!I47)+'Expenditures 15-22'!D243</f>
        <v>4946163</v>
      </c>
      <c r="F22" s="1823"/>
      <c r="G22" s="1826">
        <f>'Expenditures 15-22'!K47-SUM('Expenditures 15-22'!G47,'Expenditures 15-22'!I47)+'Expenditures 15-22'!D243</f>
        <v>4946163</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1054805</v>
      </c>
      <c r="F23" s="1823"/>
      <c r="G23" s="1825">
        <f>'Expenditures 15-22'!K53-SUM('Expenditures 15-22'!G53,'Expenditures 15-22'!I53)+'Expenditures 15-22'!D257+'Expenditures 15-22'!K330-SUM('Expenditures 15-22'!G330,'Expenditures 15-22'!I330)</f>
        <v>1054805</v>
      </c>
      <c r="H23" s="988"/>
      <c r="I23" s="162"/>
    </row>
    <row r="24" spans="1:9" s="669" customFormat="1" ht="12" customHeight="1" x14ac:dyDescent="0.2">
      <c r="A24" s="995" t="s">
        <v>587</v>
      </c>
      <c r="B24" s="996"/>
      <c r="C24" s="994">
        <v>2400</v>
      </c>
      <c r="D24" s="1823"/>
      <c r="E24" s="1825">
        <f>'Expenditures 15-22'!K57-SUM('Expenditures 15-22'!G57,'Expenditures 15-22'!I57)+'Expenditures 15-22'!D261</f>
        <v>2482460</v>
      </c>
      <c r="F24" s="1823"/>
      <c r="G24" s="1826">
        <f>'Expenditures 15-22'!K57-SUM('Expenditures 15-22'!G57,'Expenditures 15-22'!I57)+'Expenditures 15-22'!D261</f>
        <v>2482460</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311061</v>
      </c>
      <c r="E26" s="1825">
        <f>'Expenditures 15-22'!K122-SUM('Expenditures 15-22'!G122,'Expenditures 15-22'!I122)+E7</f>
        <v>0</v>
      </c>
      <c r="F26" s="1825">
        <f>'Expenditures 15-22'!K59-SUM('Expenditures 15-22'!G59,'Expenditures 15-22'!I59)+'Expenditures 15-22'!D263-E7</f>
        <v>311061</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410909</v>
      </c>
      <c r="E27" s="1825">
        <f>E8</f>
        <v>0</v>
      </c>
      <c r="F27" s="1825">
        <f>'Expenditures 15-22'!K60-SUM('Expenditures 15-22'!G60,'Expenditures 15-22'!I60)+'Expenditures 15-22'!D264-E8</f>
        <v>410909</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4618413</v>
      </c>
      <c r="F28" s="1827">
        <f>'Expenditures 15-22'!K61-SUM('Expenditures 15-22'!G61,'Expenditures 15-22'!I61)+'Expenditures 15-22'!K124-SUM('Expenditures 15-22'!G124,'Expenditures 15-22'!I124)+'Expenditures 15-22'!D266-E9</f>
        <v>4618413</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3940536</v>
      </c>
      <c r="F29" s="1823"/>
      <c r="G29" s="1826">
        <f>'Expenditures 15-22'!K62-SUM('Expenditures 15-22'!G62,'Expenditures 15-22'!I62)+'Expenditures 15-22'!K125-SUM('Expenditures 15-22'!G125,'Expenditures 15-22'!I125)+'Expenditures 15-22'!K182-SUM('Expenditures 15-22'!G182,'Expenditures 15-22'!I182)+'Expenditures 15-22'!D267</f>
        <v>3940536</v>
      </c>
      <c r="H29" s="986"/>
    </row>
    <row r="30" spans="1:9" ht="12" customHeight="1" x14ac:dyDescent="0.2">
      <c r="A30" s="995" t="s">
        <v>102</v>
      </c>
      <c r="B30" s="998"/>
      <c r="C30" s="994">
        <v>2560</v>
      </c>
      <c r="D30" s="1823"/>
      <c r="E30" s="1825">
        <f>'Expenditures 15-22'!K63-SUM('Expenditures 15-22'!G63,'Expenditures 15-22'!I63)+'Expenditures 15-22'!D268-E10</f>
        <v>987574</v>
      </c>
      <c r="F30" s="1823"/>
      <c r="G30" s="1825">
        <f>'Expenditures 15-22'!K63-SUM('Expenditures 15-22'!G63,'Expenditures 15-22'!I63)+'Expenditures 15-22'!D268-E10</f>
        <v>987574</v>
      </c>
    </row>
    <row r="31" spans="1:9" ht="12" customHeight="1" x14ac:dyDescent="0.2">
      <c r="A31" s="995" t="s">
        <v>103</v>
      </c>
      <c r="B31" s="998"/>
      <c r="C31" s="994">
        <v>2570</v>
      </c>
      <c r="D31" s="1825">
        <f>'Expenditures 15-22'!K64-SUM('Expenditures 15-22'!G64,'Expenditures 15-22'!I64)+'Expenditures 15-22'!D269-E12</f>
        <v>90248</v>
      </c>
      <c r="E31" s="1825">
        <f>E12</f>
        <v>0</v>
      </c>
      <c r="F31" s="1825">
        <f>'Expenditures 15-22'!K64-SUM('Expenditures 15-22'!G64,'Expenditures 15-22'!I64)+'Expenditures 15-22'!D269-E12</f>
        <v>90248</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424631</v>
      </c>
      <c r="F35" s="1823"/>
      <c r="G35" s="1825">
        <f>'Expenditures 15-22'!K69-SUM('Expenditures 15-22'!G69,'Expenditures 15-22'!I69)+'Expenditures 15-22'!D274</f>
        <v>424631</v>
      </c>
    </row>
    <row r="36" spans="1:7" ht="12" customHeight="1" x14ac:dyDescent="0.2">
      <c r="A36" s="995" t="s">
        <v>423</v>
      </c>
      <c r="B36" s="998"/>
      <c r="C36" s="994">
        <v>2640</v>
      </c>
      <c r="D36" s="1825">
        <f>'Expenditures 15-22'!K70-SUM('Expenditures 15-22'!G70,'Expenditures 15-22'!I70)+'Expenditures 15-22'!D275-E13</f>
        <v>649907</v>
      </c>
      <c r="E36" s="1825">
        <f>E13</f>
        <v>0</v>
      </c>
      <c r="F36" s="1825">
        <f>'Expenditures 15-22'!K70-SUM('Expenditures 15-22'!G70,'Expenditures 15-22'!I70)+'Expenditures 15-22'!D275-E13</f>
        <v>649907</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27394</v>
      </c>
      <c r="F39" s="1823"/>
      <c r="G39" s="1825">
        <f>'Expenditures 15-22'!K75-SUM('Expenditures 15-22'!G75,'Expenditures 15-22'!I75)+'Expenditures 15-22'!K130-SUM('Expenditures 15-22'!G130,'Expenditures 15-22'!I130)+'Expenditures 15-22'!K185-SUM('Expenditures 15-22'!G185,'Expenditures 15-22'!I185)+'Expenditures 15-22'!D280</f>
        <v>27394</v>
      </c>
    </row>
    <row r="40" spans="1:7" ht="12" customHeight="1" x14ac:dyDescent="0.2">
      <c r="A40" s="991" t="s">
        <v>1927</v>
      </c>
      <c r="B40" s="992"/>
      <c r="C40" s="994"/>
      <c r="D40" s="1823"/>
      <c r="E40" s="1827">
        <f>-'Contracts Paid in CY 29'!G141</f>
        <v>-11182558</v>
      </c>
      <c r="F40" s="1823"/>
      <c r="G40" s="1827">
        <f>-'Contracts Paid in CY 29'!G141</f>
        <v>-11182558</v>
      </c>
    </row>
    <row r="41" spans="1:7" ht="12" customHeight="1" x14ac:dyDescent="0.2">
      <c r="A41" s="999" t="s">
        <v>158</v>
      </c>
      <c r="B41" s="1000"/>
      <c r="C41" s="1001"/>
      <c r="D41" s="1827">
        <f>SUM(D19:D39)</f>
        <v>1462125</v>
      </c>
      <c r="E41" s="1827">
        <f>SUM(E19:E40)</f>
        <v>52031779</v>
      </c>
      <c r="F41" s="1827">
        <f>SUM(F19:F39)</f>
        <v>6080538</v>
      </c>
      <c r="G41" s="1827">
        <f>SUM(G19:G40)</f>
        <v>47413366</v>
      </c>
    </row>
    <row r="42" spans="1:7" x14ac:dyDescent="0.2">
      <c r="A42" s="988"/>
      <c r="B42" s="162"/>
      <c r="C42" s="1002"/>
      <c r="D42" s="2303" t="s">
        <v>543</v>
      </c>
      <c r="E42" s="2304"/>
      <c r="F42" s="1003" t="s">
        <v>544</v>
      </c>
      <c r="G42" s="1004"/>
    </row>
    <row r="43" spans="1:7" ht="12" customHeight="1" x14ac:dyDescent="0.2">
      <c r="A43" s="988"/>
      <c r="B43" s="162"/>
      <c r="C43" s="1002"/>
      <c r="D43" s="1828" t="s">
        <v>493</v>
      </c>
      <c r="E43" s="1829">
        <f>D41</f>
        <v>1462125</v>
      </c>
      <c r="F43" s="1828" t="s">
        <v>495</v>
      </c>
      <c r="G43" s="1829">
        <f>F41</f>
        <v>6080538</v>
      </c>
    </row>
    <row r="44" spans="1:7" ht="12" customHeight="1" x14ac:dyDescent="0.2">
      <c r="A44" s="988"/>
      <c r="B44" s="162"/>
      <c r="C44" s="1002"/>
      <c r="D44" s="1828" t="s">
        <v>494</v>
      </c>
      <c r="E44" s="1829">
        <f>E41</f>
        <v>52031779</v>
      </c>
      <c r="F44" s="1828" t="s">
        <v>494</v>
      </c>
      <c r="G44" s="1829">
        <f>G41</f>
        <v>47413366</v>
      </c>
    </row>
    <row r="45" spans="1:7" ht="12" customHeight="1" x14ac:dyDescent="0.2">
      <c r="A45" s="988"/>
      <c r="B45" s="162"/>
      <c r="C45" s="162"/>
      <c r="D45" s="1830" t="s">
        <v>1063</v>
      </c>
      <c r="E45" s="1831">
        <f>(E43/E44)</f>
        <v>2.8100615202874383E-2</v>
      </c>
      <c r="F45" s="1830" t="s">
        <v>1063</v>
      </c>
      <c r="G45" s="1831">
        <f>(G43/G44)</f>
        <v>0.12824522941484476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2" t="s">
        <v>1446</v>
      </c>
      <c r="B1" s="2322"/>
      <c r="C1" s="2322"/>
      <c r="D1" s="2322"/>
      <c r="E1" s="2322"/>
      <c r="F1" s="2322"/>
    </row>
    <row r="2" spans="1:10" x14ac:dyDescent="0.2">
      <c r="A2" s="1908" t="s">
        <v>2045</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3" t="s">
        <v>1627</v>
      </c>
      <c r="B5" s="2324"/>
      <c r="C5" s="2325"/>
      <c r="D5" s="2325"/>
      <c r="E5" s="2325"/>
      <c r="F5" s="2325"/>
    </row>
    <row r="6" spans="1:10" ht="12" customHeight="1" x14ac:dyDescent="0.25">
      <c r="A6" s="1871"/>
      <c r="B6" s="1872"/>
      <c r="C6" s="2326" t="str">
        <f>COVER!A17</f>
        <v>Glenview CCSD 34</v>
      </c>
      <c r="D6" s="2326"/>
      <c r="E6" s="2326"/>
      <c r="F6" s="1873"/>
    </row>
    <row r="7" spans="1:10" ht="11.25" customHeight="1" thickBot="1" x14ac:dyDescent="0.3">
      <c r="A7" s="1871"/>
      <c r="B7" s="1872"/>
      <c r="C7" s="2327">
        <f>COVER!A13</f>
        <v>5016034004</v>
      </c>
      <c r="D7" s="2327"/>
      <c r="E7" s="2327"/>
      <c r="F7" s="1873"/>
    </row>
    <row r="8" spans="1:10" ht="25.5" customHeight="1" thickBot="1" x14ac:dyDescent="0.25">
      <c r="A8" s="1914" t="s">
        <v>2022</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t="s">
        <v>2074</v>
      </c>
      <c r="D19" s="1886" t="s">
        <v>2074</v>
      </c>
      <c r="E19" s="1889"/>
      <c r="F19" s="1888" t="s">
        <v>2096</v>
      </c>
      <c r="H19" s="1899">
        <f t="shared" si="0"/>
        <v>5</v>
      </c>
      <c r="I19" s="1899">
        <f t="shared" si="1"/>
        <v>5</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2074</v>
      </c>
      <c r="D26" s="1886" t="s">
        <v>2074</v>
      </c>
      <c r="E26" s="1889"/>
      <c r="F26" s="1888" t="s">
        <v>2097</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10</v>
      </c>
      <c r="I34" s="1899">
        <f>SUM(I11:I32)</f>
        <v>10</v>
      </c>
      <c r="J34" s="1899">
        <f>SUM(J11:J32)</f>
        <v>0</v>
      </c>
      <c r="K34" s="1899">
        <f>SUM(H34:J34)</f>
        <v>20</v>
      </c>
    </row>
    <row r="35" spans="1:11" ht="12" customHeight="1" x14ac:dyDescent="0.2">
      <c r="A35" s="1892" t="s">
        <v>1459</v>
      </c>
      <c r="B35" s="1893"/>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4"/>
      <c r="B39" s="1894"/>
      <c r="C39" s="1894"/>
      <c r="D39" s="1894"/>
      <c r="E39" s="1894"/>
      <c r="F39" s="1894"/>
    </row>
    <row r="40" spans="1:11" s="1891" customFormat="1" ht="12" customHeight="1" x14ac:dyDescent="0.25">
      <c r="A40" s="1895" t="s">
        <v>1458</v>
      </c>
      <c r="B40" s="1896"/>
      <c r="C40" s="2317"/>
      <c r="D40" s="2317"/>
      <c r="E40" s="2317"/>
      <c r="F40" s="2318"/>
      <c r="H40" s="1900"/>
      <c r="I40" s="1900"/>
      <c r="J40" s="1900"/>
      <c r="K40" s="1900"/>
    </row>
    <row r="41" spans="1:11" s="1891" customFormat="1" ht="12" customHeight="1" x14ac:dyDescent="0.25">
      <c r="A41" s="2319"/>
      <c r="B41" s="2320"/>
      <c r="C41" s="2320"/>
      <c r="D41" s="2320"/>
      <c r="E41" s="2320"/>
      <c r="F41" s="2321"/>
      <c r="H41" s="1900"/>
      <c r="I41" s="1900"/>
      <c r="J41" s="1900"/>
      <c r="K41" s="1900"/>
    </row>
    <row r="42" spans="1:11" s="1891" customFormat="1" ht="12" customHeight="1" x14ac:dyDescent="0.25">
      <c r="A42" s="2319"/>
      <c r="B42" s="2320"/>
      <c r="C42" s="2320"/>
      <c r="D42" s="2320"/>
      <c r="E42" s="2320"/>
      <c r="F42" s="2321"/>
      <c r="H42" s="1900"/>
      <c r="I42" s="1900"/>
      <c r="J42" s="1900"/>
      <c r="K42" s="1900"/>
    </row>
    <row r="43" spans="1:11" s="1891" customFormat="1" ht="15" x14ac:dyDescent="0.25">
      <c r="A43" s="2308"/>
      <c r="B43" s="2309"/>
      <c r="C43" s="2309"/>
      <c r="D43" s="2309"/>
      <c r="E43" s="2309"/>
      <c r="F43" s="2310"/>
      <c r="H43" s="1900"/>
      <c r="I43" s="1900"/>
      <c r="J43" s="1900"/>
      <c r="K43" s="1900"/>
    </row>
    <row r="44" spans="1:11" s="1891" customFormat="1" ht="12" hidden="1" customHeight="1" x14ac:dyDescent="0.25">
      <c r="A44" s="2308"/>
      <c r="B44" s="2309"/>
      <c r="C44" s="2309"/>
      <c r="D44" s="2309"/>
      <c r="E44" s="2309"/>
      <c r="F44" s="2310"/>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5" t="str">
        <f>COVER!A17</f>
        <v>Glenview CCSD 34</v>
      </c>
      <c r="J6" s="2336"/>
      <c r="Q6" s="1684"/>
    </row>
    <row r="7" spans="1:17" x14ac:dyDescent="0.2">
      <c r="A7" s="2337" t="s">
        <v>924</v>
      </c>
      <c r="B7" s="2338"/>
      <c r="C7" s="2338"/>
      <c r="D7" s="2338"/>
      <c r="E7" s="2339"/>
      <c r="F7" s="1018"/>
      <c r="G7" s="1010"/>
      <c r="H7" s="1017" t="s">
        <v>390</v>
      </c>
      <c r="I7" s="2340">
        <f>COVER!A13</f>
        <v>5016034004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419050</v>
      </c>
      <c r="F12" s="1040"/>
      <c r="G12" s="1832">
        <f t="shared" ref="G12:G18" si="0">SUM(E12:F12)</f>
        <v>419050</v>
      </c>
      <c r="H12" s="1041">
        <v>447598</v>
      </c>
      <c r="I12" s="1040"/>
      <c r="J12" s="1832">
        <f t="shared" ref="J12:J18" si="1">SUM(H12:I12)</f>
        <v>447598</v>
      </c>
    </row>
    <row r="13" spans="1:17" ht="15" customHeight="1" x14ac:dyDescent="0.2">
      <c r="A13" s="1036">
        <v>2</v>
      </c>
      <c r="B13" s="1037" t="s">
        <v>44</v>
      </c>
      <c r="C13" s="1038"/>
      <c r="D13" s="1039">
        <v>2330</v>
      </c>
      <c r="E13" s="1832">
        <f>'Expenditures 15-22'!K51</f>
        <v>19248</v>
      </c>
      <c r="F13" s="1040"/>
      <c r="G13" s="1832">
        <f t="shared" si="0"/>
        <v>19248</v>
      </c>
      <c r="H13" s="1041">
        <v>19000</v>
      </c>
      <c r="I13" s="1040"/>
      <c r="J13" s="1832">
        <f t="shared" si="1"/>
        <v>19000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308612</v>
      </c>
      <c r="F15" s="1832">
        <f>'Expenditures 15-22'!K122</f>
        <v>0</v>
      </c>
      <c r="G15" s="1832">
        <f t="shared" si="0"/>
        <v>308612</v>
      </c>
      <c r="H15" s="1041">
        <v>304551</v>
      </c>
      <c r="I15" s="1041"/>
      <c r="J15" s="1832">
        <f t="shared" si="1"/>
        <v>304551</v>
      </c>
    </row>
    <row r="16" spans="1:17" ht="15" customHeight="1" x14ac:dyDescent="0.2">
      <c r="A16" s="1036">
        <v>5</v>
      </c>
      <c r="B16" s="1037" t="s">
        <v>103</v>
      </c>
      <c r="C16" s="1038"/>
      <c r="D16" s="1039">
        <v>2570</v>
      </c>
      <c r="E16" s="1832">
        <f>'Expenditures 15-22'!K64</f>
        <v>90248</v>
      </c>
      <c r="F16" s="1040"/>
      <c r="G16" s="1832">
        <f t="shared" si="0"/>
        <v>90248</v>
      </c>
      <c r="H16" s="1041">
        <v>107000</v>
      </c>
      <c r="I16" s="1040"/>
      <c r="J16" s="1832">
        <f t="shared" si="1"/>
        <v>107000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4" t="s">
        <v>7</v>
      </c>
      <c r="C18" s="2345"/>
      <c r="D18" s="2346"/>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837158</v>
      </c>
      <c r="F19" s="1834">
        <f t="shared" si="2"/>
        <v>0</v>
      </c>
      <c r="G19" s="1834">
        <f t="shared" si="2"/>
        <v>837158</v>
      </c>
      <c r="H19" s="1834">
        <f t="shared" si="2"/>
        <v>878149</v>
      </c>
      <c r="I19" s="1834">
        <f t="shared" si="2"/>
        <v>0</v>
      </c>
      <c r="J19" s="1834">
        <f t="shared" si="2"/>
        <v>878149</v>
      </c>
    </row>
    <row r="20" spans="1:10" ht="13.5" thickTop="1" x14ac:dyDescent="0.2">
      <c r="A20" s="1036">
        <v>9</v>
      </c>
      <c r="B20" s="2347" t="s">
        <v>1703</v>
      </c>
      <c r="C20" s="2347"/>
      <c r="D20" s="2348"/>
      <c r="E20" s="1047"/>
      <c r="F20" s="1047"/>
      <c r="G20" s="1047"/>
      <c r="H20" s="1047"/>
      <c r="I20" s="1047"/>
      <c r="J20" s="1835">
        <f>IF(AND(G19&gt;0,J19&gt;0),(((J19-G19)/G19)),"Enter Budget Data")</f>
        <v>4.8964472656296658E-2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26" sqref="B2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4" t="s">
        <v>2098</v>
      </c>
    </row>
    <row r="6" spans="1:2" x14ac:dyDescent="0.2">
      <c r="A6" s="1069"/>
      <c r="B6" s="329" t="s">
        <v>2099</v>
      </c>
    </row>
    <row r="7" spans="1:2" x14ac:dyDescent="0.2">
      <c r="A7" s="1069"/>
    </row>
    <row r="8" spans="1:2" x14ac:dyDescent="0.2">
      <c r="A8" s="1069"/>
      <c r="B8" s="329" t="s">
        <v>2100</v>
      </c>
    </row>
    <row r="9" spans="1:2" x14ac:dyDescent="0.2">
      <c r="A9" s="1069"/>
    </row>
    <row r="10" spans="1:2" x14ac:dyDescent="0.2">
      <c r="A10" s="1069"/>
      <c r="B10" s="329" t="s">
        <v>2101</v>
      </c>
    </row>
    <row r="11" spans="1:2" x14ac:dyDescent="0.2">
      <c r="A11" s="1069"/>
      <c r="B11" s="329" t="s">
        <v>2102</v>
      </c>
    </row>
    <row r="12" spans="1:2" x14ac:dyDescent="0.2">
      <c r="A12" s="1069"/>
    </row>
    <row r="13" spans="1:2" x14ac:dyDescent="0.2">
      <c r="A13" s="1069"/>
    </row>
    <row r="14" spans="1:2" x14ac:dyDescent="0.2">
      <c r="A14" s="1069"/>
    </row>
    <row r="15" spans="1:2" x14ac:dyDescent="0.2">
      <c r="A15" s="1069">
        <v>2</v>
      </c>
      <c r="B15" s="1954" t="s">
        <v>2103</v>
      </c>
    </row>
    <row r="16" spans="1:2" x14ac:dyDescent="0.2">
      <c r="A16" s="1069"/>
      <c r="B16" s="329" t="s">
        <v>2104</v>
      </c>
    </row>
    <row r="17" spans="1:2" x14ac:dyDescent="0.2">
      <c r="A17" s="1069"/>
      <c r="B17" s="329" t="s">
        <v>2105</v>
      </c>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v>3</v>
      </c>
      <c r="B24" s="1954" t="s">
        <v>2106</v>
      </c>
    </row>
    <row r="25" spans="1:2" x14ac:dyDescent="0.2">
      <c r="A25" s="1069"/>
      <c r="B25" s="329" t="s">
        <v>2107</v>
      </c>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v>4</v>
      </c>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Glenview CCSD 34</v>
      </c>
    </row>
    <row r="66" spans="1:2" x14ac:dyDescent="0.2">
      <c r="B66" s="1071">
        <f>COVER!A13</f>
        <v>5016034004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466725</xdr:colOff>
                <xdr:row>2</xdr:row>
                <xdr:rowOff>76200</xdr:rowOff>
              </from>
              <to>
                <xdr:col>1</xdr:col>
                <xdr:colOff>1333500</xdr:colOff>
                <xdr:row>5</xdr:row>
                <xdr:rowOff>104775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58220848</v>
      </c>
      <c r="C8" s="1836">
        <f>'Acct Summary 7-8'!D8</f>
        <v>4829712</v>
      </c>
      <c r="D8" s="1836">
        <f>'Acct Summary 7-8'!F8</f>
        <v>4698810</v>
      </c>
      <c r="E8" s="1836">
        <f>'Acct Summary 7-8'!I8</f>
        <v>34148</v>
      </c>
      <c r="F8" s="1836">
        <f>SUM(B8:E8)</f>
        <v>67783518</v>
      </c>
    </row>
    <row r="9" spans="1:8" s="1080" customFormat="1" ht="14.25" customHeight="1" thickBot="1" x14ac:dyDescent="0.25">
      <c r="A9" s="1079" t="s">
        <v>1436</v>
      </c>
      <c r="B9" s="1837">
        <f>'Acct Summary 7-8'!C17</f>
        <v>56944073</v>
      </c>
      <c r="C9" s="1837">
        <f>'Acct Summary 7-8'!D17</f>
        <v>4933298</v>
      </c>
      <c r="D9" s="1837">
        <f>'Acct Summary 7-8'!F17</f>
        <v>3895892</v>
      </c>
      <c r="E9" s="1836"/>
      <c r="F9" s="1836">
        <f>SUM(B9:E9)</f>
        <v>65773263</v>
      </c>
    </row>
    <row r="10" spans="1:8" s="1080" customFormat="1" ht="14.25" thickTop="1" thickBot="1" x14ac:dyDescent="0.25">
      <c r="A10" s="1081" t="s">
        <v>1437</v>
      </c>
      <c r="B10" s="1838">
        <f>(B8-B9)</f>
        <v>1276775</v>
      </c>
      <c r="C10" s="1838">
        <f>(C8-C9)</f>
        <v>-103586</v>
      </c>
      <c r="D10" s="1838">
        <f>(D8-D9)</f>
        <v>802918</v>
      </c>
      <c r="E10" s="1837">
        <f>(E8-E9)</f>
        <v>34148</v>
      </c>
      <c r="F10" s="1839">
        <f>SUM(F8-F9)</f>
        <v>2010255</v>
      </c>
    </row>
    <row r="11" spans="1:8" s="1080" customFormat="1" ht="14.25" thickTop="1" thickBot="1" x14ac:dyDescent="0.25">
      <c r="A11" s="1082" t="s">
        <v>1785</v>
      </c>
      <c r="B11" s="1840">
        <f>'Acct Summary 7-8'!C81</f>
        <v>41539922</v>
      </c>
      <c r="C11" s="1840">
        <f>'Acct Summary 7-8'!D81</f>
        <v>2869297</v>
      </c>
      <c r="D11" s="1840">
        <f>'Acct Summary 7-8'!F81</f>
        <v>2273932</v>
      </c>
      <c r="E11" s="1840">
        <f>'Acct Summary 7-8'!I81</f>
        <v>1939606</v>
      </c>
      <c r="F11" s="1841">
        <f>SUM(B11:E11)</f>
        <v>48622757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5016034004</v>
      </c>
    </row>
    <row r="3" spans="1:2" x14ac:dyDescent="0.2">
      <c r="A3" t="s">
        <v>1013</v>
      </c>
      <c r="B3" s="138" t="str">
        <f>COVER!A15</f>
        <v>COOK</v>
      </c>
    </row>
    <row r="4" spans="1:2" x14ac:dyDescent="0.2">
      <c r="A4" t="s">
        <v>1064</v>
      </c>
      <c r="B4" s="138" t="str">
        <f>COVER!A17</f>
        <v>Glenview CCSD 34</v>
      </c>
    </row>
    <row r="5" spans="1:2" x14ac:dyDescent="0.2">
      <c r="A5" t="s">
        <v>728</v>
      </c>
      <c r="B5" s="138" t="str">
        <f>COVER!A38</f>
        <v>Dr. Dane Delli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John D. Aceto, Jr., CPA</v>
      </c>
    </row>
    <row r="18" spans="1:2" x14ac:dyDescent="0.2">
      <c r="A18" t="s">
        <v>1212</v>
      </c>
      <c r="B18" s="138" t="str">
        <f>COVER!T17</f>
        <v>2122 Yeoman Street</v>
      </c>
    </row>
    <row r="19" spans="1:2" x14ac:dyDescent="0.2">
      <c r="A19" t="s">
        <v>941</v>
      </c>
      <c r="B19" s="138">
        <f>COVER!T25</f>
        <v>0</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41696840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156918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156918</v>
      </c>
      <c r="C91" s="2" t="s">
        <v>594</v>
      </c>
      <c r="D91" s="2" t="str">
        <f t="shared" si="0"/>
        <v>Error?</v>
      </c>
    </row>
    <row r="92" spans="1:4" x14ac:dyDescent="0.2">
      <c r="A92" s="5">
        <v>31</v>
      </c>
      <c r="B92" s="138">
        <f>'Assets-Liab 5-6'!C39</f>
        <v>41539922</v>
      </c>
      <c r="D92" s="2" t="str">
        <f t="shared" si="0"/>
        <v>Error?</v>
      </c>
    </row>
    <row r="93" spans="1:4" x14ac:dyDescent="0.2">
      <c r="A93" s="5">
        <v>32</v>
      </c>
      <c r="B93" s="138">
        <f>'Assets-Liab 5-6'!C41</f>
        <v>41696840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2869297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2869297</v>
      </c>
      <c r="D123" s="2" t="str">
        <f t="shared" si="0"/>
        <v>Error?</v>
      </c>
    </row>
    <row r="124" spans="1:4" x14ac:dyDescent="0.2">
      <c r="A124" s="5">
        <v>63</v>
      </c>
      <c r="B124" s="138">
        <f>'Assets-Liab 5-6'!D41</f>
        <v>2869297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1940666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1940666</v>
      </c>
      <c r="D140" s="2" t="str">
        <f t="shared" si="1"/>
        <v>Error?</v>
      </c>
    </row>
    <row r="141" spans="1:4" x14ac:dyDescent="0.2">
      <c r="A141" s="5">
        <v>80</v>
      </c>
      <c r="B141" s="138">
        <f>'Assets-Liab 5-6'!E41</f>
        <v>1940666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2273932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2273932</v>
      </c>
      <c r="D170" s="2" t="str">
        <f t="shared" si="1"/>
        <v>Error?</v>
      </c>
    </row>
    <row r="171" spans="1:4" x14ac:dyDescent="0.2">
      <c r="A171" s="5">
        <v>110</v>
      </c>
      <c r="B171" s="138">
        <f>'Assets-Liab 5-6'!F41</f>
        <v>2273932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1560432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1560432</v>
      </c>
      <c r="D189" s="2" t="str">
        <f t="shared" si="1"/>
        <v>Error?</v>
      </c>
    </row>
    <row r="190" spans="1:4" x14ac:dyDescent="0.2">
      <c r="A190" s="5">
        <v>129</v>
      </c>
      <c r="B190" s="138">
        <f>'Assets-Liab 5-6'!G41</f>
        <v>1560432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400969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400969</v>
      </c>
      <c r="D212" s="2" t="str">
        <f t="shared" si="2"/>
        <v>Error?</v>
      </c>
    </row>
    <row r="213" spans="1:4" x14ac:dyDescent="0.2">
      <c r="A213" s="12">
        <v>152</v>
      </c>
      <c r="B213" s="138">
        <f>'Assets-Liab 5-6'!H41</f>
        <v>400969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194077</v>
      </c>
      <c r="D273" s="2" t="str">
        <f t="shared" si="3"/>
        <v>Error?</v>
      </c>
    </row>
    <row r="274" spans="1:4" x14ac:dyDescent="0.2">
      <c r="A274" s="5">
        <v>213</v>
      </c>
      <c r="B274" s="138">
        <f>'Assets-Liab 5-6'!M17</f>
        <v>106952267</v>
      </c>
      <c r="D274" s="2" t="str">
        <f t="shared" si="3"/>
        <v>Error?</v>
      </c>
    </row>
    <row r="275" spans="1:4" x14ac:dyDescent="0.2">
      <c r="A275" s="5">
        <v>214</v>
      </c>
      <c r="B275" s="138">
        <f>'Assets-Liab 5-6'!M18</f>
        <v>3819686</v>
      </c>
      <c r="D275" s="2" t="str">
        <f t="shared" si="3"/>
        <v>Error?</v>
      </c>
    </row>
    <row r="276" spans="1:4" x14ac:dyDescent="0.2">
      <c r="A276" s="5">
        <v>215</v>
      </c>
      <c r="B276" s="138">
        <f>'Assets-Liab 5-6'!M19</f>
        <v>29675025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140641055</v>
      </c>
      <c r="C279" s="2" t="s">
        <v>594</v>
      </c>
      <c r="D279" s="2" t="str">
        <f t="shared" si="3"/>
        <v>Error?</v>
      </c>
    </row>
    <row r="280" spans="1:4" x14ac:dyDescent="0.2">
      <c r="A280" s="5">
        <v>219</v>
      </c>
      <c r="B280" s="138">
        <f>'Assets-Liab 5-6'!M40</f>
        <v>140641055</v>
      </c>
      <c r="D280" s="2" t="str">
        <f t="shared" si="3"/>
        <v>Error?</v>
      </c>
    </row>
    <row r="281" spans="1:4" x14ac:dyDescent="0.2">
      <c r="A281" s="5">
        <v>220</v>
      </c>
      <c r="B281" s="138">
        <f>'Assets-Liab 5-6'!M41</f>
        <v>140641055</v>
      </c>
      <c r="C281" s="2" t="s">
        <v>594</v>
      </c>
      <c r="D281" s="2" t="str">
        <f t="shared" si="3"/>
        <v>Error?</v>
      </c>
    </row>
    <row r="282" spans="1:4" x14ac:dyDescent="0.2">
      <c r="A282" s="5">
        <v>221</v>
      </c>
      <c r="B282" s="138">
        <f>'Assets-Liab 5-6'!N21</f>
        <v>1940666</v>
      </c>
      <c r="D282" s="2" t="str">
        <f t="shared" si="3"/>
        <v>Error?</v>
      </c>
    </row>
    <row r="283" spans="1:4" x14ac:dyDescent="0.2">
      <c r="A283" s="5">
        <v>222</v>
      </c>
      <c r="B283" s="138">
        <f>'Assets-Liab 5-6'!N22</f>
        <v>14199334</v>
      </c>
      <c r="D283" s="2" t="str">
        <f t="shared" si="3"/>
        <v>Error?</v>
      </c>
    </row>
    <row r="284" spans="1:4" x14ac:dyDescent="0.2">
      <c r="A284" s="5">
        <v>223</v>
      </c>
      <c r="B284" s="138">
        <f>'Assets-Liab 5-6'!N23</f>
        <v>16140000</v>
      </c>
      <c r="C284" s="2" t="s">
        <v>594</v>
      </c>
      <c r="D284" s="2" t="str">
        <f t="shared" si="3"/>
        <v>Error?</v>
      </c>
    </row>
    <row r="285" spans="1:4" x14ac:dyDescent="0.2">
      <c r="A285" s="5">
        <v>224</v>
      </c>
      <c r="B285" s="138">
        <f>'Assets-Liab 5-6'!N36</f>
        <v>16140000</v>
      </c>
      <c r="D285" s="2" t="str">
        <f t="shared" si="3"/>
        <v>Error?</v>
      </c>
    </row>
    <row r="286" spans="1:4" x14ac:dyDescent="0.2">
      <c r="A286" s="10">
        <v>225</v>
      </c>
      <c r="D286" s="2" t="str">
        <f t="shared" si="3"/>
        <v>OK</v>
      </c>
    </row>
    <row r="287" spans="1:4" x14ac:dyDescent="0.2">
      <c r="A287" s="5">
        <v>226</v>
      </c>
      <c r="B287" s="138">
        <f>'Assets-Liab 5-6'!N37</f>
        <v>16140000</v>
      </c>
      <c r="C287" s="2" t="s">
        <v>594</v>
      </c>
      <c r="D287" s="2" t="str">
        <f t="shared" si="3"/>
        <v>Error?</v>
      </c>
    </row>
    <row r="288" spans="1:4" x14ac:dyDescent="0.2">
      <c r="A288" s="5">
        <v>227</v>
      </c>
      <c r="B288" s="138">
        <f>'Assets-Liab 5-6'!N41</f>
        <v>16140000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19289123</v>
      </c>
      <c r="D705" s="2" t="str">
        <f t="shared" si="10"/>
        <v>Error?</v>
      </c>
    </row>
    <row r="706" spans="1:4" x14ac:dyDescent="0.2">
      <c r="A706" s="5">
        <v>645</v>
      </c>
      <c r="B706" s="138">
        <f>'Expenditures 15-22'!C16</f>
        <v>1069997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2597445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v>
      </c>
      <c r="D718" s="2" t="str">
        <f t="shared" si="10"/>
        <v>Error?</v>
      </c>
    </row>
    <row r="719" spans="1:4" x14ac:dyDescent="0.2">
      <c r="A719" s="5">
        <v>658</v>
      </c>
      <c r="B719" s="138">
        <f>'Expenditures 15-22'!C15</f>
        <v>251256</v>
      </c>
      <c r="D719" s="2" t="str">
        <f t="shared" si="10"/>
        <v>Error?</v>
      </c>
    </row>
    <row r="720" spans="1:4" x14ac:dyDescent="0.2">
      <c r="A720" s="5">
        <v>659</v>
      </c>
      <c r="B720" s="138">
        <f>'Expenditures 15-22'!C33</f>
        <v>28460361</v>
      </c>
      <c r="C720" s="2" t="s">
        <v>594</v>
      </c>
      <c r="D720" s="2" t="str">
        <f t="shared" si="10"/>
        <v>Error?</v>
      </c>
    </row>
    <row r="721" spans="1:4" x14ac:dyDescent="0.2">
      <c r="A721" s="5">
        <v>660</v>
      </c>
      <c r="B721" s="138">
        <f>'Expenditures 15-22'!C36</f>
        <v>1740793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371122</v>
      </c>
      <c r="D723" s="2" t="str">
        <f t="shared" si="10"/>
        <v>Error?</v>
      </c>
    </row>
    <row r="724" spans="1:4" x14ac:dyDescent="0.2">
      <c r="A724" s="5">
        <v>663</v>
      </c>
      <c r="B724" s="138">
        <f>'Expenditures 15-22'!C39</f>
        <v>586638</v>
      </c>
      <c r="D724" s="2" t="str">
        <f t="shared" si="10"/>
        <v>Error?</v>
      </c>
    </row>
    <row r="725" spans="1:4" x14ac:dyDescent="0.2">
      <c r="A725" s="5">
        <v>664</v>
      </c>
      <c r="B725" s="138">
        <f>'Expenditures 15-22'!C40</f>
        <v>1603398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4301951</v>
      </c>
      <c r="C727" s="2" t="s">
        <v>594</v>
      </c>
      <c r="D727" s="2" t="str">
        <f t="shared" si="10"/>
        <v>Error?</v>
      </c>
    </row>
    <row r="728" spans="1:4" x14ac:dyDescent="0.2">
      <c r="A728" s="5">
        <v>667</v>
      </c>
      <c r="B728" s="138">
        <f>'Expenditures 15-22'!C44</f>
        <v>1230792</v>
      </c>
      <c r="D728" s="2" t="str">
        <f t="shared" si="10"/>
        <v>Error?</v>
      </c>
    </row>
    <row r="729" spans="1:4" x14ac:dyDescent="0.2">
      <c r="A729" s="5">
        <v>668</v>
      </c>
      <c r="B729" s="138">
        <f>'Expenditures 15-22'!C45</f>
        <v>2274142</v>
      </c>
      <c r="D729" s="2" t="str">
        <f t="shared" si="10"/>
        <v>Error?</v>
      </c>
    </row>
    <row r="730" spans="1:4" x14ac:dyDescent="0.2">
      <c r="A730" s="5">
        <v>669</v>
      </c>
      <c r="B730" s="138">
        <f>'Expenditures 15-22'!C46</f>
        <v>2643</v>
      </c>
      <c r="D730" s="2" t="str">
        <f t="shared" si="10"/>
        <v>Error?</v>
      </c>
    </row>
    <row r="731" spans="1:4" x14ac:dyDescent="0.2">
      <c r="A731" s="5">
        <v>670</v>
      </c>
      <c r="B731" s="138">
        <f>'Expenditures 15-22'!C47</f>
        <v>3507577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314074</v>
      </c>
      <c r="D733" s="2" t="str">
        <f t="shared" si="10"/>
        <v>Error?</v>
      </c>
    </row>
    <row r="734" spans="1:4" x14ac:dyDescent="0.2">
      <c r="A734" s="5">
        <v>673</v>
      </c>
      <c r="B734" s="138">
        <f>'Expenditures 15-22'!C53</f>
        <v>327957</v>
      </c>
      <c r="C734" s="2" t="s">
        <v>594</v>
      </c>
      <c r="D734" s="2" t="str">
        <f t="shared" si="10"/>
        <v>Error?</v>
      </c>
    </row>
    <row r="735" spans="1:4" x14ac:dyDescent="0.2">
      <c r="A735" s="5">
        <v>674</v>
      </c>
      <c r="B735" s="138">
        <f>'Expenditures 15-22'!C55</f>
        <v>1906977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1906977</v>
      </c>
      <c r="C737" s="2" t="s">
        <v>594</v>
      </c>
      <c r="D737" s="2" t="str">
        <f t="shared" si="10"/>
        <v>Error?</v>
      </c>
    </row>
    <row r="738" spans="1:4" x14ac:dyDescent="0.2">
      <c r="A738" s="5">
        <v>677</v>
      </c>
      <c r="B738" s="138">
        <f>'Expenditures 15-22'!C59</f>
        <v>235457</v>
      </c>
      <c r="D738" s="2" t="str">
        <f t="shared" si="10"/>
        <v>Error?</v>
      </c>
    </row>
    <row r="739" spans="1:4" x14ac:dyDescent="0.2">
      <c r="A739" s="5">
        <v>678</v>
      </c>
      <c r="B739" s="138">
        <f>'Expenditures 15-22'!C60</f>
        <v>288872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605958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1130287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256404</v>
      </c>
      <c r="D748" s="2" t="str">
        <f t="shared" si="10"/>
        <v>Error?</v>
      </c>
    </row>
    <row r="749" spans="1:4" x14ac:dyDescent="0.2">
      <c r="A749" s="5">
        <v>688</v>
      </c>
      <c r="B749" s="138">
        <f>'Expenditures 15-22'!C70</f>
        <v>373424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629828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11804577</v>
      </c>
      <c r="C755" s="2" t="s">
        <v>594</v>
      </c>
      <c r="D755" s="2" t="str">
        <f t="shared" si="10"/>
        <v>Error?</v>
      </c>
    </row>
    <row r="756" spans="1:4" x14ac:dyDescent="0.2">
      <c r="A756" s="5">
        <v>695</v>
      </c>
      <c r="B756" s="138">
        <f>'Expenditures 15-22'!C75</f>
        <v>6167</v>
      </c>
      <c r="D756" s="2" t="str">
        <f t="shared" si="10"/>
        <v>Error?</v>
      </c>
    </row>
    <row r="757" spans="1:4" x14ac:dyDescent="0.2">
      <c r="A757" s="5">
        <v>696</v>
      </c>
      <c r="B757" s="138">
        <f>'Expenditures 15-22'!C114</f>
        <v>40271105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2525937</v>
      </c>
      <c r="D763" s="2" t="str">
        <f t="shared" si="10"/>
        <v>Error?</v>
      </c>
    </row>
    <row r="764" spans="1:4" x14ac:dyDescent="0.2">
      <c r="A764" s="5">
        <v>703</v>
      </c>
      <c r="B764" s="138">
        <f>'Expenditures 15-22'!D16</f>
        <v>128864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423122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3061</v>
      </c>
      <c r="D777" s="2" t="str">
        <f t="shared" si="11"/>
        <v>Error?</v>
      </c>
    </row>
    <row r="778" spans="1:4" x14ac:dyDescent="0.2">
      <c r="A778" s="5">
        <v>717</v>
      </c>
      <c r="B778" s="138">
        <f>'Expenditures 15-22'!D33</f>
        <v>4396463</v>
      </c>
      <c r="C778" s="2" t="s">
        <v>594</v>
      </c>
      <c r="D778" s="2" t="str">
        <f t="shared" si="11"/>
        <v>Error?</v>
      </c>
    </row>
    <row r="779" spans="1:4" x14ac:dyDescent="0.2">
      <c r="A779" s="5">
        <v>718</v>
      </c>
      <c r="B779" s="138">
        <f>'Expenditures 15-22'!D36</f>
        <v>244836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78973</v>
      </c>
      <c r="D781" s="2" t="str">
        <f t="shared" si="11"/>
        <v>Error?</v>
      </c>
    </row>
    <row r="782" spans="1:4" x14ac:dyDescent="0.2">
      <c r="A782" s="5">
        <v>721</v>
      </c>
      <c r="B782" s="138">
        <f>'Expenditures 15-22'!D39</f>
        <v>86894</v>
      </c>
      <c r="D782" s="2" t="str">
        <f t="shared" si="11"/>
        <v>Error?</v>
      </c>
    </row>
    <row r="783" spans="1:4" x14ac:dyDescent="0.2">
      <c r="A783" s="5">
        <v>722</v>
      </c>
      <c r="B783" s="138">
        <f>'Expenditures 15-22'!D40</f>
        <v>204866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615569</v>
      </c>
      <c r="C785" s="2" t="s">
        <v>594</v>
      </c>
      <c r="D785" s="2" t="str">
        <f t="shared" si="11"/>
        <v>Error?</v>
      </c>
    </row>
    <row r="786" spans="1:4" x14ac:dyDescent="0.2">
      <c r="A786" s="5">
        <v>725</v>
      </c>
      <c r="B786" s="138">
        <f>'Expenditures 15-22'!D44</f>
        <v>176084</v>
      </c>
      <c r="D786" s="2" t="str">
        <f t="shared" si="11"/>
        <v>Error?</v>
      </c>
    </row>
    <row r="787" spans="1:4" x14ac:dyDescent="0.2">
      <c r="A787" s="5">
        <v>726</v>
      </c>
      <c r="B787" s="138">
        <f>'Expenditures 15-22'!D45</f>
        <v>324491</v>
      </c>
      <c r="D787" s="2" t="str">
        <f t="shared" si="11"/>
        <v>Error?</v>
      </c>
    </row>
    <row r="788" spans="1:4" x14ac:dyDescent="0.2">
      <c r="A788" s="5">
        <v>727</v>
      </c>
      <c r="B788" s="138">
        <f>'Expenditures 15-22'!D46</f>
        <v>306</v>
      </c>
      <c r="D788" s="2" t="str">
        <f t="shared" si="11"/>
        <v>Error?</v>
      </c>
    </row>
    <row r="789" spans="1:4" x14ac:dyDescent="0.2">
      <c r="A789" s="5">
        <v>728</v>
      </c>
      <c r="B789" s="138">
        <f>'Expenditures 15-22'!D47</f>
        <v>500881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81545</v>
      </c>
      <c r="D791" s="2" t="str">
        <f t="shared" si="11"/>
        <v>Error?</v>
      </c>
    </row>
    <row r="792" spans="1:4" x14ac:dyDescent="0.2">
      <c r="A792" s="5">
        <v>731</v>
      </c>
      <c r="B792" s="138">
        <f>'Expenditures 15-22'!D53</f>
        <v>81545</v>
      </c>
      <c r="C792" s="2" t="s">
        <v>594</v>
      </c>
      <c r="D792" s="2" t="str">
        <f t="shared" si="11"/>
        <v>Error?</v>
      </c>
    </row>
    <row r="793" spans="1:4" x14ac:dyDescent="0.2">
      <c r="A793" s="5">
        <v>732</v>
      </c>
      <c r="B793" s="138">
        <f>'Expenditures 15-22'!D55</f>
        <v>407427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407427</v>
      </c>
      <c r="C795" s="2" t="s">
        <v>594</v>
      </c>
      <c r="D795" s="2" t="str">
        <f t="shared" si="11"/>
        <v>Error?</v>
      </c>
    </row>
    <row r="796" spans="1:4" x14ac:dyDescent="0.2">
      <c r="A796" s="5">
        <v>735</v>
      </c>
      <c r="B796" s="138">
        <f>'Expenditures 15-22'!D59</f>
        <v>35861</v>
      </c>
      <c r="D796" s="2" t="str">
        <f t="shared" si="11"/>
        <v>Error?</v>
      </c>
    </row>
    <row r="797" spans="1:4" x14ac:dyDescent="0.2">
      <c r="A797" s="5">
        <v>736</v>
      </c>
      <c r="B797" s="138">
        <f>'Expenditures 15-22'!D60</f>
        <v>48529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212097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296487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80047</v>
      </c>
      <c r="D806" s="2" t="str">
        <f t="shared" si="11"/>
        <v>Error?</v>
      </c>
    </row>
    <row r="807" spans="1:4" x14ac:dyDescent="0.2">
      <c r="A807" s="5">
        <v>746</v>
      </c>
      <c r="B807" s="138">
        <f>'Expenditures 15-22'!D70</f>
        <v>43703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123750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2025659</v>
      </c>
      <c r="C813" s="2" t="s">
        <v>594</v>
      </c>
      <c r="D813" s="2" t="str">
        <f t="shared" si="11"/>
        <v>Error?</v>
      </c>
    </row>
    <row r="814" spans="1:4" x14ac:dyDescent="0.2">
      <c r="A814" s="5">
        <v>753</v>
      </c>
      <c r="B814" s="138">
        <f>'Expenditures 15-22'!D75</f>
        <v>187</v>
      </c>
      <c r="D814" s="2" t="str">
        <f t="shared" si="11"/>
        <v>Error?</v>
      </c>
    </row>
    <row r="815" spans="1:4" x14ac:dyDescent="0.2">
      <c r="A815" s="5">
        <v>754</v>
      </c>
      <c r="B815" s="138">
        <f>'Expenditures 15-22'!D114</f>
        <v>6422309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228418</v>
      </c>
      <c r="D821" s="2" t="str">
        <f t="shared" si="11"/>
        <v>Error?</v>
      </c>
    </row>
    <row r="822" spans="1:4" x14ac:dyDescent="0.2">
      <c r="A822" s="5">
        <v>761</v>
      </c>
      <c r="B822" s="138">
        <f>'Expenditures 15-22'!E16</f>
        <v>16124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5707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8338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981810</v>
      </c>
      <c r="C836" s="2" t="s">
        <v>594</v>
      </c>
      <c r="D836" s="2" t="str">
        <f t="shared" si="12"/>
        <v>Error?</v>
      </c>
    </row>
    <row r="837" spans="1:4" x14ac:dyDescent="0.2">
      <c r="A837" s="5">
        <v>776</v>
      </c>
      <c r="B837" s="138">
        <f>'Expenditures 15-22'!E36</f>
        <v>500</v>
      </c>
      <c r="D837" s="2" t="str">
        <f t="shared" si="12"/>
        <v>Error?</v>
      </c>
    </row>
    <row r="838" spans="1:4" x14ac:dyDescent="0.2">
      <c r="A838" s="5">
        <v>777</v>
      </c>
      <c r="B838" s="138">
        <f>'Expenditures 15-22'!E37</f>
        <v>9922</v>
      </c>
      <c r="D838" s="2" t="str">
        <f t="shared" si="12"/>
        <v>Error?</v>
      </c>
    </row>
    <row r="839" spans="1:4" x14ac:dyDescent="0.2">
      <c r="A839" s="5">
        <v>778</v>
      </c>
      <c r="B839" s="138">
        <f>'Expenditures 15-22'!E38</f>
        <v>1440</v>
      </c>
      <c r="D839" s="2" t="str">
        <f t="shared" si="12"/>
        <v>Error?</v>
      </c>
    </row>
    <row r="840" spans="1:4" x14ac:dyDescent="0.2">
      <c r="A840" s="5">
        <v>779</v>
      </c>
      <c r="B840" s="138">
        <f>'Expenditures 15-22'!E39</f>
        <v>2090</v>
      </c>
      <c r="D840" s="2" t="str">
        <f t="shared" si="12"/>
        <v>Error?</v>
      </c>
    </row>
    <row r="841" spans="1:4" x14ac:dyDescent="0.2">
      <c r="A841" s="5">
        <v>780</v>
      </c>
      <c r="B841" s="138">
        <f>'Expenditures 15-22'!E40</f>
        <v>1400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15352</v>
      </c>
      <c r="C843" s="2" t="s">
        <v>594</v>
      </c>
      <c r="D843" s="2" t="str">
        <f t="shared" si="12"/>
        <v>Error?</v>
      </c>
    </row>
    <row r="844" spans="1:4" x14ac:dyDescent="0.2">
      <c r="A844" s="5">
        <v>783</v>
      </c>
      <c r="B844" s="138">
        <f>'Expenditures 15-22'!E44</f>
        <v>71101</v>
      </c>
      <c r="D844" s="2" t="str">
        <f t="shared" si="12"/>
        <v>Error?</v>
      </c>
    </row>
    <row r="845" spans="1:4" x14ac:dyDescent="0.2">
      <c r="A845" s="5">
        <v>784</v>
      </c>
      <c r="B845" s="138">
        <f>'Expenditures 15-22'!E45</f>
        <v>182440</v>
      </c>
      <c r="D845" s="2" t="str">
        <f t="shared" si="12"/>
        <v>Error?</v>
      </c>
    </row>
    <row r="846" spans="1:4" x14ac:dyDescent="0.2">
      <c r="A846" s="5">
        <v>785</v>
      </c>
      <c r="B846" s="138">
        <f>'Expenditures 15-22'!E46</f>
        <v>100401</v>
      </c>
      <c r="D846" s="2" t="str">
        <f t="shared" si="12"/>
        <v>Error?</v>
      </c>
    </row>
    <row r="847" spans="1:4" x14ac:dyDescent="0.2">
      <c r="A847" s="5">
        <v>786</v>
      </c>
      <c r="B847" s="138">
        <f>'Expenditures 15-22'!E47</f>
        <v>353942</v>
      </c>
      <c r="C847" s="2" t="s">
        <v>594</v>
      </c>
      <c r="D847" s="2" t="str">
        <f t="shared" si="12"/>
        <v>Error?</v>
      </c>
    </row>
    <row r="848" spans="1:4" x14ac:dyDescent="0.2">
      <c r="A848" s="5">
        <v>787</v>
      </c>
      <c r="B848" s="138">
        <f>'Expenditures 15-22'!E49</f>
        <v>223044</v>
      </c>
      <c r="D848" s="2" t="str">
        <f t="shared" si="12"/>
        <v>Error?</v>
      </c>
    </row>
    <row r="849" spans="1:4" x14ac:dyDescent="0.2">
      <c r="A849" s="5">
        <v>788</v>
      </c>
      <c r="B849" s="138">
        <f>'Expenditures 15-22'!E50</f>
        <v>10129</v>
      </c>
      <c r="D849" s="2" t="str">
        <f t="shared" si="12"/>
        <v>Error?</v>
      </c>
    </row>
    <row r="850" spans="1:4" x14ac:dyDescent="0.2">
      <c r="A850" s="5">
        <v>789</v>
      </c>
      <c r="B850" s="138">
        <f>'Expenditures 15-22'!E53</f>
        <v>238536</v>
      </c>
      <c r="C850" s="2" t="s">
        <v>594</v>
      </c>
      <c r="D850" s="2" t="str">
        <f t="shared" si="12"/>
        <v>Error?</v>
      </c>
    </row>
    <row r="851" spans="1:4" x14ac:dyDescent="0.2">
      <c r="A851" s="5">
        <v>790</v>
      </c>
      <c r="B851" s="138">
        <f>'Expenditures 15-22'!E55</f>
        <v>2014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2014</v>
      </c>
      <c r="C853" s="2" t="s">
        <v>594</v>
      </c>
      <c r="D853" s="2" t="str">
        <f t="shared" si="12"/>
        <v>Error?</v>
      </c>
    </row>
    <row r="854" spans="1:4" x14ac:dyDescent="0.2">
      <c r="A854" s="5">
        <v>793</v>
      </c>
      <c r="B854" s="138">
        <f>'Expenditures 15-22'!E59</f>
        <v>20105</v>
      </c>
      <c r="D854" s="2" t="str">
        <f t="shared" si="12"/>
        <v>Error?</v>
      </c>
    </row>
    <row r="855" spans="1:4" x14ac:dyDescent="0.2">
      <c r="A855" s="5">
        <v>794</v>
      </c>
      <c r="B855" s="138">
        <f>'Expenditures 15-22'!E60</f>
        <v>7117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33167</v>
      </c>
      <c r="D857" s="2" t="str">
        <f t="shared" si="12"/>
        <v>Error?</v>
      </c>
    </row>
    <row r="858" spans="1:4" x14ac:dyDescent="0.2">
      <c r="A858" s="5">
        <v>797</v>
      </c>
      <c r="B858" s="138">
        <f>'Expenditures 15-22'!E63</f>
        <v>59165</v>
      </c>
      <c r="D858" s="2" t="str">
        <f t="shared" si="12"/>
        <v>Error?</v>
      </c>
    </row>
    <row r="859" spans="1:4" x14ac:dyDescent="0.2">
      <c r="A859" s="5">
        <v>798</v>
      </c>
      <c r="B859" s="138">
        <f>'Expenditures 15-22'!E64</f>
        <v>89800</v>
      </c>
      <c r="D859" s="2" t="str">
        <f t="shared" si="12"/>
        <v>Error?</v>
      </c>
    </row>
    <row r="860" spans="1:4" x14ac:dyDescent="0.2">
      <c r="A860" s="10">
        <v>799</v>
      </c>
      <c r="D860" s="2" t="str">
        <f t="shared" si="12"/>
        <v>OK</v>
      </c>
    </row>
    <row r="861" spans="1:4" x14ac:dyDescent="0.2">
      <c r="A861" s="5">
        <v>800</v>
      </c>
      <c r="B861" s="138">
        <f>'Expenditures 15-22'!E65</f>
        <v>209354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29354</v>
      </c>
      <c r="D864" s="2" t="str">
        <f t="shared" si="12"/>
        <v>Error?</v>
      </c>
    </row>
    <row r="865" spans="1:4" x14ac:dyDescent="0.2">
      <c r="A865" s="5">
        <v>804</v>
      </c>
      <c r="B865" s="138">
        <f>'Expenditures 15-22'!E70</f>
        <v>129887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159241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978439</v>
      </c>
      <c r="C871" s="2" t="s">
        <v>594</v>
      </c>
      <c r="D871" s="2" t="str">
        <f t="shared" si="12"/>
        <v>Error?</v>
      </c>
    </row>
    <row r="872" spans="1:4" x14ac:dyDescent="0.2">
      <c r="A872" s="5">
        <v>811</v>
      </c>
      <c r="B872" s="138">
        <f>'Expenditures 15-22'!E75</f>
        <v>8416</v>
      </c>
      <c r="D872" s="2" t="str">
        <f t="shared" si="12"/>
        <v>Error?</v>
      </c>
    </row>
    <row r="873" spans="1:4" x14ac:dyDescent="0.2">
      <c r="A873" s="5">
        <v>812</v>
      </c>
      <c r="B873" s="138">
        <f>'Expenditures 15-22'!E114</f>
        <v>2852330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682301</v>
      </c>
      <c r="D879" s="2" t="str">
        <f t="shared" si="12"/>
        <v>Error?</v>
      </c>
    </row>
    <row r="880" spans="1:4" x14ac:dyDescent="0.2">
      <c r="A880" s="5">
        <v>819</v>
      </c>
      <c r="B880" s="138">
        <f>'Expenditures 15-22'!F16</f>
        <v>4568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37074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12168</v>
      </c>
      <c r="D893" s="2" t="str">
        <f t="shared" si="12"/>
        <v>Error?</v>
      </c>
    </row>
    <row r="894" spans="1:4" x14ac:dyDescent="0.2">
      <c r="A894" s="5">
        <v>833</v>
      </c>
      <c r="B894" s="138">
        <f>'Expenditures 15-22'!F33</f>
        <v>846004</v>
      </c>
      <c r="C894" s="2" t="s">
        <v>594</v>
      </c>
      <c r="D894" s="2" t="str">
        <f t="shared" si="12"/>
        <v>Error?</v>
      </c>
    </row>
    <row r="895" spans="1:4" x14ac:dyDescent="0.2">
      <c r="A895" s="5">
        <v>834</v>
      </c>
      <c r="B895" s="138">
        <f>'Expenditures 15-22'!F36</f>
        <v>4032</v>
      </c>
      <c r="D895" s="2" t="str">
        <f t="shared" ref="D895:D958" si="13">IF(ISBLANK(B895),"OK",IF(A895-B895=0,"OK","Error?"))</f>
        <v>Error?</v>
      </c>
    </row>
    <row r="896" spans="1:4" x14ac:dyDescent="0.2">
      <c r="A896" s="5">
        <v>835</v>
      </c>
      <c r="B896" s="138">
        <f>'Expenditures 15-22'!F37</f>
        <v>355</v>
      </c>
      <c r="D896" s="2" t="str">
        <f t="shared" si="13"/>
        <v>Error?</v>
      </c>
    </row>
    <row r="897" spans="1:4" x14ac:dyDescent="0.2">
      <c r="A897" s="5">
        <v>836</v>
      </c>
      <c r="B897" s="138">
        <f>'Expenditures 15-22'!F38</f>
        <v>5886</v>
      </c>
      <c r="D897" s="2" t="str">
        <f t="shared" si="13"/>
        <v>Error?</v>
      </c>
    </row>
    <row r="898" spans="1:4" x14ac:dyDescent="0.2">
      <c r="A898" s="5">
        <v>837</v>
      </c>
      <c r="B898" s="138">
        <f>'Expenditures 15-22'!F39</f>
        <v>1872</v>
      </c>
      <c r="D898" s="2" t="str">
        <f t="shared" si="13"/>
        <v>Error?</v>
      </c>
    </row>
    <row r="899" spans="1:4" x14ac:dyDescent="0.2">
      <c r="A899" s="5">
        <v>838</v>
      </c>
      <c r="B899" s="138">
        <f>'Expenditures 15-22'!F40</f>
        <v>3105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15250</v>
      </c>
      <c r="C901" s="2" t="s">
        <v>594</v>
      </c>
      <c r="D901" s="2" t="str">
        <f t="shared" si="13"/>
        <v>Error?</v>
      </c>
    </row>
    <row r="902" spans="1:4" x14ac:dyDescent="0.2">
      <c r="A902" s="5">
        <v>841</v>
      </c>
      <c r="B902" s="138">
        <f>'Expenditures 15-22'!F44</f>
        <v>1593</v>
      </c>
      <c r="D902" s="2" t="str">
        <f t="shared" si="13"/>
        <v>Error?</v>
      </c>
    </row>
    <row r="903" spans="1:4" x14ac:dyDescent="0.2">
      <c r="A903" s="5">
        <v>842</v>
      </c>
      <c r="B903" s="138">
        <f>'Expenditures 15-22'!F45</f>
        <v>374829</v>
      </c>
      <c r="D903" s="2" t="str">
        <f t="shared" si="13"/>
        <v>Error?</v>
      </c>
    </row>
    <row r="904" spans="1:4" x14ac:dyDescent="0.2">
      <c r="A904" s="5">
        <v>843</v>
      </c>
      <c r="B904" s="138">
        <f>'Expenditures 15-22'!F46</f>
        <v>17976</v>
      </c>
      <c r="D904" s="2" t="str">
        <f t="shared" si="13"/>
        <v>Error?</v>
      </c>
    </row>
    <row r="905" spans="1:4" x14ac:dyDescent="0.2">
      <c r="A905" s="5">
        <v>844</v>
      </c>
      <c r="B905" s="138">
        <f>'Expenditures 15-22'!F47</f>
        <v>394398</v>
      </c>
      <c r="C905" s="2" t="s">
        <v>594</v>
      </c>
      <c r="D905" s="2" t="str">
        <f t="shared" si="13"/>
        <v>Error?</v>
      </c>
    </row>
    <row r="906" spans="1:4" x14ac:dyDescent="0.2">
      <c r="A906" s="5">
        <v>845</v>
      </c>
      <c r="B906" s="138">
        <f>'Expenditures 15-22'!F49</f>
        <v>9000</v>
      </c>
      <c r="D906" s="2" t="str">
        <f t="shared" si="13"/>
        <v>Error?</v>
      </c>
    </row>
    <row r="907" spans="1:4" x14ac:dyDescent="0.2">
      <c r="A907" s="5">
        <v>846</v>
      </c>
      <c r="B907" s="138">
        <f>'Expenditures 15-22'!F50</f>
        <v>847</v>
      </c>
      <c r="D907" s="2" t="str">
        <f t="shared" si="13"/>
        <v>Error?</v>
      </c>
    </row>
    <row r="908" spans="1:4" x14ac:dyDescent="0.2">
      <c r="A908" s="5">
        <v>847</v>
      </c>
      <c r="B908" s="138">
        <f>'Expenditures 15-22'!F53</f>
        <v>9849</v>
      </c>
      <c r="C908" s="2" t="s">
        <v>594</v>
      </c>
      <c r="D908" s="2" t="str">
        <f t="shared" si="13"/>
        <v>Error?</v>
      </c>
    </row>
    <row r="909" spans="1:4" x14ac:dyDescent="0.2">
      <c r="A909" s="5">
        <v>848</v>
      </c>
      <c r="B909" s="138">
        <f>'Expenditures 15-22'!F55</f>
        <v>46105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46105</v>
      </c>
      <c r="C911" s="2" t="s">
        <v>594</v>
      </c>
      <c r="D911" s="2" t="str">
        <f t="shared" si="13"/>
        <v>Error?</v>
      </c>
    </row>
    <row r="912" spans="1:4" x14ac:dyDescent="0.2">
      <c r="A912" s="5">
        <v>851</v>
      </c>
      <c r="B912" s="138">
        <f>'Expenditures 15-22'!F59</f>
        <v>5167</v>
      </c>
      <c r="D912" s="2" t="str">
        <f t="shared" si="13"/>
        <v>Error?</v>
      </c>
    </row>
    <row r="913" spans="1:4" x14ac:dyDescent="0.2">
      <c r="A913" s="5">
        <v>852</v>
      </c>
      <c r="B913" s="138">
        <f>'Expenditures 15-22'!F60</f>
        <v>15893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629059</v>
      </c>
      <c r="D916" s="2" t="str">
        <f t="shared" si="13"/>
        <v>Error?</v>
      </c>
    </row>
    <row r="917" spans="1:4" x14ac:dyDescent="0.2">
      <c r="A917" s="5">
        <v>856</v>
      </c>
      <c r="B917" s="138">
        <f>'Expenditures 15-22'!F64</f>
        <v>448</v>
      </c>
      <c r="D917" s="2" t="str">
        <f t="shared" si="13"/>
        <v>Error?</v>
      </c>
    </row>
    <row r="918" spans="1:4" x14ac:dyDescent="0.2">
      <c r="A918" s="10">
        <v>857</v>
      </c>
      <c r="D918" s="2" t="str">
        <f t="shared" si="13"/>
        <v>OK</v>
      </c>
    </row>
    <row r="919" spans="1:4" x14ac:dyDescent="0.2">
      <c r="A919" s="5">
        <v>858</v>
      </c>
      <c r="B919" s="138">
        <f>'Expenditures 15-22'!F65</f>
        <v>650567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10017</v>
      </c>
      <c r="D922" s="2" t="str">
        <f t="shared" si="13"/>
        <v>Error?</v>
      </c>
    </row>
    <row r="923" spans="1:4" x14ac:dyDescent="0.2">
      <c r="A923" s="5">
        <v>862</v>
      </c>
      <c r="B923" s="138">
        <f>'Expenditures 15-22'!F70</f>
        <v>3197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13214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1129383</v>
      </c>
      <c r="C929" s="2" t="s">
        <v>594</v>
      </c>
      <c r="D929" s="2" t="str">
        <f t="shared" si="13"/>
        <v>Error?</v>
      </c>
    </row>
    <row r="930" spans="1:4" x14ac:dyDescent="0.2">
      <c r="A930" s="5">
        <v>869</v>
      </c>
      <c r="B930" s="138">
        <f>'Expenditures 15-22'!F75</f>
        <v>12509</v>
      </c>
      <c r="D930" s="2" t="str">
        <f t="shared" si="13"/>
        <v>Error?</v>
      </c>
    </row>
    <row r="931" spans="1:4" x14ac:dyDescent="0.2">
      <c r="A931" s="5">
        <v>870</v>
      </c>
      <c r="B931" s="138">
        <f>'Expenditures 15-22'!F114</f>
        <v>1987896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20407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26533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1110145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1110145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1752</v>
      </c>
      <c r="D965" s="2" t="str">
        <f t="shared" si="14"/>
        <v>Error?</v>
      </c>
    </row>
    <row r="966" spans="1:4" x14ac:dyDescent="0.2">
      <c r="A966" s="5">
        <v>905</v>
      </c>
      <c r="B966" s="138">
        <f>'Expenditures 15-22'!G53</f>
        <v>1752</v>
      </c>
      <c r="C966" s="2" t="s">
        <v>594</v>
      </c>
      <c r="D966" s="2" t="str">
        <f t="shared" si="14"/>
        <v>Error?</v>
      </c>
    </row>
    <row r="967" spans="1:4" x14ac:dyDescent="0.2">
      <c r="A967" s="5">
        <v>906</v>
      </c>
      <c r="B967" s="138">
        <f>'Expenditures 15-22'!G55</f>
        <v>8045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8045</v>
      </c>
      <c r="C969" s="2" t="s">
        <v>594</v>
      </c>
      <c r="D969" s="2" t="str">
        <f t="shared" si="14"/>
        <v>Error?</v>
      </c>
    </row>
    <row r="970" spans="1:4" x14ac:dyDescent="0.2">
      <c r="A970" s="5">
        <v>909</v>
      </c>
      <c r="B970" s="138">
        <f>'Expenditures 15-22'!G59</f>
        <v>8861</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30405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39266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1159208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1185741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12198</v>
      </c>
      <c r="C995" s="9"/>
      <c r="D995" s="2" t="str">
        <f t="shared" si="14"/>
        <v>Error?</v>
      </c>
    </row>
    <row r="996" spans="1:4" x14ac:dyDescent="0.2">
      <c r="A996" s="5">
        <v>935</v>
      </c>
      <c r="B996" s="138">
        <f>'Expenditures 15-22'!H16</f>
        <v>238</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4054818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1045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1045</v>
      </c>
      <c r="C1021" s="2" t="s">
        <v>594</v>
      </c>
      <c r="D1021" s="2" t="str">
        <f t="shared" si="14"/>
        <v>Error?</v>
      </c>
    </row>
    <row r="1022" spans="1:4" x14ac:dyDescent="0.2">
      <c r="A1022" s="5">
        <v>961</v>
      </c>
      <c r="B1022" s="138">
        <f>'Expenditures 15-22'!H49</f>
        <v>21922</v>
      </c>
      <c r="D1022" s="2" t="str">
        <f t="shared" si="14"/>
        <v>Error?</v>
      </c>
    </row>
    <row r="1023" spans="1:4" x14ac:dyDescent="0.2">
      <c r="A1023" s="5">
        <v>962</v>
      </c>
      <c r="B1023" s="138">
        <f>'Expenditures 15-22'!H50</f>
        <v>10703</v>
      </c>
      <c r="D1023" s="2" t="str">
        <f t="shared" ref="D1023:D1086" si="15">IF(ISBLANK(B1023),"OK",IF(A1023-B1023=0,"OK","Error?"))</f>
        <v>Error?</v>
      </c>
    </row>
    <row r="1024" spans="1:4" x14ac:dyDescent="0.2">
      <c r="A1024" s="5">
        <v>963</v>
      </c>
      <c r="B1024" s="138">
        <f>'Expenditures 15-22'!H53</f>
        <v>32625</v>
      </c>
      <c r="C1024" s="2" t="s">
        <v>594</v>
      </c>
      <c r="D1024" s="2" t="str">
        <f t="shared" si="15"/>
        <v>Error?</v>
      </c>
    </row>
    <row r="1025" spans="1:4" x14ac:dyDescent="0.2">
      <c r="A1025" s="5">
        <v>964</v>
      </c>
      <c r="B1025" s="138">
        <f>'Expenditures 15-22'!H55</f>
        <v>6936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6936</v>
      </c>
      <c r="C1027" s="2" t="s">
        <v>594</v>
      </c>
      <c r="D1027" s="2" t="str">
        <f t="shared" si="15"/>
        <v>Error?</v>
      </c>
    </row>
    <row r="1028" spans="1:4" x14ac:dyDescent="0.2">
      <c r="A1028" s="5">
        <v>967</v>
      </c>
      <c r="B1028" s="138">
        <f>'Expenditures 15-22'!H59</f>
        <v>3161</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4399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3228</v>
      </c>
      <c r="D1038" s="2" t="str">
        <f t="shared" si="15"/>
        <v>Error?</v>
      </c>
    </row>
    <row r="1039" spans="1:4" x14ac:dyDescent="0.2">
      <c r="A1039" s="5">
        <v>978</v>
      </c>
      <c r="B1039" s="138">
        <f>'Expenditures 15-22'!H70</f>
        <v>12176</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15404</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60409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4115227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22796613</v>
      </c>
      <c r="C1093" s="2" t="s">
        <v>594</v>
      </c>
      <c r="D1093" s="2" t="str">
        <f t="shared" si="16"/>
        <v>Error?</v>
      </c>
    </row>
    <row r="1094" spans="1:4" x14ac:dyDescent="0.2">
      <c r="A1094" s="5">
        <v>1033</v>
      </c>
      <c r="B1094" s="138">
        <f>'Expenditures 15-22'!K16</f>
        <v>1219791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3063348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9569</v>
      </c>
      <c r="C1106" s="2" t="s">
        <v>594</v>
      </c>
      <c r="D1106" s="2" t="str">
        <f t="shared" si="16"/>
        <v>Error?</v>
      </c>
    </row>
    <row r="1107" spans="1:4" x14ac:dyDescent="0.2">
      <c r="A1107" s="5">
        <v>1046</v>
      </c>
      <c r="B1107" s="138">
        <f>'Expenditures 15-22'!K15</f>
        <v>266485</v>
      </c>
      <c r="C1107" s="2" t="s">
        <v>594</v>
      </c>
      <c r="D1107" s="2" t="str">
        <f t="shared" si="16"/>
        <v>Error?</v>
      </c>
    </row>
    <row r="1108" spans="1:4" x14ac:dyDescent="0.2">
      <c r="A1108" s="5">
        <v>1047</v>
      </c>
      <c r="B1108" s="138">
        <f>'Expenditures 15-22'!K33</f>
        <v>38804218</v>
      </c>
      <c r="C1108" s="2" t="s">
        <v>594</v>
      </c>
      <c r="D1108" s="2" t="str">
        <f t="shared" si="16"/>
        <v>Error?</v>
      </c>
    </row>
    <row r="1109" spans="1:4" x14ac:dyDescent="0.2">
      <c r="A1109" s="5">
        <v>1048</v>
      </c>
      <c r="B1109" s="138">
        <f>'Expenditures 15-22'!K36</f>
        <v>1990161</v>
      </c>
      <c r="C1109" s="2" t="s">
        <v>594</v>
      </c>
      <c r="D1109" s="2" t="str">
        <f t="shared" si="16"/>
        <v>Error?</v>
      </c>
    </row>
    <row r="1110" spans="1:4" x14ac:dyDescent="0.2">
      <c r="A1110" s="5">
        <v>1049</v>
      </c>
      <c r="B1110" s="138">
        <f>'Expenditures 15-22'!K37</f>
        <v>10277</v>
      </c>
      <c r="C1110" s="2" t="s">
        <v>594</v>
      </c>
      <c r="D1110" s="2" t="str">
        <f t="shared" si="16"/>
        <v>Error?</v>
      </c>
    </row>
    <row r="1111" spans="1:4" x14ac:dyDescent="0.2">
      <c r="A1111" s="5">
        <v>1050</v>
      </c>
      <c r="B1111" s="138">
        <f>'Expenditures 15-22'!K38</f>
        <v>457421</v>
      </c>
      <c r="C1111" s="2" t="s">
        <v>594</v>
      </c>
      <c r="D1111" s="2" t="str">
        <f t="shared" si="16"/>
        <v>Error?</v>
      </c>
    </row>
    <row r="1112" spans="1:4" x14ac:dyDescent="0.2">
      <c r="A1112" s="5">
        <v>1051</v>
      </c>
      <c r="B1112" s="138">
        <f>'Expenditures 15-22'!K39</f>
        <v>677494</v>
      </c>
      <c r="C1112" s="2" t="s">
        <v>594</v>
      </c>
      <c r="D1112" s="2" t="str">
        <f t="shared" si="16"/>
        <v>Error?</v>
      </c>
    </row>
    <row r="1113" spans="1:4" x14ac:dyDescent="0.2">
      <c r="A1113" s="5">
        <v>1052</v>
      </c>
      <c r="B1113" s="138">
        <f>'Expenditures 15-22'!K40</f>
        <v>1812769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4948122</v>
      </c>
      <c r="C1115" s="2" t="s">
        <v>594</v>
      </c>
      <c r="D1115" s="2" t="str">
        <f t="shared" si="16"/>
        <v>Error?</v>
      </c>
    </row>
    <row r="1116" spans="1:4" x14ac:dyDescent="0.2">
      <c r="A1116" s="5">
        <v>1055</v>
      </c>
      <c r="B1116" s="138">
        <f>'Expenditures 15-22'!K44</f>
        <v>1480615</v>
      </c>
      <c r="C1116" s="2" t="s">
        <v>594</v>
      </c>
      <c r="D1116" s="2" t="str">
        <f t="shared" si="16"/>
        <v>Error?</v>
      </c>
    </row>
    <row r="1117" spans="1:4" x14ac:dyDescent="0.2">
      <c r="A1117" s="5">
        <v>1056</v>
      </c>
      <c r="B1117" s="138">
        <f>'Expenditures 15-22'!K45</f>
        <v>4277893</v>
      </c>
      <c r="C1117" s="2" t="s">
        <v>594</v>
      </c>
      <c r="D1117" s="2" t="str">
        <f t="shared" si="16"/>
        <v>Error?</v>
      </c>
    </row>
    <row r="1118" spans="1:4" x14ac:dyDescent="0.2">
      <c r="A1118" s="5">
        <v>1057</v>
      </c>
      <c r="B1118" s="138">
        <f>'Expenditures 15-22'!K46</f>
        <v>121326</v>
      </c>
      <c r="C1118" s="2" t="s">
        <v>594</v>
      </c>
      <c r="D1118" s="2" t="str">
        <f t="shared" si="16"/>
        <v>Error?</v>
      </c>
    </row>
    <row r="1119" spans="1:4" x14ac:dyDescent="0.2">
      <c r="A1119" s="5">
        <v>1058</v>
      </c>
      <c r="B1119" s="138">
        <f>'Expenditures 15-22'!K47</f>
        <v>5879834</v>
      </c>
      <c r="C1119" s="2" t="s">
        <v>594</v>
      </c>
      <c r="D1119" s="2" t="str">
        <f t="shared" si="16"/>
        <v>Error?</v>
      </c>
    </row>
    <row r="1120" spans="1:4" x14ac:dyDescent="0.2">
      <c r="A1120" s="5">
        <v>1059</v>
      </c>
      <c r="B1120" s="138">
        <f>'Expenditures 15-22'!K49</f>
        <v>253966</v>
      </c>
      <c r="C1120" s="2" t="s">
        <v>594</v>
      </c>
      <c r="D1120" s="2" t="str">
        <f t="shared" si="16"/>
        <v>Error?</v>
      </c>
    </row>
    <row r="1121" spans="1:4" x14ac:dyDescent="0.2">
      <c r="A1121" s="5">
        <v>1060</v>
      </c>
      <c r="B1121" s="138">
        <f>'Expenditures 15-22'!K50</f>
        <v>419050</v>
      </c>
      <c r="C1121" s="2" t="s">
        <v>594</v>
      </c>
      <c r="D1121" s="2" t="str">
        <f t="shared" si="16"/>
        <v>Error?</v>
      </c>
    </row>
    <row r="1122" spans="1:4" x14ac:dyDescent="0.2">
      <c r="A1122" s="5">
        <v>1061</v>
      </c>
      <c r="B1122" s="138">
        <f>'Expenditures 15-22'!K53</f>
        <v>692264</v>
      </c>
      <c r="C1122" s="2" t="s">
        <v>594</v>
      </c>
      <c r="D1122" s="2" t="str">
        <f t="shared" si="16"/>
        <v>Error?</v>
      </c>
    </row>
    <row r="1123" spans="1:4" x14ac:dyDescent="0.2">
      <c r="A1123" s="5">
        <v>1062</v>
      </c>
      <c r="B1123" s="138">
        <f>'Expenditures 15-22'!K55</f>
        <v>2377504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2377504</v>
      </c>
      <c r="C1125" s="2" t="s">
        <v>594</v>
      </c>
      <c r="D1125" s="2" t="str">
        <f t="shared" si="16"/>
        <v>Error?</v>
      </c>
    </row>
    <row r="1126" spans="1:4" x14ac:dyDescent="0.2">
      <c r="A1126" s="5">
        <v>1065</v>
      </c>
      <c r="B1126" s="138">
        <f>'Expenditures 15-22'!K59</f>
        <v>308612</v>
      </c>
      <c r="C1126" s="2" t="s">
        <v>594</v>
      </c>
      <c r="D1126" s="2" t="str">
        <f t="shared" si="16"/>
        <v>Error?</v>
      </c>
    </row>
    <row r="1127" spans="1:4" x14ac:dyDescent="0.2">
      <c r="A1127" s="5">
        <v>1066</v>
      </c>
      <c r="B1127" s="138">
        <f>'Expenditures 15-22'!K60</f>
        <v>360411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33167</v>
      </c>
      <c r="C1129" s="2" t="s">
        <v>594</v>
      </c>
      <c r="D1129" s="2" t="str">
        <f t="shared" si="16"/>
        <v>Error?</v>
      </c>
    </row>
    <row r="1130" spans="1:4" x14ac:dyDescent="0.2">
      <c r="A1130" s="5">
        <v>1069</v>
      </c>
      <c r="B1130" s="138">
        <f>'Expenditures 15-22'!K63</f>
        <v>1544416</v>
      </c>
      <c r="C1130" s="2" t="s">
        <v>594</v>
      </c>
      <c r="D1130" s="2" t="str">
        <f t="shared" si="16"/>
        <v>Error?</v>
      </c>
    </row>
    <row r="1131" spans="1:4" x14ac:dyDescent="0.2">
      <c r="A1131" s="5">
        <v>1070</v>
      </c>
      <c r="B1131" s="138">
        <f>'Expenditures 15-22'!K64</f>
        <v>90248</v>
      </c>
      <c r="C1131" s="2" t="s">
        <v>594</v>
      </c>
      <c r="D1131" s="2" t="str">
        <f t="shared" si="16"/>
        <v>Error?</v>
      </c>
    </row>
    <row r="1132" spans="1:4" x14ac:dyDescent="0.2">
      <c r="A1132" s="10">
        <v>1071</v>
      </c>
      <c r="D1132" s="2" t="str">
        <f t="shared" si="16"/>
        <v>OK</v>
      </c>
    </row>
    <row r="1133" spans="1:4" x14ac:dyDescent="0.2">
      <c r="A1133" s="5">
        <v>1072</v>
      </c>
      <c r="B1133" s="138">
        <f>'Expenditures 15-22'!K65</f>
        <v>2336854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379050</v>
      </c>
      <c r="C1136" s="2" t="s">
        <v>594</v>
      </c>
      <c r="D1136" s="2" t="str">
        <f t="shared" si="16"/>
        <v>Error?</v>
      </c>
    </row>
    <row r="1137" spans="1:4" x14ac:dyDescent="0.2">
      <c r="A1137" s="5">
        <v>1076</v>
      </c>
      <c r="B1137" s="138">
        <f>'Expenditures 15-22'!K70</f>
        <v>615283</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994333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17228911</v>
      </c>
      <c r="C1143" s="2" t="s">
        <v>594</v>
      </c>
      <c r="D1143" s="2" t="str">
        <f t="shared" si="16"/>
        <v>Error?</v>
      </c>
    </row>
    <row r="1144" spans="1:4" x14ac:dyDescent="0.2">
      <c r="A1144" s="5">
        <v>1083</v>
      </c>
      <c r="B1144" s="138">
        <f>'Expenditures 15-22'!K75</f>
        <v>27279</v>
      </c>
      <c r="C1144" s="2" t="s">
        <v>594</v>
      </c>
      <c r="D1144" s="2" t="str">
        <f t="shared" si="16"/>
        <v>Error?</v>
      </c>
    </row>
    <row r="1145" spans="1:4" x14ac:dyDescent="0.2">
      <c r="A1145" s="5">
        <v>1084</v>
      </c>
      <c r="B1145" s="138">
        <f>'Expenditures 15-22'!K102</f>
        <v>883665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56944073</v>
      </c>
      <c r="C1152" s="2" t="s">
        <v>594</v>
      </c>
      <c r="D1152" s="2" t="str">
        <f t="shared" si="17"/>
        <v>Error?</v>
      </c>
    </row>
    <row r="1153" spans="1:4" x14ac:dyDescent="0.2">
      <c r="A1153" s="5">
        <v>1092</v>
      </c>
      <c r="B1153" s="138">
        <f>'Expenditures 15-22'!K115</f>
        <v>1276775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1945178</v>
      </c>
      <c r="D1221" s="2" t="str">
        <f t="shared" si="18"/>
        <v>Error?</v>
      </c>
    </row>
    <row r="1222" spans="1:4" x14ac:dyDescent="0.2">
      <c r="A1222" s="10">
        <v>1161</v>
      </c>
      <c r="D1222" s="2" t="str">
        <f t="shared" si="18"/>
        <v>OK</v>
      </c>
    </row>
    <row r="1223" spans="1:4" x14ac:dyDescent="0.2">
      <c r="A1223" s="5">
        <v>1162</v>
      </c>
      <c r="B1223" s="138">
        <f>'Expenditures 15-22'!C127</f>
        <v>1945178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1945178</v>
      </c>
      <c r="C1225" s="2" t="s">
        <v>594</v>
      </c>
      <c r="D1225" s="2" t="str">
        <f t="shared" si="18"/>
        <v>Error?</v>
      </c>
    </row>
    <row r="1226" spans="1:4" x14ac:dyDescent="0.2">
      <c r="A1226" s="5">
        <v>1165</v>
      </c>
      <c r="B1226" s="138">
        <f>'Expenditures 15-22'!C151</f>
        <v>1945178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468960</v>
      </c>
      <c r="D1229" s="2" t="str">
        <f t="shared" si="18"/>
        <v>Error?</v>
      </c>
    </row>
    <row r="1230" spans="1:4" x14ac:dyDescent="0.2">
      <c r="A1230" s="10">
        <v>1169</v>
      </c>
      <c r="D1230" s="2" t="str">
        <f t="shared" si="18"/>
        <v>OK</v>
      </c>
    </row>
    <row r="1231" spans="1:4" x14ac:dyDescent="0.2">
      <c r="A1231" s="5">
        <v>1170</v>
      </c>
      <c r="B1231" s="138">
        <f>'Expenditures 15-22'!D127</f>
        <v>468960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468960</v>
      </c>
      <c r="C1233" s="2" t="s">
        <v>594</v>
      </c>
      <c r="D1233" s="2" t="str">
        <f t="shared" si="18"/>
        <v>Error?</v>
      </c>
    </row>
    <row r="1234" spans="1:4" x14ac:dyDescent="0.2">
      <c r="A1234" s="5">
        <v>1173</v>
      </c>
      <c r="B1234" s="138">
        <f>'Expenditures 15-22'!D151</f>
        <v>468960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594796</v>
      </c>
      <c r="D1237" s="2" t="str">
        <f t="shared" si="18"/>
        <v>Error?</v>
      </c>
    </row>
    <row r="1238" spans="1:4" x14ac:dyDescent="0.2">
      <c r="A1238" s="10">
        <v>1177</v>
      </c>
      <c r="D1238" s="2" t="str">
        <f t="shared" si="18"/>
        <v>OK</v>
      </c>
    </row>
    <row r="1239" spans="1:4" x14ac:dyDescent="0.2">
      <c r="A1239" s="5">
        <v>1178</v>
      </c>
      <c r="B1239" s="138">
        <f>'Expenditures 15-22'!E127</f>
        <v>594796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594796</v>
      </c>
      <c r="C1241" s="2" t="s">
        <v>594</v>
      </c>
      <c r="D1241" s="2" t="str">
        <f t="shared" si="18"/>
        <v>Error?</v>
      </c>
    </row>
    <row r="1242" spans="1:4" x14ac:dyDescent="0.2">
      <c r="A1242" s="5">
        <v>1181</v>
      </c>
      <c r="B1242" s="138">
        <f>'Expenditures 15-22'!E151</f>
        <v>594796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1262709</v>
      </c>
      <c r="D1245" s="2" t="str">
        <f t="shared" si="18"/>
        <v>Error?</v>
      </c>
    </row>
    <row r="1246" spans="1:4" x14ac:dyDescent="0.2">
      <c r="A1246" s="10">
        <v>1185</v>
      </c>
      <c r="D1246" s="2" t="str">
        <f t="shared" si="18"/>
        <v>OK</v>
      </c>
    </row>
    <row r="1247" spans="1:4" x14ac:dyDescent="0.2">
      <c r="A1247" s="5">
        <v>1186</v>
      </c>
      <c r="B1247" s="138">
        <f>'Expenditures 15-22'!F127</f>
        <v>1262709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1262709</v>
      </c>
      <c r="C1249" s="2" t="s">
        <v>594</v>
      </c>
      <c r="D1249" s="2" t="str">
        <f t="shared" si="18"/>
        <v>Error?</v>
      </c>
    </row>
    <row r="1250" spans="1:4" x14ac:dyDescent="0.2">
      <c r="A1250" s="5">
        <v>1189</v>
      </c>
      <c r="B1250" s="138">
        <f>'Expenditures 15-22'!F151</f>
        <v>1262709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449649</v>
      </c>
      <c r="D1252" s="2" t="str">
        <f t="shared" si="18"/>
        <v>Error?</v>
      </c>
    </row>
    <row r="1253" spans="1:4" x14ac:dyDescent="0.2">
      <c r="A1253" s="5">
        <v>1192</v>
      </c>
      <c r="B1253" s="138">
        <f>'Expenditures 15-22'!G124</f>
        <v>201732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651381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651381</v>
      </c>
      <c r="C1258" s="2" t="s">
        <v>594</v>
      </c>
      <c r="D1258" s="2" t="str">
        <f t="shared" si="18"/>
        <v>Error?</v>
      </c>
    </row>
    <row r="1259" spans="1:4" x14ac:dyDescent="0.2">
      <c r="A1259" s="5">
        <v>1198</v>
      </c>
      <c r="B1259" s="138">
        <f>'Expenditures 15-22'!G151</f>
        <v>651381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2182</v>
      </c>
      <c r="D1262" s="2" t="str">
        <f t="shared" si="18"/>
        <v>Error?</v>
      </c>
    </row>
    <row r="1263" spans="1:4" x14ac:dyDescent="0.2">
      <c r="A1263" s="10">
        <v>1202</v>
      </c>
      <c r="D1263" s="2" t="str">
        <f t="shared" si="18"/>
        <v>OK</v>
      </c>
    </row>
    <row r="1264" spans="1:4" x14ac:dyDescent="0.2">
      <c r="A1264" s="5">
        <v>1203</v>
      </c>
      <c r="B1264" s="138">
        <f>'Expenditures 15-22'!H127</f>
        <v>2182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2182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2182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449649</v>
      </c>
      <c r="C1275" s="2" t="s">
        <v>594</v>
      </c>
      <c r="D1275" s="2" t="str">
        <f t="shared" si="18"/>
        <v>Error?</v>
      </c>
    </row>
    <row r="1276" spans="1:4" x14ac:dyDescent="0.2">
      <c r="A1276" s="5">
        <v>1215</v>
      </c>
      <c r="B1276" s="138">
        <f>'Expenditures 15-22'!K124</f>
        <v>4483649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4933298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4933298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4933298</v>
      </c>
      <c r="C1288" s="2" t="s">
        <v>594</v>
      </c>
      <c r="D1288" s="2" t="str">
        <f t="shared" si="19"/>
        <v>Error?</v>
      </c>
    </row>
    <row r="1289" spans="1:4" x14ac:dyDescent="0.2">
      <c r="A1289" s="5">
        <v>1228</v>
      </c>
      <c r="B1289" s="138">
        <f>'Expenditures 15-22'!K152</f>
        <v>-103586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625505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2905000</v>
      </c>
      <c r="D1315" s="2" t="str">
        <f t="shared" si="19"/>
        <v>Error?</v>
      </c>
    </row>
    <row r="1316" spans="1:4" x14ac:dyDescent="0.2">
      <c r="A1316" s="5">
        <v>1255</v>
      </c>
      <c r="B1316" s="138">
        <f>'Expenditures 15-22'!H171</f>
        <v>4687</v>
      </c>
      <c r="D1316" s="2" t="str">
        <f t="shared" si="19"/>
        <v>Error?</v>
      </c>
    </row>
    <row r="1317" spans="1:4" x14ac:dyDescent="0.2">
      <c r="A1317" s="5">
        <v>1256</v>
      </c>
      <c r="B1317" s="138">
        <f>'Expenditures 15-22'!H172</f>
        <v>3535192</v>
      </c>
      <c r="C1317" s="2" t="s">
        <v>594</v>
      </c>
      <c r="D1317" s="2" t="str">
        <f t="shared" si="19"/>
        <v>Error?</v>
      </c>
    </row>
    <row r="1318" spans="1:4" x14ac:dyDescent="0.2">
      <c r="A1318" s="5">
        <v>1257</v>
      </c>
      <c r="B1318" s="138">
        <f>'Expenditures 15-22'!H174</f>
        <v>3535192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625505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2905000</v>
      </c>
      <c r="C1329" s="2" t="s">
        <v>594</v>
      </c>
      <c r="D1329" s="2" t="str">
        <f t="shared" si="19"/>
        <v>Error?</v>
      </c>
    </row>
    <row r="1330" spans="1:4" x14ac:dyDescent="0.2">
      <c r="A1330" s="5">
        <v>1269</v>
      </c>
      <c r="B1330" s="138">
        <f>'Expenditures 15-22'!K171</f>
        <v>4687</v>
      </c>
      <c r="C1330" s="2" t="s">
        <v>594</v>
      </c>
      <c r="D1330" s="2" t="str">
        <f t="shared" si="19"/>
        <v>Error?</v>
      </c>
    </row>
    <row r="1331" spans="1:4" x14ac:dyDescent="0.2">
      <c r="A1331" s="5">
        <v>1270</v>
      </c>
      <c r="B1331" s="138">
        <f>'Expenditures 15-22'!K172</f>
        <v>3535192</v>
      </c>
      <c r="C1331" s="2" t="s">
        <v>594</v>
      </c>
      <c r="D1331" s="2" t="str">
        <f t="shared" si="19"/>
        <v>Error?</v>
      </c>
    </row>
    <row r="1332" spans="1:4" x14ac:dyDescent="0.2">
      <c r="A1332" s="5">
        <v>1271</v>
      </c>
      <c r="B1332" s="138">
        <f>'Expenditures 15-22'!K174</f>
        <v>3535192</v>
      </c>
      <c r="C1332" s="2" t="s">
        <v>594</v>
      </c>
      <c r="D1332" s="2" t="str">
        <f t="shared" si="19"/>
        <v>Error?</v>
      </c>
    </row>
    <row r="1333" spans="1:4" x14ac:dyDescent="0.2">
      <c r="A1333" s="5">
        <v>1272</v>
      </c>
      <c r="B1333" s="138">
        <f>'Expenditures 15-22'!K175</f>
        <v>118249</v>
      </c>
      <c r="C1333" s="2" t="s">
        <v>594</v>
      </c>
      <c r="D1333" s="2" t="str">
        <f t="shared" si="19"/>
        <v>Error?</v>
      </c>
    </row>
    <row r="1334" spans="1:4" x14ac:dyDescent="0.2">
      <c r="A1334" s="10">
        <v>1273</v>
      </c>
      <c r="D1334" s="2" t="str">
        <f t="shared" si="19"/>
        <v>OK</v>
      </c>
    </row>
    <row r="1335" spans="1:4" x14ac:dyDescent="0.2">
      <c r="A1335" s="5">
        <v>1274</v>
      </c>
      <c r="B1335" s="138">
        <f>'Expenditures 15-22'!C182</f>
        <v>70888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70888</v>
      </c>
      <c r="C1339" s="2" t="s">
        <v>594</v>
      </c>
      <c r="D1339" s="2" t="str">
        <f t="shared" si="19"/>
        <v>Error?</v>
      </c>
    </row>
    <row r="1340" spans="1:4" x14ac:dyDescent="0.2">
      <c r="A1340" s="5">
        <v>1279</v>
      </c>
      <c r="B1340" s="138">
        <f>'Expenditures 15-22'!C210</f>
        <v>70888</v>
      </c>
      <c r="C1340" s="2" t="s">
        <v>594</v>
      </c>
      <c r="D1340" s="2" t="str">
        <f t="shared" si="19"/>
        <v>Error?</v>
      </c>
    </row>
    <row r="1341" spans="1:4" x14ac:dyDescent="0.2">
      <c r="A1341" s="5">
        <v>1280</v>
      </c>
      <c r="B1341" s="138">
        <f>'Expenditures 15-22'!D182</f>
        <v>20780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20780</v>
      </c>
      <c r="C1345" s="2" t="s">
        <v>594</v>
      </c>
      <c r="D1345" s="2" t="str">
        <f t="shared" si="20"/>
        <v>Error?</v>
      </c>
    </row>
    <row r="1346" spans="1:4" x14ac:dyDescent="0.2">
      <c r="A1346" s="5">
        <v>1285</v>
      </c>
      <c r="B1346" s="138">
        <f>'Expenditures 15-22'!D210</f>
        <v>20780</v>
      </c>
      <c r="C1346" s="2" t="s">
        <v>594</v>
      </c>
      <c r="D1346" s="2" t="str">
        <f t="shared" si="20"/>
        <v>Error?</v>
      </c>
    </row>
    <row r="1347" spans="1:4" x14ac:dyDescent="0.2">
      <c r="A1347" s="5">
        <v>1286</v>
      </c>
      <c r="B1347" s="138">
        <f>'Expenditures 15-22'!E182</f>
        <v>3794483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3794483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3794483</v>
      </c>
      <c r="C1353" s="2" t="s">
        <v>594</v>
      </c>
      <c r="D1353" s="2" t="str">
        <f t="shared" si="20"/>
        <v>Error?</v>
      </c>
    </row>
    <row r="1354" spans="1:4" x14ac:dyDescent="0.2">
      <c r="A1354" s="5">
        <v>1293</v>
      </c>
      <c r="B1354" s="138">
        <f>'Expenditures 15-22'!F182</f>
        <v>8936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8936</v>
      </c>
      <c r="C1358" s="2" t="s">
        <v>594</v>
      </c>
      <c r="D1358" s="2" t="str">
        <f t="shared" si="20"/>
        <v>Error?</v>
      </c>
    </row>
    <row r="1359" spans="1:4" x14ac:dyDescent="0.2">
      <c r="A1359" s="5">
        <v>1298</v>
      </c>
      <c r="B1359" s="138">
        <f>'Expenditures 15-22'!F210</f>
        <v>8936</v>
      </c>
      <c r="C1359" s="2" t="s">
        <v>594</v>
      </c>
      <c r="D1359" s="2" t="str">
        <f t="shared" si="20"/>
        <v>Error?</v>
      </c>
    </row>
    <row r="1360" spans="1:4" x14ac:dyDescent="0.2">
      <c r="A1360" s="5">
        <v>1299</v>
      </c>
      <c r="B1360" s="138">
        <f>'Expenditures 15-22'!G182</f>
        <v>805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805</v>
      </c>
      <c r="C1364" s="2" t="s">
        <v>594</v>
      </c>
      <c r="D1364" s="2" t="str">
        <f t="shared" si="20"/>
        <v>Error?</v>
      </c>
    </row>
    <row r="1365" spans="1:4" x14ac:dyDescent="0.2">
      <c r="A1365" s="5">
        <v>1304</v>
      </c>
      <c r="B1365" s="138">
        <f>'Expenditures 15-22'!G210</f>
        <v>805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3895892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3895892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3895892</v>
      </c>
      <c r="C1388" s="2" t="s">
        <v>594</v>
      </c>
      <c r="D1388" s="2" t="str">
        <f t="shared" si="20"/>
        <v>Error?</v>
      </c>
    </row>
    <row r="1389" spans="1:4" x14ac:dyDescent="0.2">
      <c r="A1389" s="5">
        <v>1328</v>
      </c>
      <c r="B1389" s="138">
        <f>'Expenditures 15-22'!K211</f>
        <v>802918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15113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76058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v>
      </c>
      <c r="D1408" s="2" t="str">
        <f t="shared" si="21"/>
        <v>Error?</v>
      </c>
    </row>
    <row r="1409" spans="1:4" x14ac:dyDescent="0.2">
      <c r="A1409" s="5">
        <v>1348</v>
      </c>
      <c r="B1409" s="138">
        <f>'Expenditures 15-22'!D224</f>
        <v>12336</v>
      </c>
      <c r="D1409" s="2" t="str">
        <f t="shared" si="21"/>
        <v>Error?</v>
      </c>
    </row>
    <row r="1410" spans="1:4" x14ac:dyDescent="0.2">
      <c r="A1410" s="5">
        <v>1349</v>
      </c>
      <c r="B1410" s="138">
        <f>'Expenditures 15-22'!D229</f>
        <v>887609</v>
      </c>
      <c r="C1410" s="2" t="s">
        <v>594</v>
      </c>
      <c r="D1410" s="2" t="str">
        <f t="shared" si="21"/>
        <v>Error?</v>
      </c>
    </row>
    <row r="1411" spans="1:4" x14ac:dyDescent="0.2">
      <c r="A1411" s="5">
        <v>1350</v>
      </c>
      <c r="B1411" s="138">
        <f>'Expenditures 15-22'!D232</f>
        <v>24894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62846</v>
      </c>
      <c r="D1413" s="2" t="str">
        <f t="shared" si="21"/>
        <v>Error?</v>
      </c>
    </row>
    <row r="1414" spans="1:4" x14ac:dyDescent="0.2">
      <c r="A1414" s="5">
        <v>1353</v>
      </c>
      <c r="B1414" s="138">
        <f>'Expenditures 15-22'!D235</f>
        <v>8324</v>
      </c>
      <c r="D1414" s="2" t="str">
        <f t="shared" si="21"/>
        <v>Error?</v>
      </c>
    </row>
    <row r="1415" spans="1:4" x14ac:dyDescent="0.2">
      <c r="A1415" s="5">
        <v>1354</v>
      </c>
      <c r="B1415" s="138">
        <f>'Expenditures 15-22'!D236</f>
        <v>22881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118945</v>
      </c>
      <c r="C1417" s="2" t="s">
        <v>594</v>
      </c>
      <c r="D1417" s="2" t="str">
        <f t="shared" si="21"/>
        <v>Error?</v>
      </c>
    </row>
    <row r="1418" spans="1:4" x14ac:dyDescent="0.2">
      <c r="A1418" s="5">
        <v>1357</v>
      </c>
      <c r="B1418" s="138">
        <f>'Expenditures 15-22'!D240</f>
        <v>27122</v>
      </c>
      <c r="D1418" s="2" t="str">
        <f t="shared" si="21"/>
        <v>Error?</v>
      </c>
    </row>
    <row r="1419" spans="1:4" x14ac:dyDescent="0.2">
      <c r="A1419" s="5">
        <v>1358</v>
      </c>
      <c r="B1419" s="138">
        <f>'Expenditures 15-22'!D241</f>
        <v>149314</v>
      </c>
      <c r="D1419" s="2" t="str">
        <f t="shared" si="21"/>
        <v>Error?</v>
      </c>
    </row>
    <row r="1420" spans="1:4" x14ac:dyDescent="0.2">
      <c r="A1420" s="5">
        <v>1359</v>
      </c>
      <c r="B1420" s="138">
        <f>'Expenditures 15-22'!D242</f>
        <v>38</v>
      </c>
      <c r="D1420" s="2" t="str">
        <f t="shared" si="21"/>
        <v>Error?</v>
      </c>
    </row>
    <row r="1421" spans="1:4" x14ac:dyDescent="0.2">
      <c r="A1421" s="5">
        <v>1360</v>
      </c>
      <c r="B1421" s="138">
        <f>'Expenditures 15-22'!D243</f>
        <v>176474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16257</v>
      </c>
      <c r="D1423" s="2" t="str">
        <f t="shared" si="21"/>
        <v>Error?</v>
      </c>
    </row>
    <row r="1424" spans="1:4" x14ac:dyDescent="0.2">
      <c r="A1424" s="5">
        <v>1363</v>
      </c>
      <c r="B1424" s="138">
        <f>'Expenditures 15-22'!D257</f>
        <v>17957</v>
      </c>
      <c r="C1424" s="2" t="s">
        <v>594</v>
      </c>
      <c r="D1424" s="2" t="str">
        <f t="shared" si="21"/>
        <v>Error?</v>
      </c>
    </row>
    <row r="1425" spans="1:4" x14ac:dyDescent="0.2">
      <c r="A1425" s="5">
        <v>1364</v>
      </c>
      <c r="B1425" s="138">
        <f>'Expenditures 15-22'!D259</f>
        <v>113001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113001</v>
      </c>
      <c r="C1427" s="2" t="s">
        <v>594</v>
      </c>
      <c r="D1427" s="2" t="str">
        <f t="shared" si="21"/>
        <v>Error?</v>
      </c>
    </row>
    <row r="1428" spans="1:4" x14ac:dyDescent="0.2">
      <c r="A1428" s="5">
        <v>1367</v>
      </c>
      <c r="B1428" s="138">
        <f>'Expenditures 15-22'!D263</f>
        <v>11310</v>
      </c>
      <c r="D1428" s="2" t="str">
        <f t="shared" si="21"/>
        <v>Error?</v>
      </c>
    </row>
    <row r="1429" spans="1:4" x14ac:dyDescent="0.2">
      <c r="A1429" s="5">
        <v>1368</v>
      </c>
      <c r="B1429" s="138">
        <f>'Expenditures 15-22'!D264</f>
        <v>50498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336496</v>
      </c>
      <c r="D1431" s="2" t="str">
        <f t="shared" si="21"/>
        <v>Error?</v>
      </c>
    </row>
    <row r="1432" spans="1:4" x14ac:dyDescent="0.2">
      <c r="A1432" s="5">
        <v>1371</v>
      </c>
      <c r="B1432" s="138">
        <f>'Expenditures 15-22'!D267</f>
        <v>12282</v>
      </c>
      <c r="D1432" s="2" t="str">
        <f t="shared" si="21"/>
        <v>Error?</v>
      </c>
    </row>
    <row r="1433" spans="1:4" x14ac:dyDescent="0.2">
      <c r="A1433" s="5">
        <v>1372</v>
      </c>
      <c r="B1433" s="138">
        <f>'Expenditures 15-22'!D268</f>
        <v>102622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513208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45581</v>
      </c>
      <c r="D1439" s="2" t="str">
        <f t="shared" si="21"/>
        <v>Error?</v>
      </c>
    </row>
    <row r="1440" spans="1:4" x14ac:dyDescent="0.2">
      <c r="A1440" s="5">
        <v>1379</v>
      </c>
      <c r="B1440" s="138">
        <f>'Expenditures 15-22'!D275</f>
        <v>34624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80205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1019790</v>
      </c>
      <c r="C1446" s="2" t="s">
        <v>594</v>
      </c>
      <c r="D1446" s="2" t="str">
        <f t="shared" si="21"/>
        <v>Error?</v>
      </c>
    </row>
    <row r="1447" spans="1:4" x14ac:dyDescent="0.2">
      <c r="A1447" s="5">
        <v>1386</v>
      </c>
      <c r="B1447" s="138">
        <f>'Expenditures 15-22'!D280</f>
        <v>115</v>
      </c>
      <c r="D1447" s="2" t="str">
        <f t="shared" si="21"/>
        <v>Error?</v>
      </c>
    </row>
    <row r="1448" spans="1:4" x14ac:dyDescent="0.2">
      <c r="A1448" s="5">
        <v>1387</v>
      </c>
      <c r="B1448" s="138">
        <f>'Expenditures 15-22'!D295</f>
        <v>1907514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15113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76058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v>
      </c>
      <c r="C1472" s="2" t="s">
        <v>594</v>
      </c>
      <c r="D1472" s="2" t="str">
        <f t="shared" si="22"/>
        <v>Error?</v>
      </c>
    </row>
    <row r="1473" spans="1:4" x14ac:dyDescent="0.2">
      <c r="A1473" s="5">
        <v>1412</v>
      </c>
      <c r="B1473" s="138">
        <f>'Expenditures 15-22'!K224</f>
        <v>12336</v>
      </c>
      <c r="C1473" s="2" t="s">
        <v>594</v>
      </c>
      <c r="D1473" s="2" t="str">
        <f t="shared" si="22"/>
        <v>Error?</v>
      </c>
    </row>
    <row r="1474" spans="1:4" x14ac:dyDescent="0.2">
      <c r="A1474" s="5">
        <v>1413</v>
      </c>
      <c r="B1474" s="138">
        <f>'Expenditures 15-22'!K229</f>
        <v>887609</v>
      </c>
      <c r="C1474" s="2" t="s">
        <v>594</v>
      </c>
      <c r="D1474" s="2" t="str">
        <f t="shared" si="22"/>
        <v>Error?</v>
      </c>
    </row>
    <row r="1475" spans="1:4" x14ac:dyDescent="0.2">
      <c r="A1475" s="5">
        <v>1414</v>
      </c>
      <c r="B1475" s="138">
        <f>'Expenditures 15-22'!K232</f>
        <v>24894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62846</v>
      </c>
      <c r="C1477" s="2" t="s">
        <v>594</v>
      </c>
      <c r="D1477" s="2" t="str">
        <f t="shared" si="22"/>
        <v>Error?</v>
      </c>
    </row>
    <row r="1478" spans="1:4" x14ac:dyDescent="0.2">
      <c r="A1478" s="5">
        <v>1417</v>
      </c>
      <c r="B1478" s="138">
        <f>'Expenditures 15-22'!K235</f>
        <v>8324</v>
      </c>
      <c r="C1478" s="2" t="s">
        <v>594</v>
      </c>
      <c r="D1478" s="2" t="str">
        <f t="shared" si="22"/>
        <v>Error?</v>
      </c>
    </row>
    <row r="1479" spans="1:4" x14ac:dyDescent="0.2">
      <c r="A1479" s="5">
        <v>1418</v>
      </c>
      <c r="B1479" s="138">
        <f>'Expenditures 15-22'!K236</f>
        <v>22881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118945</v>
      </c>
      <c r="C1481" s="2" t="s">
        <v>594</v>
      </c>
      <c r="D1481" s="2" t="str">
        <f t="shared" si="22"/>
        <v>Error?</v>
      </c>
    </row>
    <row r="1482" spans="1:4" x14ac:dyDescent="0.2">
      <c r="A1482" s="5">
        <v>1421</v>
      </c>
      <c r="B1482" s="138">
        <f>'Expenditures 15-22'!K240</f>
        <v>27122</v>
      </c>
      <c r="C1482" s="2" t="s">
        <v>594</v>
      </c>
      <c r="D1482" s="2" t="str">
        <f t="shared" si="22"/>
        <v>Error?</v>
      </c>
    </row>
    <row r="1483" spans="1:4" x14ac:dyDescent="0.2">
      <c r="A1483" s="5">
        <v>1422</v>
      </c>
      <c r="B1483" s="138">
        <f>'Expenditures 15-22'!K241</f>
        <v>149314</v>
      </c>
      <c r="C1483" s="2" t="s">
        <v>594</v>
      </c>
      <c r="D1483" s="2" t="str">
        <f t="shared" si="22"/>
        <v>Error?</v>
      </c>
    </row>
    <row r="1484" spans="1:4" x14ac:dyDescent="0.2">
      <c r="A1484" s="5">
        <v>1423</v>
      </c>
      <c r="B1484" s="138">
        <f>'Expenditures 15-22'!K242</f>
        <v>38</v>
      </c>
      <c r="C1484" s="2" t="s">
        <v>594</v>
      </c>
      <c r="D1484" s="2" t="str">
        <f t="shared" si="22"/>
        <v>Error?</v>
      </c>
    </row>
    <row r="1485" spans="1:4" x14ac:dyDescent="0.2">
      <c r="A1485" s="5">
        <v>1424</v>
      </c>
      <c r="B1485" s="138">
        <f>'Expenditures 15-22'!K243</f>
        <v>176474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16257</v>
      </c>
      <c r="C1487" s="2" t="s">
        <v>594</v>
      </c>
      <c r="D1487" s="2" t="str">
        <f t="shared" si="22"/>
        <v>Error?</v>
      </c>
    </row>
    <row r="1488" spans="1:4" x14ac:dyDescent="0.2">
      <c r="A1488" s="5">
        <v>1427</v>
      </c>
      <c r="B1488" s="138">
        <f>'Expenditures 15-22'!K257</f>
        <v>17957</v>
      </c>
      <c r="C1488" s="2" t="s">
        <v>594</v>
      </c>
      <c r="D1488" s="2" t="str">
        <f t="shared" si="22"/>
        <v>Error?</v>
      </c>
    </row>
    <row r="1489" spans="1:4" x14ac:dyDescent="0.2">
      <c r="A1489" s="5">
        <v>1428</v>
      </c>
      <c r="B1489" s="138">
        <f>'Expenditures 15-22'!K259</f>
        <v>113001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113001</v>
      </c>
      <c r="C1491" s="2" t="s">
        <v>594</v>
      </c>
      <c r="D1491" s="2" t="str">
        <f t="shared" si="22"/>
        <v>Error?</v>
      </c>
    </row>
    <row r="1492" spans="1:4" x14ac:dyDescent="0.2">
      <c r="A1492" s="5">
        <v>1431</v>
      </c>
      <c r="B1492" s="138">
        <f>'Expenditures 15-22'!K263</f>
        <v>11310</v>
      </c>
      <c r="C1492" s="2" t="s">
        <v>594</v>
      </c>
      <c r="D1492" s="2" t="str">
        <f t="shared" si="22"/>
        <v>Error?</v>
      </c>
    </row>
    <row r="1493" spans="1:4" x14ac:dyDescent="0.2">
      <c r="A1493" s="5">
        <v>1432</v>
      </c>
      <c r="B1493" s="138">
        <f>'Expenditures 15-22'!K264</f>
        <v>50498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336496</v>
      </c>
      <c r="C1495" s="2" t="s">
        <v>594</v>
      </c>
      <c r="D1495" s="2" t="str">
        <f t="shared" si="22"/>
        <v>Error?</v>
      </c>
    </row>
    <row r="1496" spans="1:4" x14ac:dyDescent="0.2">
      <c r="A1496" s="5">
        <v>1435</v>
      </c>
      <c r="B1496" s="138">
        <f>'Expenditures 15-22'!K267</f>
        <v>12282</v>
      </c>
      <c r="C1496" s="2" t="s">
        <v>594</v>
      </c>
      <c r="D1496" s="2" t="str">
        <f t="shared" si="22"/>
        <v>Error?</v>
      </c>
    </row>
    <row r="1497" spans="1:4" x14ac:dyDescent="0.2">
      <c r="A1497" s="5">
        <v>1436</v>
      </c>
      <c r="B1497" s="138">
        <f>'Expenditures 15-22'!K268</f>
        <v>102622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513208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45581</v>
      </c>
      <c r="C1503" s="2" t="s">
        <v>594</v>
      </c>
      <c r="D1503" s="2" t="str">
        <f t="shared" si="22"/>
        <v>Error?</v>
      </c>
    </row>
    <row r="1504" spans="1:4" x14ac:dyDescent="0.2">
      <c r="A1504" s="5">
        <v>1443</v>
      </c>
      <c r="B1504" s="138">
        <f>'Expenditures 15-22'!K275</f>
        <v>34624</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80205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1019790</v>
      </c>
      <c r="C1510" s="2" t="s">
        <v>594</v>
      </c>
      <c r="D1510" s="2" t="str">
        <f t="shared" si="22"/>
        <v>Error?</v>
      </c>
    </row>
    <row r="1511" spans="1:4" x14ac:dyDescent="0.2">
      <c r="A1511" s="5">
        <v>1450</v>
      </c>
      <c r="B1511" s="138">
        <f>'Expenditures 15-22'!K280</f>
        <v>115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1907514</v>
      </c>
      <c r="C1517" s="2" t="s">
        <v>594</v>
      </c>
      <c r="D1517" s="2" t="str">
        <f t="shared" si="22"/>
        <v>Error?</v>
      </c>
    </row>
    <row r="1518" spans="1:4" x14ac:dyDescent="0.2">
      <c r="A1518" s="5">
        <v>1457</v>
      </c>
      <c r="B1518" s="138">
        <f>'Expenditures 15-22'!K296</f>
        <v>82545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692665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692665</v>
      </c>
      <c r="C1547" s="2" t="s">
        <v>594</v>
      </c>
      <c r="D1547" s="2" t="str">
        <f t="shared" si="23"/>
        <v>Error?</v>
      </c>
    </row>
    <row r="1548" spans="1:4" x14ac:dyDescent="0.2">
      <c r="A1548" s="5">
        <v>1487</v>
      </c>
      <c r="B1548" s="138">
        <f>'Expenditures 15-22'!G312</f>
        <v>692665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692665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692665</v>
      </c>
      <c r="C1559" s="2" t="s">
        <v>594</v>
      </c>
      <c r="D1559" s="2" t="str">
        <f t="shared" si="23"/>
        <v>Error?</v>
      </c>
    </row>
    <row r="1560" spans="1:4" x14ac:dyDescent="0.2">
      <c r="A1560" s="5">
        <v>1499</v>
      </c>
      <c r="B1560" s="138">
        <f>'Expenditures 15-22'!K312</f>
        <v>692665</v>
      </c>
      <c r="C1560" s="2" t="s">
        <v>594</v>
      </c>
      <c r="D1560" s="2" t="str">
        <f t="shared" si="23"/>
        <v>Error?</v>
      </c>
    </row>
    <row r="1561" spans="1:4" x14ac:dyDescent="0.2">
      <c r="A1561" s="5">
        <v>1500</v>
      </c>
      <c r="B1561" s="138">
        <f>'Expenditures 15-22'!K313</f>
        <v>-685951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40263147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41539922</v>
      </c>
      <c r="C1630" s="2" t="s">
        <v>594</v>
      </c>
      <c r="D1630" s="2" t="str">
        <f t="shared" si="24"/>
        <v>Error?</v>
      </c>
    </row>
    <row r="1631" spans="1:4" x14ac:dyDescent="0.2">
      <c r="A1631" s="5">
        <v>1570</v>
      </c>
      <c r="B1631" s="138">
        <f>'Acct Summary 7-8'!D79</f>
        <v>2972883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2869297</v>
      </c>
      <c r="C1644" s="2" t="s">
        <v>594</v>
      </c>
      <c r="D1644" s="2" t="str">
        <f t="shared" si="24"/>
        <v>Error?</v>
      </c>
    </row>
    <row r="1645" spans="1:4" x14ac:dyDescent="0.2">
      <c r="A1645" s="5">
        <v>1584</v>
      </c>
      <c r="B1645" s="138">
        <f>'Acct Summary 7-8'!E79</f>
        <v>1822417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1940666</v>
      </c>
      <c r="C1658" s="2" t="s">
        <v>594</v>
      </c>
      <c r="D1658" s="2" t="str">
        <f t="shared" si="24"/>
        <v>Error?</v>
      </c>
    </row>
    <row r="1659" spans="1:4" x14ac:dyDescent="0.2">
      <c r="A1659" s="5">
        <v>1598</v>
      </c>
      <c r="B1659" s="138">
        <f>'Acct Summary 7-8'!F79</f>
        <v>1471014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2273932</v>
      </c>
      <c r="C1672" s="2" t="s">
        <v>594</v>
      </c>
      <c r="D1672" s="2" t="str">
        <f t="shared" si="25"/>
        <v>Error?</v>
      </c>
    </row>
    <row r="1673" spans="1:4" x14ac:dyDescent="0.2">
      <c r="A1673" s="5">
        <v>1612</v>
      </c>
      <c r="B1673" s="138">
        <f>'Acct Summary 7-8'!G79</f>
        <v>1477887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1560432</v>
      </c>
      <c r="C1686" s="2" t="s">
        <v>594</v>
      </c>
      <c r="D1686" s="2" t="str">
        <f t="shared" si="25"/>
        <v>Error?</v>
      </c>
    </row>
    <row r="1687" spans="1:4" x14ac:dyDescent="0.2">
      <c r="A1687" s="5">
        <v>1626</v>
      </c>
      <c r="B1687" s="138">
        <f>'Acct Summary 7-8'!H79</f>
        <v>1086920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400969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38594843</v>
      </c>
      <c r="C1744" s="2" t="s">
        <v>594</v>
      </c>
      <c r="D1744" s="2" t="str">
        <f t="shared" si="26"/>
        <v>Error?</v>
      </c>
    </row>
    <row r="1745" spans="1:5" x14ac:dyDescent="0.2">
      <c r="A1745" s="5">
        <v>1684</v>
      </c>
      <c r="B1745" s="138">
        <f>'Tax Sched 23'!B5</f>
        <v>4341665</v>
      </c>
      <c r="C1745" s="2" t="s">
        <v>594</v>
      </c>
      <c r="D1745" s="2" t="str">
        <f t="shared" si="26"/>
        <v>Error?</v>
      </c>
    </row>
    <row r="1746" spans="1:5" x14ac:dyDescent="0.2">
      <c r="A1746" s="5">
        <v>1685</v>
      </c>
      <c r="B1746" s="138">
        <f>'Tax Sched 23'!B6</f>
        <v>3627428</v>
      </c>
      <c r="C1746" s="2" t="s">
        <v>594</v>
      </c>
      <c r="D1746" s="2" t="str">
        <f t="shared" si="26"/>
        <v>Error?</v>
      </c>
    </row>
    <row r="1747" spans="1:5" x14ac:dyDescent="0.2">
      <c r="A1747" s="5">
        <v>1686</v>
      </c>
      <c r="B1747" s="138">
        <f>'Tax Sched 23'!B7</f>
        <v>2585497</v>
      </c>
      <c r="C1747" s="2" t="s">
        <v>594</v>
      </c>
      <c r="D1747" s="2" t="str">
        <f t="shared" si="26"/>
        <v>Error?</v>
      </c>
    </row>
    <row r="1748" spans="1:5" x14ac:dyDescent="0.2">
      <c r="A1748" s="5">
        <v>1687</v>
      </c>
      <c r="B1748" s="138">
        <f>'Tax Sched 23'!B8</f>
        <v>1070165</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518207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51566468</v>
      </c>
      <c r="C1759" s="2" t="s">
        <v>594</v>
      </c>
      <c r="D1759" s="2" t="str">
        <f t="shared" si="26"/>
        <v>Error?</v>
      </c>
    </row>
    <row r="1760" spans="1:5" x14ac:dyDescent="0.2">
      <c r="A1760" s="5">
        <v>1699</v>
      </c>
      <c r="B1760" s="138">
        <f>'Tax Sched 23'!D4</f>
        <v>17771647</v>
      </c>
      <c r="C1760" s="2" t="s">
        <v>594</v>
      </c>
      <c r="D1760" s="2" t="str">
        <f t="shared" si="26"/>
        <v>Error?</v>
      </c>
    </row>
    <row r="1761" spans="1:5" x14ac:dyDescent="0.2">
      <c r="A1761" s="5">
        <v>1700</v>
      </c>
      <c r="B1761" s="138">
        <f>'Tax Sched 23'!D5</f>
        <v>2058062</v>
      </c>
      <c r="C1761" s="2" t="s">
        <v>594</v>
      </c>
      <c r="D1761" s="2" t="str">
        <f t="shared" si="26"/>
        <v>Error?</v>
      </c>
    </row>
    <row r="1762" spans="1:5" s="8" customFormat="1" x14ac:dyDescent="0.2">
      <c r="A1762" s="5">
        <v>1701</v>
      </c>
      <c r="B1762" s="138">
        <f>'Tax Sched 23'!D6</f>
        <v>1689776</v>
      </c>
      <c r="C1762" s="2" t="s">
        <v>594</v>
      </c>
      <c r="D1762" s="2" t="str">
        <f t="shared" si="26"/>
        <v>Error?</v>
      </c>
      <c r="E1762" s="9"/>
    </row>
    <row r="1763" spans="1:5" x14ac:dyDescent="0.2">
      <c r="A1763" s="5">
        <v>1702</v>
      </c>
      <c r="B1763" s="138">
        <f>'Tax Sched 23'!D7</f>
        <v>1091173</v>
      </c>
      <c r="C1763" s="2" t="s">
        <v>594</v>
      </c>
      <c r="D1763" s="2" t="str">
        <f t="shared" si="26"/>
        <v>Error?</v>
      </c>
    </row>
    <row r="1764" spans="1:5" x14ac:dyDescent="0.2">
      <c r="A1764" s="5">
        <v>1703</v>
      </c>
      <c r="B1764" s="138">
        <f>'Tax Sched 23'!D8</f>
        <v>491899</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238221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23721046</v>
      </c>
      <c r="C1775" s="2" t="s">
        <v>594</v>
      </c>
      <c r="D1775" s="2" t="str">
        <f t="shared" si="26"/>
        <v>Error?</v>
      </c>
    </row>
    <row r="1776" spans="1:5" x14ac:dyDescent="0.2">
      <c r="A1776" s="5">
        <v>1715</v>
      </c>
      <c r="B1776" s="138">
        <f>'Tax Sched 23'!C4</f>
        <v>20823196</v>
      </c>
      <c r="D1776" s="2" t="str">
        <f t="shared" si="26"/>
        <v>Error?</v>
      </c>
    </row>
    <row r="1777" spans="1:4" x14ac:dyDescent="0.2">
      <c r="A1777" s="5">
        <v>1716</v>
      </c>
      <c r="B1777" s="138">
        <f>'Tax Sched 23'!C5</f>
        <v>2283603</v>
      </c>
      <c r="D1777" s="2" t="str">
        <f t="shared" si="26"/>
        <v>Error?</v>
      </c>
    </row>
    <row r="1778" spans="1:4" x14ac:dyDescent="0.2">
      <c r="A1778" s="5">
        <v>1717</v>
      </c>
      <c r="B1778" s="138">
        <f>'Tax Sched 23'!C6</f>
        <v>1937652</v>
      </c>
      <c r="D1778" s="2" t="str">
        <f t="shared" si="26"/>
        <v>Error?</v>
      </c>
    </row>
    <row r="1779" spans="1:4" x14ac:dyDescent="0.2">
      <c r="A1779" s="5">
        <v>1718</v>
      </c>
      <c r="B1779" s="138">
        <f>'Tax Sched 23'!C7</f>
        <v>1494324</v>
      </c>
      <c r="D1779" s="2" t="str">
        <f t="shared" si="26"/>
        <v>Error?</v>
      </c>
    </row>
    <row r="1780" spans="1:4" x14ac:dyDescent="0.2">
      <c r="A1780" s="5">
        <v>1719</v>
      </c>
      <c r="B1780" s="138">
        <f>'Tax Sched 23'!C8</f>
        <v>578266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279986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27845422</v>
      </c>
      <c r="C1791" s="2" t="s">
        <v>594</v>
      </c>
      <c r="D1791" s="2" t="str">
        <f t="shared" ref="D1791:D1854" si="27">IF(ISBLANK(B1791),"OK",IF(A1791-B1791=0,"OK","Error?"))</f>
        <v>Error?</v>
      </c>
    </row>
    <row r="1792" spans="1:4" x14ac:dyDescent="0.2">
      <c r="A1792" s="5">
        <v>1731</v>
      </c>
      <c r="B1792" s="138">
        <f>'Tax Sched 23'!F4</f>
        <v>19306142</v>
      </c>
      <c r="C1792" s="2" t="s">
        <v>594</v>
      </c>
      <c r="D1792" s="2" t="str">
        <f t="shared" si="27"/>
        <v>Error?</v>
      </c>
    </row>
    <row r="1793" spans="1:4" x14ac:dyDescent="0.2">
      <c r="A1793" s="5">
        <v>1732</v>
      </c>
      <c r="B1793" s="138">
        <f>'Tax Sched 23'!F5</f>
        <v>2116397</v>
      </c>
      <c r="C1793" s="2" t="s">
        <v>594</v>
      </c>
      <c r="D1793" s="2" t="str">
        <f t="shared" si="27"/>
        <v>Error?</v>
      </c>
    </row>
    <row r="1794" spans="1:4" x14ac:dyDescent="0.2">
      <c r="A1794" s="5">
        <v>1733</v>
      </c>
      <c r="B1794" s="138">
        <f>'Tax Sched 23'!F6</f>
        <v>1797211</v>
      </c>
      <c r="C1794" s="2" t="s">
        <v>594</v>
      </c>
      <c r="D1794" s="2" t="str">
        <f t="shared" si="27"/>
        <v>Error?</v>
      </c>
    </row>
    <row r="1795" spans="1:4" x14ac:dyDescent="0.2">
      <c r="A1795" s="5">
        <v>1734</v>
      </c>
      <c r="B1795" s="138">
        <f>'Tax Sched 23'!F7</f>
        <v>1385676</v>
      </c>
      <c r="C1795" s="2" t="s">
        <v>594</v>
      </c>
      <c r="D1795" s="2" t="str">
        <f t="shared" si="27"/>
        <v>Error?</v>
      </c>
    </row>
    <row r="1796" spans="1:4" x14ac:dyDescent="0.2">
      <c r="A1796" s="5">
        <v>1735</v>
      </c>
      <c r="B1796" s="138">
        <f>'Tax Sched 23'!F8</f>
        <v>536734</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259014</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25817779</v>
      </c>
      <c r="C1807" s="2" t="s">
        <v>594</v>
      </c>
      <c r="D1807" s="2" t="str">
        <f t="shared" si="27"/>
        <v>Error?</v>
      </c>
    </row>
    <row r="1808" spans="1:4" x14ac:dyDescent="0.2">
      <c r="A1808" s="5">
        <v>1747</v>
      </c>
      <c r="B1808" s="138">
        <f>'Tax Sched 23'!E4</f>
        <v>40129338</v>
      </c>
      <c r="D1808" s="2" t="str">
        <f t="shared" si="27"/>
        <v>Error?</v>
      </c>
    </row>
    <row r="1809" spans="1:4" x14ac:dyDescent="0.2">
      <c r="A1809" s="5">
        <v>1748</v>
      </c>
      <c r="B1809" s="138">
        <f>'Tax Sched 23'!E5</f>
        <v>4400000</v>
      </c>
      <c r="D1809" s="2" t="str">
        <f t="shared" si="27"/>
        <v>Error?</v>
      </c>
    </row>
    <row r="1810" spans="1:4" x14ac:dyDescent="0.2">
      <c r="A1810" s="5">
        <v>1749</v>
      </c>
      <c r="B1810" s="138">
        <f>'Tax Sched 23'!E6</f>
        <v>3734863</v>
      </c>
      <c r="D1810" s="2" t="str">
        <f t="shared" si="27"/>
        <v>Error?</v>
      </c>
    </row>
    <row r="1811" spans="1:4" x14ac:dyDescent="0.2">
      <c r="A1811" s="5">
        <v>1750</v>
      </c>
      <c r="B1811" s="138">
        <f>'Tax Sched 23'!E7</f>
        <v>2880000</v>
      </c>
      <c r="D1811" s="2" t="str">
        <f t="shared" si="27"/>
        <v>Error?</v>
      </c>
    </row>
    <row r="1812" spans="1:4" x14ac:dyDescent="0.2">
      <c r="A1812" s="5">
        <v>1751</v>
      </c>
      <c r="B1812" s="138">
        <f>'Tax Sched 23'!E8</f>
        <v>1115000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539000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53663201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19045000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194077</v>
      </c>
      <c r="D2008" s="2" t="str">
        <f t="shared" si="30"/>
        <v>Error?</v>
      </c>
    </row>
    <row r="2009" spans="1:4" x14ac:dyDescent="0.2">
      <c r="A2009" s="5">
        <v>1948</v>
      </c>
      <c r="B2009" s="138">
        <f>'Cap Outlay Deprec 26'!C8</f>
        <v>101808286</v>
      </c>
      <c r="D2009" s="2" t="str">
        <f t="shared" si="30"/>
        <v>Error?</v>
      </c>
    </row>
    <row r="2010" spans="1:4" x14ac:dyDescent="0.2">
      <c r="A2010" s="5">
        <v>1949</v>
      </c>
      <c r="B2010" s="138">
        <f>'Cap Outlay Deprec 26'!C10</f>
        <v>3566686</v>
      </c>
      <c r="D2010" s="2" t="str">
        <f t="shared" si="30"/>
        <v>Error?</v>
      </c>
    </row>
    <row r="2011" spans="1:4" x14ac:dyDescent="0.2">
      <c r="A2011" s="5">
        <v>1950</v>
      </c>
      <c r="B2011" s="138">
        <f>'Cap Outlay Deprec 26'!C12</f>
        <v>28273219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133842268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5143981</v>
      </c>
      <c r="D2015" s="2" t="str">
        <f t="shared" si="30"/>
        <v>Error?</v>
      </c>
    </row>
    <row r="2016" spans="1:4" x14ac:dyDescent="0.2">
      <c r="A2016" s="5">
        <v>1955</v>
      </c>
      <c r="B2016" s="138">
        <f>'Cap Outlay Deprec 26'!D10</f>
        <v>253000</v>
      </c>
      <c r="D2016" s="2" t="str">
        <f t="shared" si="30"/>
        <v>Error?</v>
      </c>
    </row>
    <row r="2017" spans="1:4" x14ac:dyDescent="0.2">
      <c r="A2017" s="5">
        <v>1956</v>
      </c>
      <c r="B2017" s="138">
        <f>'Cap Outlay Deprec 26'!D12</f>
        <v>1401806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6798787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194077</v>
      </c>
      <c r="C2026" s="2" t="s">
        <v>594</v>
      </c>
      <c r="D2026" s="2" t="str">
        <f t="shared" si="30"/>
        <v>Error?</v>
      </c>
    </row>
    <row r="2027" spans="1:4" x14ac:dyDescent="0.2">
      <c r="A2027" s="5">
        <v>1966</v>
      </c>
      <c r="B2027" s="138">
        <f>'Cap Outlay Deprec 26'!F8</f>
        <v>106952267</v>
      </c>
      <c r="C2027" s="2" t="s">
        <v>594</v>
      </c>
      <c r="D2027" s="2" t="str">
        <f t="shared" si="30"/>
        <v>Error?</v>
      </c>
    </row>
    <row r="2028" spans="1:4" x14ac:dyDescent="0.2">
      <c r="A2028" s="5">
        <v>1967</v>
      </c>
      <c r="B2028" s="138">
        <f>'Cap Outlay Deprec 26'!F10</f>
        <v>3819686</v>
      </c>
      <c r="C2028" s="2" t="s">
        <v>594</v>
      </c>
      <c r="D2028" s="2" t="str">
        <f t="shared" si="30"/>
        <v>Error?</v>
      </c>
    </row>
    <row r="2029" spans="1:4" x14ac:dyDescent="0.2">
      <c r="A2029" s="5">
        <v>1968</v>
      </c>
      <c r="B2029" s="138">
        <f>'Cap Outlay Deprec 26'!F12</f>
        <v>29675025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140641055</v>
      </c>
      <c r="C2031" s="2" t="s">
        <v>594</v>
      </c>
      <c r="D2031" s="2" t="str">
        <f t="shared" si="30"/>
        <v>Error?</v>
      </c>
    </row>
    <row r="2032" spans="1:4" x14ac:dyDescent="0.2">
      <c r="A2032" s="10">
        <v>1971</v>
      </c>
      <c r="D2032" s="2" t="str">
        <f t="shared" si="30"/>
        <v>OK</v>
      </c>
    </row>
    <row r="2033" spans="1:4" x14ac:dyDescent="0.2">
      <c r="A2033" s="5">
        <v>1972</v>
      </c>
      <c r="B2033" s="138">
        <f>'Cap Outlay Deprec 26'!H8</f>
        <v>35854677</v>
      </c>
      <c r="D2033" s="2" t="str">
        <f t="shared" si="30"/>
        <v>Error?</v>
      </c>
    </row>
    <row r="2034" spans="1:4" x14ac:dyDescent="0.2">
      <c r="A2034" s="5">
        <v>1973</v>
      </c>
      <c r="B2034" s="138">
        <f>'Cap Outlay Deprec 26'!H10</f>
        <v>2772143</v>
      </c>
      <c r="D2034" s="2" t="str">
        <f t="shared" si="30"/>
        <v>Error?</v>
      </c>
    </row>
    <row r="2035" spans="1:4" x14ac:dyDescent="0.2">
      <c r="A2035" s="5">
        <v>1974</v>
      </c>
      <c r="B2035" s="138">
        <f>'Cap Outlay Deprec 26'!H12</f>
        <v>22492197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61119017</v>
      </c>
      <c r="C2037" s="2" t="s">
        <v>594</v>
      </c>
      <c r="D2037" s="2" t="str">
        <f t="shared" si="30"/>
        <v>Error?</v>
      </c>
    </row>
    <row r="2038" spans="1:4" x14ac:dyDescent="0.2">
      <c r="A2038" s="10">
        <v>1977</v>
      </c>
      <c r="D2038" s="2" t="str">
        <f t="shared" si="30"/>
        <v>OK</v>
      </c>
    </row>
    <row r="2039" spans="1:4" x14ac:dyDescent="0.2">
      <c r="A2039" s="5">
        <v>1978</v>
      </c>
      <c r="B2039" s="138">
        <f>'Cap Outlay Deprec 26'!I8</f>
        <v>1944520</v>
      </c>
      <c r="D2039" s="2" t="str">
        <f t="shared" si="30"/>
        <v>Error?</v>
      </c>
    </row>
    <row r="2040" spans="1:4" x14ac:dyDescent="0.2">
      <c r="A2040" s="5">
        <v>1979</v>
      </c>
      <c r="B2040" s="138">
        <f>'Cap Outlay Deprec 26'!I10</f>
        <v>96520</v>
      </c>
      <c r="D2040" s="2" t="str">
        <f t="shared" si="30"/>
        <v>Error?</v>
      </c>
    </row>
    <row r="2041" spans="1:4" x14ac:dyDescent="0.2">
      <c r="A2041" s="5">
        <v>1980</v>
      </c>
      <c r="B2041" s="138">
        <f>'Cap Outlay Deprec 26'!I12</f>
        <v>1172900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3213940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37799197</v>
      </c>
      <c r="C2051" s="2" t="s">
        <v>594</v>
      </c>
      <c r="D2051" s="2" t="str">
        <f t="shared" si="31"/>
        <v>Error?</v>
      </c>
    </row>
    <row r="2052" spans="1:4" x14ac:dyDescent="0.2">
      <c r="A2052" s="5">
        <v>1991</v>
      </c>
      <c r="B2052" s="138">
        <f>'Cap Outlay Deprec 26'!K10</f>
        <v>2868663</v>
      </c>
      <c r="C2052" s="2" t="s">
        <v>594</v>
      </c>
      <c r="D2052" s="2" t="str">
        <f t="shared" si="31"/>
        <v>Error?</v>
      </c>
    </row>
    <row r="2053" spans="1:4" x14ac:dyDescent="0.2">
      <c r="A2053" s="5">
        <v>1992</v>
      </c>
      <c r="B2053" s="138">
        <f>'Cap Outlay Deprec 26'!K12</f>
        <v>23665097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64332957</v>
      </c>
      <c r="C2055" s="2" t="s">
        <v>594</v>
      </c>
      <c r="D2055" s="2" t="str">
        <f t="shared" si="31"/>
        <v>Error?</v>
      </c>
    </row>
    <row r="2056" spans="1:4" x14ac:dyDescent="0.2">
      <c r="A2056" s="5">
        <v>1995</v>
      </c>
      <c r="B2056" s="138">
        <f>'Cap Outlay Deprec 26'!L5</f>
        <v>194077</v>
      </c>
      <c r="C2056" s="2" t="s">
        <v>594</v>
      </c>
      <c r="D2056" s="2" t="str">
        <f t="shared" si="31"/>
        <v>Error?</v>
      </c>
    </row>
    <row r="2057" spans="1:4" x14ac:dyDescent="0.2">
      <c r="A2057" s="5">
        <v>1996</v>
      </c>
      <c r="B2057" s="138">
        <f>'Cap Outlay Deprec 26'!L8</f>
        <v>69153070</v>
      </c>
      <c r="C2057" s="2" t="s">
        <v>594</v>
      </c>
      <c r="D2057" s="2" t="str">
        <f t="shared" si="31"/>
        <v>Error?</v>
      </c>
    </row>
    <row r="2058" spans="1:4" x14ac:dyDescent="0.2">
      <c r="A2058" s="5">
        <v>1997</v>
      </c>
      <c r="B2058" s="138">
        <f>'Cap Outlay Deprec 26'!L10</f>
        <v>951023</v>
      </c>
      <c r="C2058" s="2" t="s">
        <v>594</v>
      </c>
      <c r="D2058" s="2" t="str">
        <f t="shared" si="31"/>
        <v>Error?</v>
      </c>
    </row>
    <row r="2059" spans="1:4" x14ac:dyDescent="0.2">
      <c r="A2059" s="5">
        <v>1998</v>
      </c>
      <c r="B2059" s="138">
        <f>'Cap Outlay Deprec 26'!L12</f>
        <v>6009928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76308098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883665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49252681</v>
      </c>
      <c r="C2551" s="2" t="s">
        <v>594</v>
      </c>
      <c r="D2551" s="2" t="str">
        <f t="shared" si="38"/>
        <v>Error?</v>
      </c>
    </row>
    <row r="2552" spans="1:4" x14ac:dyDescent="0.2">
      <c r="A2552" s="10">
        <v>2491</v>
      </c>
      <c r="D2552" s="2" t="str">
        <f t="shared" si="38"/>
        <v>OK</v>
      </c>
    </row>
    <row r="2553" spans="1:4" x14ac:dyDescent="0.2">
      <c r="A2553" s="5">
        <v>2492</v>
      </c>
      <c r="B2553" s="138">
        <f>'Acct Summary 7-8'!C6</f>
        <v>5554072</v>
      </c>
      <c r="C2553" s="2" t="s">
        <v>594</v>
      </c>
      <c r="D2553" s="2" t="str">
        <f t="shared" si="38"/>
        <v>Error?</v>
      </c>
    </row>
    <row r="2554" spans="1:4" x14ac:dyDescent="0.2">
      <c r="A2554" s="5">
        <v>2493</v>
      </c>
      <c r="B2554" s="138">
        <f>'Acct Summary 7-8'!C7</f>
        <v>3414095</v>
      </c>
      <c r="C2554" s="2" t="s">
        <v>594</v>
      </c>
      <c r="D2554" s="2" t="str">
        <f t="shared" si="38"/>
        <v>Error?</v>
      </c>
    </row>
    <row r="2555" spans="1:4" x14ac:dyDescent="0.2">
      <c r="A2555" s="5">
        <v>2494</v>
      </c>
      <c r="B2555" s="138">
        <f>'Acct Summary 7-8'!C8</f>
        <v>58220848</v>
      </c>
      <c r="C2555" s="2" t="s">
        <v>594</v>
      </c>
      <c r="D2555" s="2" t="str">
        <f t="shared" si="38"/>
        <v>Error?</v>
      </c>
    </row>
    <row r="2556" spans="1:4" x14ac:dyDescent="0.2">
      <c r="A2556" s="5">
        <v>2495</v>
      </c>
      <c r="B2556" s="138">
        <f>'Acct Summary 7-8'!C12</f>
        <v>38804218</v>
      </c>
      <c r="C2556" s="2" t="s">
        <v>594</v>
      </c>
      <c r="D2556" s="2" t="str">
        <f t="shared" si="38"/>
        <v>Error?</v>
      </c>
    </row>
    <row r="2557" spans="1:4" x14ac:dyDescent="0.2">
      <c r="A2557" s="5">
        <v>2496</v>
      </c>
      <c r="B2557" s="138">
        <f>'Acct Summary 7-8'!C13</f>
        <v>17228911</v>
      </c>
      <c r="C2557" s="2" t="s">
        <v>594</v>
      </c>
      <c r="D2557" s="2" t="str">
        <f t="shared" si="38"/>
        <v>Error?</v>
      </c>
    </row>
    <row r="2558" spans="1:4" x14ac:dyDescent="0.2">
      <c r="A2558" s="5">
        <v>2497</v>
      </c>
      <c r="B2558" s="138">
        <f>'Acct Summary 7-8'!C14</f>
        <v>27279</v>
      </c>
      <c r="C2558" s="2" t="s">
        <v>594</v>
      </c>
      <c r="D2558" s="2" t="str">
        <f t="shared" si="38"/>
        <v>Error?</v>
      </c>
    </row>
    <row r="2559" spans="1:4" x14ac:dyDescent="0.2">
      <c r="A2559" s="5">
        <v>2498</v>
      </c>
      <c r="B2559" s="138">
        <f>'Acct Summary 7-8'!C15</f>
        <v>883665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56944073</v>
      </c>
      <c r="C2561" s="2" t="s">
        <v>594</v>
      </c>
      <c r="D2561" s="2" t="str">
        <f t="shared" si="39"/>
        <v>Error?</v>
      </c>
    </row>
    <row r="2562" spans="1:4" x14ac:dyDescent="0.2">
      <c r="A2562" s="5">
        <v>2501</v>
      </c>
      <c r="B2562" s="138">
        <f>'Acct Summary 7-8'!C20</f>
        <v>1276775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4829712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4829712</v>
      </c>
      <c r="C2568" s="2" t="s">
        <v>594</v>
      </c>
      <c r="D2568" s="2" t="str">
        <f t="shared" si="39"/>
        <v>Error?</v>
      </c>
    </row>
    <row r="2569" spans="1:4" x14ac:dyDescent="0.2">
      <c r="A2569" s="5">
        <v>2508</v>
      </c>
      <c r="B2569" s="138">
        <f>'Acct Summary 7-8'!D13</f>
        <v>4933298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4933298</v>
      </c>
      <c r="C2573" s="2" t="s">
        <v>594</v>
      </c>
      <c r="D2573" s="2" t="str">
        <f t="shared" si="39"/>
        <v>Error?</v>
      </c>
    </row>
    <row r="2574" spans="1:4" x14ac:dyDescent="0.2">
      <c r="A2574" s="5">
        <v>2513</v>
      </c>
      <c r="B2574" s="138">
        <f>'Acct Summary 7-8'!D20</f>
        <v>-103586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2673486</v>
      </c>
      <c r="C2591" s="2" t="s">
        <v>594</v>
      </c>
      <c r="D2591" s="2" t="str">
        <f t="shared" si="39"/>
        <v>Error?</v>
      </c>
    </row>
    <row r="2592" spans="1:4" x14ac:dyDescent="0.2">
      <c r="A2592" s="10">
        <v>2531</v>
      </c>
      <c r="D2592" s="2" t="str">
        <f t="shared" si="39"/>
        <v>OK</v>
      </c>
    </row>
    <row r="2593" spans="1:4" x14ac:dyDescent="0.2">
      <c r="A2593" s="5">
        <v>2532</v>
      </c>
      <c r="B2593" s="138">
        <f>'Acct Summary 7-8'!F6</f>
        <v>2025324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4698810</v>
      </c>
      <c r="C2595" s="2" t="s">
        <v>594</v>
      </c>
      <c r="D2595" s="2" t="str">
        <f t="shared" si="39"/>
        <v>Error?</v>
      </c>
    </row>
    <row r="2596" spans="1:4" x14ac:dyDescent="0.2">
      <c r="A2596" s="5">
        <v>2535</v>
      </c>
      <c r="B2596" s="138">
        <f>'Acct Summary 7-8'!F13</f>
        <v>3895892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3895892</v>
      </c>
      <c r="C2600" s="2" t="s">
        <v>594</v>
      </c>
      <c r="D2600" s="2" t="str">
        <f t="shared" si="39"/>
        <v>Error?</v>
      </c>
    </row>
    <row r="2601" spans="1:4" x14ac:dyDescent="0.2">
      <c r="A2601" s="5">
        <v>2540</v>
      </c>
      <c r="B2601" s="138">
        <f>'Acct Summary 7-8'!F20</f>
        <v>802918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1990059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1990059</v>
      </c>
      <c r="C2606" s="2" t="s">
        <v>594</v>
      </c>
      <c r="D2606" s="2" t="str">
        <f t="shared" si="39"/>
        <v>Error?</v>
      </c>
    </row>
    <row r="2607" spans="1:4" x14ac:dyDescent="0.2">
      <c r="A2607" s="5">
        <v>2546</v>
      </c>
      <c r="B2607" s="138">
        <f>'Acct Summary 7-8'!G12</f>
        <v>887609</v>
      </c>
      <c r="C2607" s="2" t="s">
        <v>594</v>
      </c>
      <c r="D2607" s="2" t="str">
        <f t="shared" si="39"/>
        <v>Error?</v>
      </c>
    </row>
    <row r="2608" spans="1:4" x14ac:dyDescent="0.2">
      <c r="A2608" s="5">
        <v>2547</v>
      </c>
      <c r="B2608" s="138">
        <f>'Acct Summary 7-8'!G13</f>
        <v>1019790</v>
      </c>
      <c r="C2608" s="2" t="s">
        <v>594</v>
      </c>
      <c r="D2608" s="2" t="str">
        <f t="shared" si="39"/>
        <v>Error?</v>
      </c>
    </row>
    <row r="2609" spans="1:4" x14ac:dyDescent="0.2">
      <c r="A2609" s="5">
        <v>2548</v>
      </c>
      <c r="B2609" s="138">
        <f>'Acct Summary 7-8'!G14</f>
        <v>115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1907514</v>
      </c>
      <c r="C2612" s="2" t="s">
        <v>594</v>
      </c>
      <c r="D2612" s="2" t="str">
        <f t="shared" si="39"/>
        <v>Error?</v>
      </c>
    </row>
    <row r="2613" spans="1:4" x14ac:dyDescent="0.2">
      <c r="A2613" s="5">
        <v>2552</v>
      </c>
      <c r="B2613" s="138">
        <f>'Acct Summary 7-8'!G20</f>
        <v>82545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3653441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3653441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3535192</v>
      </c>
      <c r="C2634" s="2" t="s">
        <v>594</v>
      </c>
      <c r="D2634" s="2" t="str">
        <f t="shared" si="40"/>
        <v>Error?</v>
      </c>
    </row>
    <row r="2635" spans="1:4" x14ac:dyDescent="0.2">
      <c r="A2635" s="5">
        <v>2574</v>
      </c>
      <c r="B2635" s="138">
        <f>'Acct Summary 7-8'!E17</f>
        <v>3535192</v>
      </c>
      <c r="C2635" s="2" t="s">
        <v>594</v>
      </c>
      <c r="D2635" s="2" t="str">
        <f t="shared" si="40"/>
        <v>Error?</v>
      </c>
    </row>
    <row r="2636" spans="1:4" x14ac:dyDescent="0.2">
      <c r="A2636" s="5">
        <v>2575</v>
      </c>
      <c r="B2636" s="138">
        <f>'Acct Summary 7-8'!E20</f>
        <v>118249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6714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6714</v>
      </c>
      <c r="C2658" s="2" t="s">
        <v>594</v>
      </c>
      <c r="D2658" s="2" t="str">
        <f t="shared" si="40"/>
        <v>Error?</v>
      </c>
    </row>
    <row r="2659" spans="1:4" x14ac:dyDescent="0.2">
      <c r="A2659" s="5">
        <v>2598</v>
      </c>
      <c r="B2659" s="138">
        <f>'Acct Summary 7-8'!H13</f>
        <v>692665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692665</v>
      </c>
      <c r="C2661" s="2" t="s">
        <v>594</v>
      </c>
      <c r="D2661" s="2" t="str">
        <f t="shared" si="40"/>
        <v>Error?</v>
      </c>
    </row>
    <row r="2662" spans="1:4" x14ac:dyDescent="0.2">
      <c r="A2662" s="5">
        <v>2601</v>
      </c>
      <c r="B2662" s="138">
        <f>'Acct Summary 7-8'!H20</f>
        <v>-685951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13883</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5363</v>
      </c>
      <c r="D2720" s="2" t="str">
        <f t="shared" si="41"/>
        <v>Error?</v>
      </c>
    </row>
    <row r="2721" spans="1:4" x14ac:dyDescent="0.2">
      <c r="A2721" s="5">
        <v>2660</v>
      </c>
      <c r="B2721" s="138">
        <f>'Expenditures 15-22'!F51</f>
        <v>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19248</v>
      </c>
      <c r="C2724" s="2" t="s">
        <v>594</v>
      </c>
      <c r="D2724" s="2" t="str">
        <f t="shared" si="41"/>
        <v>Error?</v>
      </c>
    </row>
    <row r="2725" spans="1:4" x14ac:dyDescent="0.2">
      <c r="A2725" s="5">
        <v>2664</v>
      </c>
      <c r="B2725" s="138">
        <f>'Expenditures 15-22'!D247</f>
        <v>1700</v>
      </c>
      <c r="D2725" s="2" t="str">
        <f t="shared" si="41"/>
        <v>Error?</v>
      </c>
    </row>
    <row r="2726" spans="1:4" x14ac:dyDescent="0.2">
      <c r="A2726" s="5">
        <v>2665</v>
      </c>
      <c r="B2726" s="138">
        <f>'Expenditures 15-22'!K247</f>
        <v>1700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883665</v>
      </c>
      <c r="C2789" s="2" t="s">
        <v>594</v>
      </c>
      <c r="D2789" s="2" t="str">
        <f t="shared" si="42"/>
        <v>Error?</v>
      </c>
    </row>
    <row r="2790" spans="1:4" x14ac:dyDescent="0.2">
      <c r="A2790" s="5">
        <v>2729</v>
      </c>
      <c r="B2790" s="138">
        <f>'Expenditures 15-22'!E102</f>
        <v>883665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1939606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426160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1939606</v>
      </c>
      <c r="D2912" s="2" t="str">
        <f t="shared" si="44"/>
        <v>Error?</v>
      </c>
    </row>
    <row r="2913" spans="1:4" x14ac:dyDescent="0.2">
      <c r="A2913" s="5">
        <v>2852</v>
      </c>
      <c r="B2913" s="138">
        <f>'Assets-Liab 5-6'!I41</f>
        <v>1939606</v>
      </c>
      <c r="C2913" s="2" t="s">
        <v>594</v>
      </c>
      <c r="D2913" s="2" t="str">
        <f t="shared" si="44"/>
        <v>Error?</v>
      </c>
    </row>
    <row r="2914" spans="1:4" x14ac:dyDescent="0.2">
      <c r="A2914" s="5">
        <v>2853</v>
      </c>
      <c r="B2914" s="138">
        <f>'Assets-Liab 5-6'!L33</f>
        <v>426160</v>
      </c>
      <c r="D2914" s="2" t="str">
        <f t="shared" si="44"/>
        <v>Error?</v>
      </c>
    </row>
    <row r="2915" spans="1:4" x14ac:dyDescent="0.2">
      <c r="A2915" s="10">
        <v>2854</v>
      </c>
      <c r="D2915" s="2" t="str">
        <f t="shared" si="44"/>
        <v>OK</v>
      </c>
    </row>
    <row r="2916" spans="1:4" x14ac:dyDescent="0.2">
      <c r="A2916" s="5">
        <v>2855</v>
      </c>
      <c r="B2916" s="138">
        <f>'Assets-Liab 5-6'!L34</f>
        <v>426160</v>
      </c>
      <c r="C2916" s="2" t="s">
        <v>594</v>
      </c>
      <c r="D2916" s="2" t="str">
        <f t="shared" si="44"/>
        <v>Error?</v>
      </c>
    </row>
    <row r="2917" spans="1:4" x14ac:dyDescent="0.2">
      <c r="A2917" s="5">
        <v>2856</v>
      </c>
      <c r="B2917" s="138">
        <f>'Assets-Liab 5-6'!L41</f>
        <v>426160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15000</v>
      </c>
      <c r="D2949" s="2" t="str">
        <f t="shared" si="45"/>
        <v>Error?</v>
      </c>
    </row>
    <row r="2950" spans="1:4" x14ac:dyDescent="0.2">
      <c r="A2950" s="5">
        <v>2889</v>
      </c>
      <c r="B2950" s="138">
        <f>'Expenditures 15-22'!E79</f>
        <v>868665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15000</v>
      </c>
      <c r="C2973" s="2" t="s">
        <v>594</v>
      </c>
      <c r="D2973" s="2" t="str">
        <f t="shared" si="45"/>
        <v>Error?</v>
      </c>
    </row>
    <row r="2974" spans="1:4" x14ac:dyDescent="0.2">
      <c r="A2974" s="5">
        <v>2913</v>
      </c>
      <c r="B2974" s="138">
        <f>'Expenditures 15-22'!K79</f>
        <v>868665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34148</v>
      </c>
      <c r="C3225" s="2" t="s">
        <v>594</v>
      </c>
      <c r="D3225" s="2" t="str">
        <f t="shared" si="49"/>
        <v>Error?</v>
      </c>
    </row>
    <row r="3226" spans="1:4" x14ac:dyDescent="0.2">
      <c r="A3226" s="5">
        <v>3165</v>
      </c>
      <c r="B3226" s="138">
        <f>'Acct Summary 7-8'!I8</f>
        <v>34148</v>
      </c>
      <c r="C3226" s="2" t="s">
        <v>594</v>
      </c>
      <c r="D3226" s="2" t="str">
        <f t="shared" si="49"/>
        <v>Error?</v>
      </c>
    </row>
    <row r="3227" spans="1:4" x14ac:dyDescent="0.2">
      <c r="A3227" s="5">
        <v>3166</v>
      </c>
      <c r="B3227" s="138">
        <f>'Acct Summary 7-8'!I20</f>
        <v>34148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1276775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-103586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802918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82545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118249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-685951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34148</v>
      </c>
      <c r="C3320" s="2" t="s">
        <v>594</v>
      </c>
      <c r="D3320" s="2" t="str">
        <f t="shared" si="50"/>
        <v>Error?</v>
      </c>
    </row>
    <row r="3321" spans="1:4" x14ac:dyDescent="0.2">
      <c r="A3321" s="5">
        <v>3260</v>
      </c>
      <c r="B3321" s="138">
        <f>'Acct Summary 7-8'!I79</f>
        <v>1905458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1939606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5252494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1315479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723223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109893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6126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1123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7408338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416174</v>
      </c>
      <c r="D3387" s="2" t="str">
        <f t="shared" si="51"/>
        <v>Error?</v>
      </c>
    </row>
    <row r="3388" spans="1:4" x14ac:dyDescent="0.2">
      <c r="A3388" s="5">
        <v>3327</v>
      </c>
      <c r="B3388" s="138">
        <f>'Expenditures 15-22'!D217</f>
        <v>367921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416174</v>
      </c>
      <c r="C3390" s="2" t="s">
        <v>594</v>
      </c>
      <c r="D3390" s="2" t="str">
        <f t="shared" si="51"/>
        <v>Error?</v>
      </c>
    </row>
    <row r="3391" spans="1:4" x14ac:dyDescent="0.2">
      <c r="A3391" s="5">
        <v>3330</v>
      </c>
      <c r="B3391" s="138">
        <f>'Expenditures 15-22'!K217</f>
        <v>367921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41696840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2869297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1940666</v>
      </c>
      <c r="D3417" s="2" t="str">
        <f t="shared" si="52"/>
        <v>Error?</v>
      </c>
    </row>
    <row r="3418" spans="1:4" x14ac:dyDescent="0.2">
      <c r="A3418" s="10">
        <v>3357</v>
      </c>
      <c r="D3418" s="2" t="str">
        <f t="shared" si="52"/>
        <v>OK</v>
      </c>
    </row>
    <row r="3419" spans="1:4" x14ac:dyDescent="0.2">
      <c r="A3419" s="5">
        <v>3358</v>
      </c>
      <c r="B3419" s="138">
        <f>'Assets-Liab 5-6'!F4</f>
        <v>2273932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1560432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400969</v>
      </c>
      <c r="D3425" s="2" t="str">
        <f t="shared" si="52"/>
        <v>Error?</v>
      </c>
    </row>
    <row r="3426" spans="1:4" x14ac:dyDescent="0.2">
      <c r="A3426" s="10">
        <v>3365</v>
      </c>
      <c r="D3426" s="2" t="str">
        <f t="shared" si="52"/>
        <v>OK</v>
      </c>
    </row>
    <row r="3427" spans="1:4" x14ac:dyDescent="0.2">
      <c r="A3427" s="5">
        <v>3366</v>
      </c>
      <c r="B3427" s="138">
        <f>'Assets-Liab 5-6'!I4</f>
        <v>1939606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426160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828663</v>
      </c>
      <c r="C3446" s="2" t="s">
        <v>594</v>
      </c>
      <c r="D3446" s="2" t="str">
        <f t="shared" si="52"/>
        <v>Error?</v>
      </c>
    </row>
    <row r="3447" spans="1:4" x14ac:dyDescent="0.2">
      <c r="A3447" s="5">
        <v>3386</v>
      </c>
      <c r="B3447" s="138">
        <f>'Tax Sched 23'!D16</f>
        <v>380268</v>
      </c>
      <c r="C3447" s="2" t="s">
        <v>594</v>
      </c>
      <c r="D3447" s="2" t="str">
        <f t="shared" si="52"/>
        <v>Error?</v>
      </c>
    </row>
    <row r="3448" spans="1:4" x14ac:dyDescent="0.2">
      <c r="A3448" s="5">
        <v>3387</v>
      </c>
      <c r="B3448" s="138">
        <f>'Tax Sched 23'!C16</f>
        <v>448395</v>
      </c>
      <c r="D3448" s="2" t="str">
        <f t="shared" si="52"/>
        <v>Error?</v>
      </c>
    </row>
    <row r="3449" spans="1:4" x14ac:dyDescent="0.2">
      <c r="A3449" s="5">
        <v>3388</v>
      </c>
      <c r="B3449" s="138">
        <f>'Tax Sched 23'!F16</f>
        <v>416605</v>
      </c>
      <c r="C3449" s="2" t="s">
        <v>594</v>
      </c>
      <c r="D3449" s="2" t="str">
        <f t="shared" si="52"/>
        <v>Error?</v>
      </c>
    </row>
    <row r="3450" spans="1:4" x14ac:dyDescent="0.2">
      <c r="A3450" s="5">
        <v>3389</v>
      </c>
      <c r="B3450" s="138">
        <f>'Tax Sched 23'!E16</f>
        <v>865000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846490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846490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846490</v>
      </c>
      <c r="D3567" s="2" t="str">
        <f t="shared" si="54"/>
        <v>Error?</v>
      </c>
    </row>
    <row r="3568" spans="1:4" x14ac:dyDescent="0.2">
      <c r="A3568" s="5">
        <v>3507</v>
      </c>
      <c r="B3568" s="138">
        <f>'Assets-Liab 5-6'!K41</f>
        <v>846490</v>
      </c>
      <c r="C3568" s="2" t="s">
        <v>594</v>
      </c>
      <c r="D3568" s="2" t="str">
        <f t="shared" si="54"/>
        <v>Error?</v>
      </c>
    </row>
    <row r="3569" spans="1:4" x14ac:dyDescent="0.2">
      <c r="A3569" s="5">
        <v>3508</v>
      </c>
      <c r="B3569" s="138">
        <f>'Acct Summary 7-8'!K4</f>
        <v>62541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62541</v>
      </c>
      <c r="C3571" s="2" t="s">
        <v>594</v>
      </c>
      <c r="D3571" s="2" t="str">
        <f t="shared" si="54"/>
        <v>Error?</v>
      </c>
    </row>
    <row r="3572" spans="1:4" x14ac:dyDescent="0.2">
      <c r="A3572" s="5">
        <v>3511</v>
      </c>
      <c r="B3572" s="138">
        <f>'Acct Summary 7-8'!K13</f>
        <v>4268195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4268195</v>
      </c>
      <c r="C3575" s="2" t="s">
        <v>594</v>
      </c>
      <c r="D3575" s="2" t="str">
        <f t="shared" si="54"/>
        <v>Error?</v>
      </c>
    </row>
    <row r="3576" spans="1:4" x14ac:dyDescent="0.2">
      <c r="A3576" s="5">
        <v>3515</v>
      </c>
      <c r="B3576" s="138">
        <f>'Acct Summary 7-8'!K20</f>
        <v>-4205654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-4205654</v>
      </c>
      <c r="C3588" s="2" t="s">
        <v>594</v>
      </c>
      <c r="D3588" s="2" t="str">
        <f t="shared" si="55"/>
        <v>Error?</v>
      </c>
    </row>
    <row r="3589" spans="1:4" x14ac:dyDescent="0.2">
      <c r="A3589" s="5">
        <v>3528</v>
      </c>
      <c r="B3589" s="138">
        <f>'Acct Summary 7-8'!K79</f>
        <v>5052144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846490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4268195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4268195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4268195</v>
      </c>
      <c r="C3649" s="2" t="s">
        <v>594</v>
      </c>
      <c r="D3649" s="2" t="str">
        <f t="shared" si="56"/>
        <v>Error?</v>
      </c>
    </row>
    <row r="3650" spans="1:4" x14ac:dyDescent="0.2">
      <c r="A3650" s="5">
        <v>3589</v>
      </c>
      <c r="B3650" s="138">
        <f>'Expenditures 15-22'!G367</f>
        <v>4268195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4268195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4268195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4268195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4268195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-4205654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629059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24518362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82739210</v>
      </c>
      <c r="C4122" s="2" t="s">
        <v>594</v>
      </c>
      <c r="D4122" s="2" t="str">
        <f t="shared" si="63"/>
        <v>Error?</v>
      </c>
    </row>
    <row r="4123" spans="1:4" x14ac:dyDescent="0.2">
      <c r="A4123" s="5">
        <v>4062</v>
      </c>
      <c r="B4123" s="138">
        <f>'Acct Summary 7-8'!D10</f>
        <v>4829712</v>
      </c>
      <c r="C4123" s="2" t="s">
        <v>594</v>
      </c>
      <c r="D4123" s="2" t="str">
        <f t="shared" si="63"/>
        <v>Error?</v>
      </c>
    </row>
    <row r="4124" spans="1:4" x14ac:dyDescent="0.2">
      <c r="A4124" s="5">
        <v>4063</v>
      </c>
      <c r="B4124" s="138">
        <f>'Acct Summary 7-8'!E10</f>
        <v>3653441</v>
      </c>
      <c r="C4124" s="2" t="s">
        <v>594</v>
      </c>
      <c r="D4124" s="2" t="str">
        <f t="shared" si="63"/>
        <v>Error?</v>
      </c>
    </row>
    <row r="4125" spans="1:4" x14ac:dyDescent="0.2">
      <c r="A4125" s="5">
        <v>4064</v>
      </c>
      <c r="B4125" s="138">
        <f>'Acct Summary 7-8'!F10</f>
        <v>4698810</v>
      </c>
      <c r="C4125" s="2" t="s">
        <v>594</v>
      </c>
      <c r="D4125" s="2" t="str">
        <f t="shared" si="63"/>
        <v>Error?</v>
      </c>
    </row>
    <row r="4126" spans="1:4" x14ac:dyDescent="0.2">
      <c r="A4126" s="5">
        <v>4065</v>
      </c>
      <c r="B4126" s="138">
        <f>'Acct Summary 7-8'!G10</f>
        <v>1990059</v>
      </c>
      <c r="C4126" s="2" t="s">
        <v>594</v>
      </c>
      <c r="D4126" s="2" t="str">
        <f t="shared" si="63"/>
        <v>Error?</v>
      </c>
    </row>
    <row r="4127" spans="1:4" x14ac:dyDescent="0.2">
      <c r="A4127" s="5">
        <v>4066</v>
      </c>
      <c r="B4127" s="138">
        <f>'Acct Summary 7-8'!H10</f>
        <v>6714</v>
      </c>
      <c r="C4127" s="2" t="s">
        <v>594</v>
      </c>
      <c r="D4127" s="2" t="str">
        <f t="shared" si="63"/>
        <v>Error?</v>
      </c>
    </row>
    <row r="4128" spans="1:4" x14ac:dyDescent="0.2">
      <c r="A4128" s="5">
        <v>4067</v>
      </c>
      <c r="B4128" s="138">
        <f>'Acct Summary 7-8'!I10</f>
        <v>34148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62541</v>
      </c>
      <c r="C4130" s="2" t="s">
        <v>594</v>
      </c>
      <c r="D4130" s="2" t="str">
        <f t="shared" si="63"/>
        <v>Error?</v>
      </c>
    </row>
    <row r="4131" spans="1:4" x14ac:dyDescent="0.2">
      <c r="A4131" s="5">
        <v>4070</v>
      </c>
      <c r="B4131" s="138">
        <f>'Acct Summary 7-8'!C18</f>
        <v>24518362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81462435</v>
      </c>
      <c r="C4136" s="2" t="s">
        <v>594</v>
      </c>
      <c r="D4136" s="2" t="str">
        <f t="shared" si="63"/>
        <v>Error?</v>
      </c>
    </row>
    <row r="4137" spans="1:4" x14ac:dyDescent="0.2">
      <c r="A4137" s="5">
        <v>4076</v>
      </c>
      <c r="B4137" s="138">
        <f>'Acct Summary 7-8'!D19</f>
        <v>4933298</v>
      </c>
      <c r="C4137" s="2" t="s">
        <v>594</v>
      </c>
      <c r="D4137" s="2" t="str">
        <f t="shared" si="63"/>
        <v>Error?</v>
      </c>
    </row>
    <row r="4138" spans="1:4" x14ac:dyDescent="0.2">
      <c r="A4138" s="5">
        <v>4077</v>
      </c>
      <c r="B4138" s="138">
        <f>'Acct Summary 7-8'!E19</f>
        <v>3535192</v>
      </c>
      <c r="C4138" s="2" t="s">
        <v>594</v>
      </c>
      <c r="D4138" s="2" t="str">
        <f t="shared" si="63"/>
        <v>Error?</v>
      </c>
    </row>
    <row r="4139" spans="1:4" x14ac:dyDescent="0.2">
      <c r="A4139" s="5">
        <v>4078</v>
      </c>
      <c r="B4139" s="138">
        <f>'Acct Summary 7-8'!F19</f>
        <v>3895892</v>
      </c>
      <c r="C4139" s="2" t="s">
        <v>594</v>
      </c>
      <c r="D4139" s="2" t="str">
        <f t="shared" si="63"/>
        <v>Error?</v>
      </c>
    </row>
    <row r="4140" spans="1:4" x14ac:dyDescent="0.2">
      <c r="A4140" s="5">
        <v>4079</v>
      </c>
      <c r="B4140" s="138">
        <f>'Acct Summary 7-8'!G19</f>
        <v>1907514</v>
      </c>
      <c r="C4140" s="2" t="s">
        <v>594</v>
      </c>
      <c r="D4140" s="2" t="str">
        <f t="shared" si="63"/>
        <v>Error?</v>
      </c>
    </row>
    <row r="4141" spans="1:4" x14ac:dyDescent="0.2">
      <c r="A4141" s="5">
        <v>4080</v>
      </c>
      <c r="B4141" s="138">
        <f>'Acct Summary 7-8'!H19</f>
        <v>692665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4268195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16140000</v>
      </c>
      <c r="C4171" s="2" t="s">
        <v>594</v>
      </c>
      <c r="D4171" s="2" t="str">
        <f t="shared" si="64"/>
        <v>Error?</v>
      </c>
    </row>
    <row r="4172" spans="1:4" x14ac:dyDescent="0.2">
      <c r="A4172" s="5">
        <v>4111</v>
      </c>
      <c r="B4172" s="138">
        <f>'Short-Term Long-Term Debt 24'!J49</f>
        <v>14199334</v>
      </c>
      <c r="C4172" s="2" t="s">
        <v>594</v>
      </c>
      <c r="D4172" s="2" t="str">
        <f t="shared" si="64"/>
        <v>Error?</v>
      </c>
    </row>
    <row r="4173" spans="1:4" x14ac:dyDescent="0.2">
      <c r="A4173" s="5">
        <v>4112</v>
      </c>
      <c r="B4173" s="138">
        <f>'Short-Term Long-Term Debt 24'!H49</f>
        <v>2905000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2052.6</v>
      </c>
      <c r="C4265" s="2" t="s">
        <v>594</v>
      </c>
      <c r="D4265" s="2" t="str">
        <f t="shared" si="65"/>
        <v>Error?</v>
      </c>
      <c r="E4265" s="128"/>
    </row>
    <row r="4266" spans="1:5" x14ac:dyDescent="0.2">
      <c r="A4266" s="12">
        <v>4205</v>
      </c>
      <c r="B4266" s="138">
        <f>('FP Info 3'!F10)*100000</f>
        <v>225.1</v>
      </c>
      <c r="C4266" s="2" t="s">
        <v>594</v>
      </c>
      <c r="D4266" s="2" t="str">
        <f t="shared" si="65"/>
        <v>Error?</v>
      </c>
      <c r="E4266" s="128"/>
    </row>
    <row r="4267" spans="1:5" x14ac:dyDescent="0.2">
      <c r="A4267" s="12">
        <v>4206</v>
      </c>
      <c r="B4267" s="138">
        <f>('FP Info 3'!H10)*100000</f>
        <v>147.29999999999998</v>
      </c>
      <c r="C4267" s="2" t="s">
        <v>594</v>
      </c>
      <c r="D4267" s="2" t="str">
        <f t="shared" si="65"/>
        <v>Error?</v>
      </c>
      <c r="E4267" s="128"/>
    </row>
    <row r="4268" spans="1:5" x14ac:dyDescent="0.2">
      <c r="A4268" s="12">
        <v>4207</v>
      </c>
      <c r="B4268" s="138">
        <f>('FP Info 3'!J10)*100000</f>
        <v>2425</v>
      </c>
      <c r="C4268" s="2" t="s">
        <v>594</v>
      </c>
      <c r="D4268" s="2" t="str">
        <f t="shared" si="65"/>
        <v>Error?</v>
      </c>
    </row>
    <row r="4269" spans="1:5" x14ac:dyDescent="0.2">
      <c r="A4269" s="12">
        <v>4208</v>
      </c>
      <c r="B4269" s="138">
        <f>'FP Info 3'!J16</f>
        <v>48622757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80347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202249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110013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42506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3065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1955026651</v>
      </c>
      <c r="D4995" s="2" t="str">
        <f t="shared" si="77"/>
        <v>Error?</v>
      </c>
    </row>
    <row r="4996" spans="1:4" x14ac:dyDescent="0.2">
      <c r="A4996" s="12">
        <v>4935</v>
      </c>
      <c r="B4996" s="138">
        <f>'FP Info 3'!H31</f>
        <v>134896838.919</v>
      </c>
      <c r="D4996" s="2" t="str">
        <f t="shared" si="77"/>
        <v>Error?</v>
      </c>
    </row>
    <row r="4997" spans="1:4" x14ac:dyDescent="0.2">
      <c r="A4997" s="12">
        <v>4936</v>
      </c>
      <c r="B4997" s="138">
        <f>'FP Info 3'!H37</f>
        <v>16140000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38594843</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38594843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521965</v>
      </c>
      <c r="D5069" s="2" t="str">
        <f t="shared" si="78"/>
        <v>Error?</v>
      </c>
    </row>
    <row r="5070" spans="1:4" x14ac:dyDescent="0.2">
      <c r="A5070" s="5">
        <v>5009</v>
      </c>
      <c r="B5070" s="138">
        <f>'Revenues 9-14'!C17</f>
        <v>7362645</v>
      </c>
      <c r="D5070" s="2" t="str">
        <f t="shared" si="78"/>
        <v>Error?</v>
      </c>
    </row>
    <row r="5071" spans="1:4" x14ac:dyDescent="0.2">
      <c r="A5071" s="5">
        <v>5010</v>
      </c>
      <c r="B5071" s="138">
        <f>'Revenues 9-14'!C18</f>
        <v>7884610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23275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23275</v>
      </c>
      <c r="C5087" s="2" t="s">
        <v>594</v>
      </c>
      <c r="D5087" s="2" t="str">
        <f t="shared" si="78"/>
        <v>Error?</v>
      </c>
    </row>
    <row r="5088" spans="1:4" x14ac:dyDescent="0.2">
      <c r="A5088" s="5">
        <v>5027</v>
      </c>
      <c r="B5088" s="138">
        <f>'Revenues 9-14'!C65</f>
        <v>636873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636873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16373</v>
      </c>
      <c r="D5094" s="2" t="str">
        <f t="shared" si="78"/>
        <v>Error?</v>
      </c>
    </row>
    <row r="5095" spans="1:4" x14ac:dyDescent="0.2">
      <c r="A5095" s="5">
        <v>5034</v>
      </c>
      <c r="B5095" s="138">
        <f>'Revenues 9-14'!C74</f>
        <v>6949</v>
      </c>
      <c r="D5095" s="2" t="str">
        <f t="shared" si="78"/>
        <v>Error?</v>
      </c>
    </row>
    <row r="5096" spans="1:4" x14ac:dyDescent="0.2">
      <c r="A5096" s="5">
        <v>5035</v>
      </c>
      <c r="B5096" s="138">
        <f>'Revenues 9-14'!C75</f>
        <v>893795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160389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160389</v>
      </c>
      <c r="C5102" s="2" t="s">
        <v>594</v>
      </c>
      <c r="D5102" s="2" t="str">
        <f t="shared" si="78"/>
        <v>Error?</v>
      </c>
    </row>
    <row r="5103" spans="1:4" x14ac:dyDescent="0.2">
      <c r="A5103" s="5">
        <v>5042</v>
      </c>
      <c r="B5103" s="138">
        <f>'Revenues 9-14'!C84</f>
        <v>402303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408943</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811246</v>
      </c>
      <c r="C5112" s="2" t="s">
        <v>594</v>
      </c>
      <c r="D5112" s="2" t="str">
        <f t="shared" si="78"/>
        <v>Error?</v>
      </c>
    </row>
    <row r="5113" spans="1:4" x14ac:dyDescent="0.2">
      <c r="A5113" s="5">
        <v>5052</v>
      </c>
      <c r="B5113" s="138">
        <f>'Revenues 9-14'!C95</f>
        <v>539</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36517</v>
      </c>
      <c r="D5118" s="2" t="str">
        <f t="shared" si="78"/>
        <v>Error?</v>
      </c>
    </row>
    <row r="5119" spans="1:4" x14ac:dyDescent="0.2">
      <c r="A5119" s="5">
        <v>5058</v>
      </c>
      <c r="B5119" s="138">
        <f>'Revenues 9-14'!C107</f>
        <v>210594</v>
      </c>
      <c r="D5119" s="2" t="str">
        <f t="shared" ref="D5119:D5182" si="79">IF(ISBLANK(B5119),"OK",IF(A5119-B5119=0,"OK","Error?"))</f>
        <v>Error?</v>
      </c>
    </row>
    <row r="5120" spans="1:4" x14ac:dyDescent="0.2">
      <c r="A5120" s="5">
        <v>5059</v>
      </c>
      <c r="B5120" s="138">
        <f>'Revenues 9-14'!C108</f>
        <v>247650</v>
      </c>
      <c r="C5120" s="2" t="s">
        <v>594</v>
      </c>
      <c r="D5120" s="2" t="str">
        <f t="shared" si="79"/>
        <v>Error?</v>
      </c>
    </row>
    <row r="5121" spans="1:4" x14ac:dyDescent="0.2">
      <c r="A5121" s="5">
        <v>5060</v>
      </c>
      <c r="B5121" s="138">
        <f>'Revenues 9-14'!C109</f>
        <v>49252681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4149851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4149851</v>
      </c>
      <c r="C5132" s="2" t="s">
        <v>594</v>
      </c>
      <c r="D5132" s="2" t="str">
        <f t="shared" si="79"/>
        <v>Error?</v>
      </c>
    </row>
    <row r="5133" spans="1:4" x14ac:dyDescent="0.2">
      <c r="A5133" s="5">
        <v>5072</v>
      </c>
      <c r="B5133" s="138">
        <f>'Revenues 9-14'!C124</f>
        <v>369826</v>
      </c>
      <c r="D5133" s="2" t="str">
        <f t="shared" si="79"/>
        <v>Error?</v>
      </c>
    </row>
    <row r="5134" spans="1:4" x14ac:dyDescent="0.2">
      <c r="A5134" s="5">
        <v>5073</v>
      </c>
      <c r="B5134" s="138">
        <f>'Revenues 9-14'!C125</f>
        <v>298244</v>
      </c>
      <c r="D5134" s="2" t="str">
        <f t="shared" si="79"/>
        <v>Error?</v>
      </c>
    </row>
    <row r="5135" spans="1:4" x14ac:dyDescent="0.2">
      <c r="A5135" s="5">
        <v>5074</v>
      </c>
      <c r="B5135" s="138">
        <f>'Revenues 9-14'!C126</f>
        <v>538597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4075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1210742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183264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183264</v>
      </c>
      <c r="C5165" s="2" t="s">
        <v>594</v>
      </c>
      <c r="D5165" s="2" t="str">
        <f t="shared" si="79"/>
        <v>Error?</v>
      </c>
    </row>
    <row r="5166" spans="1:4" x14ac:dyDescent="0.2">
      <c r="A5166" s="10">
        <v>5105</v>
      </c>
      <c r="D5166" s="2" t="str">
        <f t="shared" si="79"/>
        <v>OK</v>
      </c>
    </row>
    <row r="5167" spans="1:4" x14ac:dyDescent="0.2">
      <c r="A5167" s="5">
        <v>5106</v>
      </c>
      <c r="B5167" s="138">
        <f>'Revenues 9-14'!C145</f>
        <v>7150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1404221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5554072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481098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76414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557512</v>
      </c>
      <c r="C5246" s="2" t="s">
        <v>594</v>
      </c>
      <c r="D5246" s="2" t="str">
        <f t="shared" si="80"/>
        <v>Error?</v>
      </c>
    </row>
    <row r="5247" spans="1:4" x14ac:dyDescent="0.2">
      <c r="A5247" s="5">
        <v>5186</v>
      </c>
      <c r="B5247" s="138">
        <f>'Revenues 9-14'!C203</f>
        <v>953053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953053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43005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867454</v>
      </c>
      <c r="D5278" s="2" t="str">
        <f t="shared" si="81"/>
        <v>Error?</v>
      </c>
    </row>
    <row r="5279" spans="1:4" x14ac:dyDescent="0.2">
      <c r="A5279" s="5">
        <v>5218</v>
      </c>
      <c r="B5279" s="138">
        <f>'Revenues 9-14'!C221</f>
        <v>557956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1468415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3414095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3414095</v>
      </c>
      <c r="C5326" s="2" t="s">
        <v>594</v>
      </c>
      <c r="D5326" s="2" t="str">
        <f t="shared" si="82"/>
        <v>Error?</v>
      </c>
    </row>
    <row r="5327" spans="1:4" x14ac:dyDescent="0.2">
      <c r="A5327" s="5">
        <v>5266</v>
      </c>
      <c r="B5327" s="138">
        <f>'Revenues 9-14'!C275</f>
        <v>58220848</v>
      </c>
      <c r="C5327" s="2" t="s">
        <v>594</v>
      </c>
      <c r="D5327" s="2" t="str">
        <f t="shared" si="82"/>
        <v>Error?</v>
      </c>
    </row>
    <row r="5328" spans="1:4" x14ac:dyDescent="0.2">
      <c r="A5328" s="5">
        <v>5267</v>
      </c>
      <c r="B5328" s="138">
        <f>'Revenues 9-14'!D5</f>
        <v>4341665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4341665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41799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41799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73116</v>
      </c>
      <c r="D5349" s="2" t="str">
        <f t="shared" si="82"/>
        <v>Error?</v>
      </c>
    </row>
    <row r="5350" spans="1:4" x14ac:dyDescent="0.2">
      <c r="A5350" s="5">
        <v>5289</v>
      </c>
      <c r="B5350" s="138">
        <f>'Revenues 9-14'!D96</f>
        <v>318565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54567</v>
      </c>
      <c r="D5354" s="2" t="str">
        <f t="shared" si="82"/>
        <v>Error?</v>
      </c>
    </row>
    <row r="5355" spans="1:4" x14ac:dyDescent="0.2">
      <c r="A5355" s="5">
        <v>5294</v>
      </c>
      <c r="B5355" s="138">
        <f>'Revenues 9-14'!D108</f>
        <v>446248</v>
      </c>
      <c r="C5355" s="2" t="s">
        <v>594</v>
      </c>
      <c r="D5355" s="2" t="str">
        <f t="shared" si="82"/>
        <v>Error?</v>
      </c>
    </row>
    <row r="5356" spans="1:4" x14ac:dyDescent="0.2">
      <c r="A5356" s="5">
        <v>5295</v>
      </c>
      <c r="B5356" s="138">
        <f>'Revenues 9-14'!D109</f>
        <v>4829712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4829712</v>
      </c>
      <c r="C5508" s="2" t="s">
        <v>594</v>
      </c>
      <c r="D5508" s="2" t="str">
        <f t="shared" si="85"/>
        <v>Error?</v>
      </c>
    </row>
    <row r="5509" spans="1:4" x14ac:dyDescent="0.2">
      <c r="A5509" s="5">
        <v>5448</v>
      </c>
      <c r="B5509" s="138">
        <f>'Revenues 9-14'!E5</f>
        <v>3627428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3627428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26013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26013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3653441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3653441</v>
      </c>
      <c r="C5552" s="2" t="s">
        <v>594</v>
      </c>
      <c r="D5552" s="2" t="str">
        <f t="shared" si="85"/>
        <v>Error?</v>
      </c>
    </row>
    <row r="5553" spans="1:4" x14ac:dyDescent="0.2">
      <c r="A5553" s="5">
        <v>5492</v>
      </c>
      <c r="B5553" s="138">
        <f>'Revenues 9-14'!F5</f>
        <v>2585497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2585497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61832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950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62782</v>
      </c>
      <c r="C5579" s="2" t="s">
        <v>594</v>
      </c>
      <c r="D5579" s="2" t="str">
        <f t="shared" si="86"/>
        <v>Error?</v>
      </c>
    </row>
    <row r="5580" spans="1:4" x14ac:dyDescent="0.2">
      <c r="A5580" s="5">
        <v>5519</v>
      </c>
      <c r="B5580" s="138">
        <f>'Revenues 9-14'!F65</f>
        <v>25207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25207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2673486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1201648</v>
      </c>
      <c r="D5615" s="2" t="str">
        <f t="shared" si="86"/>
        <v>Error?</v>
      </c>
    </row>
    <row r="5616" spans="1:4" x14ac:dyDescent="0.2">
      <c r="A5616" s="10">
        <v>5555</v>
      </c>
      <c r="D5616" s="2" t="str">
        <f t="shared" si="86"/>
        <v>OK</v>
      </c>
    </row>
    <row r="5617" spans="1:4" x14ac:dyDescent="0.2">
      <c r="A5617" s="5">
        <v>5556</v>
      </c>
      <c r="B5617" s="138">
        <f>'Revenues 9-14'!F152</f>
        <v>823676</v>
      </c>
      <c r="D5617" s="2" t="str">
        <f t="shared" si="86"/>
        <v>Error?</v>
      </c>
    </row>
    <row r="5618" spans="1:4" x14ac:dyDescent="0.2">
      <c r="A5618" s="5">
        <v>5557</v>
      </c>
      <c r="B5618" s="138">
        <f>'Revenues 9-14'!F154</f>
        <v>2025324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2025324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2025324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4698810</v>
      </c>
      <c r="C5720" s="2" t="s">
        <v>594</v>
      </c>
      <c r="D5720" s="2" t="str">
        <f t="shared" si="88"/>
        <v>Error?</v>
      </c>
    </row>
    <row r="5721" spans="1:4" x14ac:dyDescent="0.2">
      <c r="A5721" s="5">
        <v>5660</v>
      </c>
      <c r="B5721" s="138">
        <f>'Revenues 9-14'!G5</f>
        <v>1070165</v>
      </c>
      <c r="D5721" s="2" t="str">
        <f t="shared" si="88"/>
        <v>Error?</v>
      </c>
    </row>
    <row r="5722" spans="1:4" x14ac:dyDescent="0.2">
      <c r="A5722" s="5">
        <v>5661</v>
      </c>
      <c r="B5722" s="138">
        <f>'Revenues 9-14'!G7</f>
        <v>0</v>
      </c>
      <c r="D5722" s="2" t="str">
        <f t="shared" si="88"/>
        <v>Error?</v>
      </c>
    </row>
    <row r="5723" spans="1:4" x14ac:dyDescent="0.2">
      <c r="A5723" s="5">
        <v>5662</v>
      </c>
      <c r="B5723" s="138">
        <f>'Revenues 9-14'!G8</f>
        <v>828663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1898828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67928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67928</v>
      </c>
      <c r="C5730" s="2" t="s">
        <v>594</v>
      </c>
      <c r="D5730" s="2" t="str">
        <f t="shared" si="88"/>
        <v>Error?</v>
      </c>
    </row>
    <row r="5731" spans="1:4" x14ac:dyDescent="0.2">
      <c r="A5731" s="5">
        <v>5670</v>
      </c>
      <c r="B5731" s="138">
        <f>'Revenues 9-14'!G65</f>
        <v>23303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23303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1990059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6714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6714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6714</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34148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34148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34148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62541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62541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62541</v>
      </c>
      <c r="C6023" s="2" t="s">
        <v>594</v>
      </c>
      <c r="D6023" s="2" t="str">
        <f t="shared" si="93"/>
        <v>Error?</v>
      </c>
    </row>
    <row r="6024" spans="1:5" x14ac:dyDescent="0.2">
      <c r="A6024" s="5">
        <v>5963</v>
      </c>
      <c r="B6024" s="138">
        <f>'Revenues 9-14'!G109</f>
        <v>1990059</v>
      </c>
      <c r="C6024" s="2" t="s">
        <v>594</v>
      </c>
      <c r="D6024" s="2" t="str">
        <f t="shared" si="93"/>
        <v>Error?</v>
      </c>
    </row>
    <row r="6025" spans="1:5" x14ac:dyDescent="0.2">
      <c r="A6025" s="5">
        <v>5964</v>
      </c>
      <c r="B6025" s="138">
        <f>'Revenues 9-14'!H109</f>
        <v>6714</v>
      </c>
      <c r="C6025" s="2" t="s">
        <v>594</v>
      </c>
      <c r="D6025" s="2" t="str">
        <f t="shared" si="93"/>
        <v>Error?</v>
      </c>
    </row>
    <row r="6026" spans="1:5" x14ac:dyDescent="0.2">
      <c r="A6026" s="5">
        <v>5965</v>
      </c>
      <c r="B6026" s="138">
        <f>'Revenues 9-14'!I109</f>
        <v>34148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62541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870473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113846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4480.28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535613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535613</v>
      </c>
      <c r="D6215" s="2" t="str">
        <f t="shared" si="96"/>
        <v>Error?</v>
      </c>
      <c r="E6215" s="2" t="s">
        <v>199</v>
      </c>
    </row>
    <row r="6216" spans="1:5" x14ac:dyDescent="0.2">
      <c r="A6216">
        <v>6155</v>
      </c>
      <c r="B6216" s="138">
        <f>'Assets-Liab 5-6'!J41</f>
        <v>535613</v>
      </c>
      <c r="D6216" s="2" t="str">
        <f t="shared" si="96"/>
        <v>Error?</v>
      </c>
      <c r="E6216" s="2" t="s">
        <v>199</v>
      </c>
    </row>
    <row r="6217" spans="1:5" x14ac:dyDescent="0.2">
      <c r="A6217">
        <v>6156</v>
      </c>
      <c r="B6217" s="138">
        <f>'Assets-Liab 5-6'!J4</f>
        <v>535613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535302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535302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535302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346336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346336</v>
      </c>
      <c r="D6229" s="2" t="str">
        <f t="shared" si="96"/>
        <v>Error?</v>
      </c>
      <c r="E6229" s="2" t="s">
        <v>199</v>
      </c>
    </row>
    <row r="6230" spans="1:5" x14ac:dyDescent="0.2">
      <c r="A6230">
        <v>6169</v>
      </c>
      <c r="B6230" s="138">
        <f>'Acct Summary 7-8'!J20</f>
        <v>188966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188966</v>
      </c>
      <c r="D6263" s="2" t="str">
        <f t="shared" si="96"/>
        <v>Error?</v>
      </c>
      <c r="E6263" s="2" t="s">
        <v>199</v>
      </c>
    </row>
    <row r="6264" spans="1:5" x14ac:dyDescent="0.2">
      <c r="A6264">
        <v>6203</v>
      </c>
      <c r="B6264" s="138">
        <f>'Acct Summary 7-8'!J79</f>
        <v>346647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535613</v>
      </c>
      <c r="D6266" s="2" t="str">
        <f t="shared" si="96"/>
        <v>Error?</v>
      </c>
      <c r="E6266" s="2" t="s">
        <v>199</v>
      </c>
    </row>
    <row r="6267" spans="1:5" x14ac:dyDescent="0.2">
      <c r="A6267">
        <v>6206</v>
      </c>
      <c r="B6267" s="138">
        <f>'Acct Summary 7-8'!C82</f>
        <v>1276775</v>
      </c>
      <c r="D6267" s="2" t="str">
        <f t="shared" si="96"/>
        <v>Error?</v>
      </c>
      <c r="E6267" s="2" t="s">
        <v>199</v>
      </c>
    </row>
    <row r="6268" spans="1:5" x14ac:dyDescent="0.2">
      <c r="A6268">
        <v>6207</v>
      </c>
      <c r="B6268" s="138">
        <f>'Acct Summary 7-8'!D82</f>
        <v>-103586</v>
      </c>
      <c r="D6268" s="2" t="str">
        <f t="shared" si="96"/>
        <v>Error?</v>
      </c>
      <c r="E6268" s="2" t="s">
        <v>199</v>
      </c>
    </row>
    <row r="6269" spans="1:5" x14ac:dyDescent="0.2">
      <c r="A6269">
        <v>6208</v>
      </c>
      <c r="B6269" s="138">
        <f>'Acct Summary 7-8'!E82</f>
        <v>118249</v>
      </c>
      <c r="D6269" s="2" t="str">
        <f t="shared" si="96"/>
        <v>Error?</v>
      </c>
      <c r="E6269" s="2" t="s">
        <v>199</v>
      </c>
    </row>
    <row r="6270" spans="1:5" x14ac:dyDescent="0.2">
      <c r="A6270">
        <v>6209</v>
      </c>
      <c r="B6270" s="138">
        <f>'Acct Summary 7-8'!F82</f>
        <v>802918</v>
      </c>
      <c r="D6270" s="2" t="str">
        <f t="shared" si="96"/>
        <v>Error?</v>
      </c>
      <c r="E6270" s="2" t="s">
        <v>199</v>
      </c>
    </row>
    <row r="6271" spans="1:5" x14ac:dyDescent="0.2">
      <c r="A6271">
        <v>6210</v>
      </c>
      <c r="B6271" s="138">
        <f>'Acct Summary 7-8'!G82</f>
        <v>82545</v>
      </c>
      <c r="D6271" s="2" t="str">
        <f t="shared" ref="D6271:D6334" si="97">IF(ISBLANK(B6271),"OK",IF(A6271-B6271=0,"OK","Error?"))</f>
        <v>Error?</v>
      </c>
      <c r="E6271" s="2" t="s">
        <v>199</v>
      </c>
    </row>
    <row r="6272" spans="1:5" x14ac:dyDescent="0.2">
      <c r="A6272">
        <v>6211</v>
      </c>
      <c r="B6272" s="138">
        <f>'Acct Summary 7-8'!H82</f>
        <v>-685951</v>
      </c>
      <c r="D6272" s="2" t="str">
        <f t="shared" si="97"/>
        <v>Error?</v>
      </c>
      <c r="E6272" s="2" t="s">
        <v>199</v>
      </c>
    </row>
    <row r="6273" spans="1:5" x14ac:dyDescent="0.2">
      <c r="A6273">
        <v>6212</v>
      </c>
      <c r="B6273" s="138">
        <f>'Acct Summary 7-8'!I82</f>
        <v>34148</v>
      </c>
      <c r="D6273" s="2" t="str">
        <f t="shared" si="97"/>
        <v>Error?</v>
      </c>
      <c r="E6273" s="2" t="s">
        <v>199</v>
      </c>
    </row>
    <row r="6274" spans="1:5" x14ac:dyDescent="0.2">
      <c r="A6274">
        <v>6213</v>
      </c>
      <c r="B6274" s="138">
        <f>'Acct Summary 7-8'!J82</f>
        <v>188966</v>
      </c>
      <c r="D6274" s="2" t="str">
        <f t="shared" si="97"/>
        <v>Error?</v>
      </c>
      <c r="E6274" s="2" t="s">
        <v>199</v>
      </c>
    </row>
    <row r="6275" spans="1:5" x14ac:dyDescent="0.2">
      <c r="A6275">
        <v>6214</v>
      </c>
      <c r="B6275" s="138">
        <f>'Acct Summary 7-8'!K82</f>
        <v>-4205654</v>
      </c>
      <c r="D6275" s="2" t="str">
        <f t="shared" si="97"/>
        <v>Error?</v>
      </c>
      <c r="E6275" s="2" t="s">
        <v>199</v>
      </c>
    </row>
    <row r="6276" spans="1:5" x14ac:dyDescent="0.2">
      <c r="A6276">
        <v>6215</v>
      </c>
      <c r="B6276" s="138">
        <f>'Acct Summary 7-8'!C83</f>
        <v>3.0736095267583797E-2</v>
      </c>
      <c r="D6276" s="2" t="str">
        <f t="shared" si="97"/>
        <v>Error?</v>
      </c>
      <c r="E6276" s="2" t="s">
        <v>199</v>
      </c>
    </row>
    <row r="6277" spans="1:5" x14ac:dyDescent="0.2">
      <c r="A6277">
        <v>6216</v>
      </c>
      <c r="B6277" s="138">
        <f>'Acct Summary 7-8'!D83</f>
        <v>-3.6101525913838826E-2</v>
      </c>
      <c r="D6277" s="2" t="str">
        <f t="shared" si="97"/>
        <v>Error?</v>
      </c>
      <c r="E6277" s="2" t="s">
        <v>199</v>
      </c>
    </row>
    <row r="6278" spans="1:5" x14ac:dyDescent="0.2">
      <c r="A6278">
        <v>6217</v>
      </c>
      <c r="B6278" s="138">
        <f>'Acct Summary 7-8'!E83</f>
        <v>6.093217483070245E-2</v>
      </c>
      <c r="D6278" s="2" t="str">
        <f t="shared" si="97"/>
        <v>Error?</v>
      </c>
      <c r="E6278" s="2" t="s">
        <v>199</v>
      </c>
    </row>
    <row r="6279" spans="1:5" x14ac:dyDescent="0.2">
      <c r="A6279">
        <v>6218</v>
      </c>
      <c r="B6279" s="138">
        <f>'Acct Summary 7-8'!F83</f>
        <v>0.35309675047450845</v>
      </c>
      <c r="D6279" s="2" t="str">
        <f t="shared" si="97"/>
        <v>Error?</v>
      </c>
      <c r="E6279" s="2" t="s">
        <v>199</v>
      </c>
    </row>
    <row r="6280" spans="1:5" x14ac:dyDescent="0.2">
      <c r="A6280">
        <v>6219</v>
      </c>
      <c r="B6280" s="138">
        <f>'Acct Summary 7-8'!G83</f>
        <v>5.2898812636500661E-2</v>
      </c>
      <c r="D6280" s="2" t="str">
        <f t="shared" si="97"/>
        <v>Error?</v>
      </c>
      <c r="E6280" s="2" t="s">
        <v>199</v>
      </c>
    </row>
    <row r="6281" spans="1:5" x14ac:dyDescent="0.2">
      <c r="A6281">
        <v>6220</v>
      </c>
      <c r="B6281" s="138">
        <f>'Acct Summary 7-8'!H83</f>
        <v>-1.7107332487050122</v>
      </c>
      <c r="D6281" s="2" t="str">
        <f t="shared" si="97"/>
        <v>Error?</v>
      </c>
      <c r="E6281" s="2" t="s">
        <v>199</v>
      </c>
    </row>
    <row r="6282" spans="1:5" x14ac:dyDescent="0.2">
      <c r="A6282">
        <v>6221</v>
      </c>
      <c r="B6282" s="138">
        <f>'Acct Summary 7-8'!I83</f>
        <v>1.7605637433581872E-2</v>
      </c>
      <c r="D6282" s="2" t="str">
        <f t="shared" si="97"/>
        <v>Error?</v>
      </c>
      <c r="E6282" s="2" t="s">
        <v>199</v>
      </c>
    </row>
    <row r="6283" spans="1:5" x14ac:dyDescent="0.2">
      <c r="A6283">
        <v>6222</v>
      </c>
      <c r="B6283" s="138">
        <f>'Acct Summary 7-8'!J83</f>
        <v>0.35280323666527885</v>
      </c>
      <c r="D6283" s="2" t="str">
        <f t="shared" si="97"/>
        <v>Error?</v>
      </c>
      <c r="E6283" s="2" t="s">
        <v>199</v>
      </c>
    </row>
    <row r="6284" spans="1:5" x14ac:dyDescent="0.2">
      <c r="A6284">
        <v>6223</v>
      </c>
      <c r="B6284" s="138">
        <f>'Acct Summary 7-8'!K83</f>
        <v>-4.9683445758366904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518207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518207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5823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5823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11272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11272</v>
      </c>
      <c r="D6351" s="2" t="str">
        <f t="shared" si="98"/>
        <v>Error?</v>
      </c>
      <c r="E6351" s="2" t="s">
        <v>199</v>
      </c>
    </row>
    <row r="6352" spans="1:5" x14ac:dyDescent="0.2">
      <c r="A6352">
        <v>6291</v>
      </c>
      <c r="B6352" s="138">
        <f>'Revenues 9-14'!J109</f>
        <v>535302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38229</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4040074</v>
      </c>
      <c r="D6880" s="2" t="str">
        <f t="shared" si="106"/>
        <v>Error?</v>
      </c>
    </row>
    <row r="6881" spans="1:4" x14ac:dyDescent="0.2">
      <c r="A6881">
        <v>6820</v>
      </c>
      <c r="B6881" s="138">
        <f>'Expenditures 15-22'!K22</f>
        <v>4040074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38229</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11846</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11846</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6494</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6494</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52896</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52896</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71236</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109465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8092</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8092</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8092</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346336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8092</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535302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209493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209493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136843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136843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346336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346336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346336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346336</v>
      </c>
      <c r="D7224" s="2" t="str">
        <f t="shared" si="111"/>
        <v>Error?</v>
      </c>
    </row>
    <row r="7225" spans="1:4" x14ac:dyDescent="0.2">
      <c r="A7225">
        <v>7164</v>
      </c>
      <c r="B7225" s="138">
        <f>'Expenditures 15-22'!K343</f>
        <v>188966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3213940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12582558</v>
      </c>
      <c r="D7797" s="2" t="str">
        <f t="shared" si="127"/>
        <v>Error?</v>
      </c>
      <c r="E7797" s="4" t="s">
        <v>2017</v>
      </c>
    </row>
    <row r="7798" spans="1:5" x14ac:dyDescent="0.2">
      <c r="A7798">
        <v>7737</v>
      </c>
      <c r="B7798" s="138">
        <f>'Contracts Paid in CY 29'!F141</f>
        <v>1400000</v>
      </c>
      <c r="D7798" s="2" t="str">
        <f t="shared" si="127"/>
        <v>Error?</v>
      </c>
      <c r="E7798" s="4" t="s">
        <v>2017</v>
      </c>
    </row>
    <row r="7799" spans="1:5" x14ac:dyDescent="0.2">
      <c r="A7799">
        <v>7738</v>
      </c>
      <c r="B7799" s="138">
        <f>'Contracts Paid in CY 29'!G141</f>
        <v>11182558</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Glenview CCSD 34</v>
      </c>
      <c r="B7" s="2403"/>
      <c r="C7" s="2403"/>
      <c r="D7" s="2440"/>
      <c r="E7" s="2441">
        <f>COVER!A13</f>
        <v>5016034004</v>
      </c>
      <c r="F7" s="2442"/>
      <c r="G7" s="2409" t="str">
        <f>COVER!T23</f>
        <v>066-003289</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Evoy, Kamschulte, Jacobs &amp; Co. LLP</v>
      </c>
      <c r="H9" s="2416"/>
      <c r="I9" s="2416"/>
      <c r="J9" s="2416"/>
      <c r="K9" s="2416"/>
      <c r="L9" s="2417"/>
    </row>
    <row r="10" spans="1:29" ht="13.5" customHeight="1" x14ac:dyDescent="0.2">
      <c r="A10" s="2399" t="str">
        <f>COVER!A38</f>
        <v>Dr. Dane Delli</v>
      </c>
      <c r="B10" s="2400"/>
      <c r="C10" s="2400"/>
      <c r="D10" s="2400"/>
      <c r="E10" s="2400"/>
      <c r="F10" s="2401"/>
      <c r="G10" s="2415" t="str">
        <f>COVER!T17</f>
        <v>2122 Yeoman Street</v>
      </c>
      <c r="H10" s="2428"/>
      <c r="I10" s="2428"/>
      <c r="J10" s="2428"/>
      <c r="K10" s="2428"/>
      <c r="L10" s="2429"/>
    </row>
    <row r="11" spans="1:29" ht="13.5" customHeight="1" x14ac:dyDescent="0.2">
      <c r="A11" s="1185" t="s">
        <v>1599</v>
      </c>
      <c r="B11" s="1186"/>
      <c r="C11" s="1187"/>
      <c r="D11" s="1192"/>
      <c r="E11" s="1187"/>
      <c r="F11" s="1191"/>
      <c r="G11" s="2415" t="str">
        <f>COVER!T19</f>
        <v>Waukegan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f>COVER!T25</f>
        <v>0</v>
      </c>
      <c r="J13" s="2437"/>
      <c r="K13" s="2437"/>
      <c r="L13" s="2438"/>
    </row>
    <row r="14" spans="1:29" ht="13.5" customHeight="1" x14ac:dyDescent="0.2">
      <c r="A14" s="2415" t="str">
        <f>COVER!A19</f>
        <v>1401 Greenwood Avenue</v>
      </c>
      <c r="B14" s="2428"/>
      <c r="C14" s="2428"/>
      <c r="D14" s="2428"/>
      <c r="E14" s="2428"/>
      <c r="F14" s="2429"/>
      <c r="G14" s="1196" t="s">
        <v>1247</v>
      </c>
      <c r="H14" s="1194"/>
      <c r="I14" s="1194"/>
      <c r="J14" s="1194"/>
      <c r="K14" s="1194"/>
      <c r="L14" s="1195"/>
    </row>
    <row r="15" spans="1:29" ht="13.5" customHeight="1" x14ac:dyDescent="0.2">
      <c r="A15" s="2415" t="str">
        <f>COVER!A21</f>
        <v>Glenview</v>
      </c>
      <c r="B15" s="2428"/>
      <c r="C15" s="2428"/>
      <c r="D15" s="2428"/>
      <c r="E15" s="2428"/>
      <c r="F15" s="2429"/>
      <c r="G15" s="2425" t="str">
        <f>COVER!T15</f>
        <v>John D. Aceto, Jr., CPA</v>
      </c>
      <c r="H15" s="2426"/>
      <c r="I15" s="2426"/>
      <c r="J15" s="2426"/>
      <c r="K15" s="2426"/>
      <c r="L15" s="2427"/>
    </row>
    <row r="16" spans="1:29" ht="12.2" customHeight="1" x14ac:dyDescent="0.2">
      <c r="A16" s="2405">
        <f>COVER!A25</f>
        <v>60025</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847-662-8300</v>
      </c>
      <c r="H18" s="2403"/>
      <c r="I18" s="2403"/>
      <c r="J18" s="2403"/>
      <c r="K18" s="2402" t="str">
        <f>COVER!X21</f>
        <v>847-662-8305</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Glenview CCSD 34</v>
      </c>
      <c r="B1" s="2439"/>
      <c r="C1" s="2439"/>
      <c r="D1" s="2439"/>
    </row>
    <row r="2" spans="1:11" s="1215" customFormat="1" ht="12.75" x14ac:dyDescent="0.2">
      <c r="A2" s="2444">
        <f>'Single Audit Cover'!E7</f>
        <v>5016034004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Glenview CCSD 34</v>
      </c>
      <c r="B1" s="2447"/>
      <c r="C1" s="2447"/>
      <c r="D1" s="2447"/>
      <c r="E1" s="2447"/>
    </row>
    <row r="2" spans="1:5" x14ac:dyDescent="0.2">
      <c r="A2" s="2448">
        <f>'Single Audit Cover'!E7</f>
        <v>5016034004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3414095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113846</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-202249</v>
      </c>
    </row>
    <row r="19" spans="1:4" ht="13.5" thickBot="1" x14ac:dyDescent="0.25">
      <c r="A19" s="1265" t="s">
        <v>1297</v>
      </c>
      <c r="D19" s="1266">
        <f>SUM(D10:D17)</f>
        <v>3325692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3325692</v>
      </c>
    </row>
    <row r="33" spans="1:4" x14ac:dyDescent="0.2">
      <c r="D33" s="1269"/>
    </row>
    <row r="34" spans="1:4" x14ac:dyDescent="0.2">
      <c r="A34" s="317" t="s">
        <v>1294</v>
      </c>
    </row>
    <row r="35" spans="1:4" x14ac:dyDescent="0.2">
      <c r="A35" s="317" t="s">
        <v>1293</v>
      </c>
      <c r="B35" s="1258" t="s">
        <v>1292</v>
      </c>
      <c r="D35" s="1270">
        <v>3325692</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3325692</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130" zoomScaleNormal="130" workbookViewId="0">
      <selection activeCell="G26" sqref="G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Glenview CCSD 34</v>
      </c>
      <c r="C1" s="2451"/>
      <c r="D1" s="2451"/>
      <c r="E1" s="2451"/>
      <c r="F1" s="2451"/>
      <c r="G1" s="2451"/>
      <c r="H1" s="2451"/>
      <c r="I1" s="2451"/>
      <c r="J1" s="2451"/>
      <c r="K1" s="2451"/>
      <c r="L1" s="2451"/>
      <c r="M1" s="2451"/>
    </row>
    <row r="2" spans="2:14" ht="15" x14ac:dyDescent="0.2">
      <c r="B2" s="2452">
        <f>'Single Audit Cover'!E7</f>
        <v>5016034004</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2108</v>
      </c>
      <c r="C11" s="1338"/>
      <c r="D11" s="1339"/>
      <c r="E11" s="1340"/>
      <c r="F11" s="1340"/>
      <c r="G11" s="1340"/>
      <c r="H11" s="1340"/>
      <c r="I11" s="1340"/>
      <c r="J11" s="1340"/>
      <c r="K11" s="1340"/>
      <c r="L11" s="1340">
        <f>+G11+I11+K11</f>
        <v>0</v>
      </c>
      <c r="M11" s="1340"/>
    </row>
    <row r="12" spans="2:14" ht="20.100000000000001" customHeight="1" x14ac:dyDescent="0.2">
      <c r="B12" s="1337" t="s">
        <v>2109</v>
      </c>
      <c r="C12" s="1341"/>
      <c r="D12" s="1342"/>
      <c r="E12" s="1343"/>
      <c r="F12" s="1343"/>
      <c r="G12" s="1343"/>
      <c r="H12" s="1343"/>
      <c r="I12" s="1343"/>
      <c r="J12" s="1343"/>
      <c r="K12" s="1343"/>
      <c r="L12" s="1340">
        <f t="shared" ref="L12:L27" si="0">+G12+I12+K12</f>
        <v>0</v>
      </c>
      <c r="M12" s="1343"/>
    </row>
    <row r="13" spans="2:14" ht="20.100000000000001" customHeight="1" x14ac:dyDescent="0.2">
      <c r="B13" s="1337" t="s">
        <v>2110</v>
      </c>
      <c r="C13" s="1341">
        <v>10.555</v>
      </c>
      <c r="D13" s="1342" t="s">
        <v>2115</v>
      </c>
      <c r="E13" s="1343">
        <v>400435</v>
      </c>
      <c r="F13" s="1343">
        <v>84614</v>
      </c>
      <c r="G13" s="1343">
        <v>400435</v>
      </c>
      <c r="H13" s="1343"/>
      <c r="I13" s="1343">
        <v>84614</v>
      </c>
      <c r="J13" s="1343"/>
      <c r="K13" s="1343"/>
      <c r="L13" s="1340">
        <f t="shared" si="0"/>
        <v>485049</v>
      </c>
      <c r="M13" s="1343" t="s">
        <v>2119</v>
      </c>
    </row>
    <row r="14" spans="2:14" ht="20.100000000000001" customHeight="1" x14ac:dyDescent="0.2">
      <c r="B14" s="1337" t="s">
        <v>2110</v>
      </c>
      <c r="C14" s="1341">
        <v>10.555</v>
      </c>
      <c r="D14" s="1342" t="s">
        <v>2116</v>
      </c>
      <c r="E14" s="1343"/>
      <c r="F14" s="1343">
        <v>396484</v>
      </c>
      <c r="G14" s="1343"/>
      <c r="H14" s="1343"/>
      <c r="I14" s="1343">
        <v>396484</v>
      </c>
      <c r="J14" s="1343"/>
      <c r="K14" s="1343"/>
      <c r="L14" s="1340">
        <f t="shared" si="0"/>
        <v>396484</v>
      </c>
      <c r="M14" s="1343" t="s">
        <v>2119</v>
      </c>
    </row>
    <row r="15" spans="2:14" ht="20.100000000000001" customHeight="1" x14ac:dyDescent="0.2">
      <c r="B15" s="1337" t="s">
        <v>2111</v>
      </c>
      <c r="C15" s="1341">
        <v>10.553000000000001</v>
      </c>
      <c r="D15" s="1342" t="s">
        <v>2117</v>
      </c>
      <c r="E15" s="1343">
        <v>54827</v>
      </c>
      <c r="F15" s="1343">
        <v>16363</v>
      </c>
      <c r="G15" s="1343">
        <v>54827</v>
      </c>
      <c r="H15" s="1343"/>
      <c r="I15" s="1343">
        <v>16363</v>
      </c>
      <c r="J15" s="1343"/>
      <c r="K15" s="1343"/>
      <c r="L15" s="1340">
        <f t="shared" si="0"/>
        <v>71190</v>
      </c>
      <c r="M15" s="1343" t="s">
        <v>2119</v>
      </c>
    </row>
    <row r="16" spans="2:14" ht="20.100000000000001" customHeight="1" x14ac:dyDescent="0.2">
      <c r="B16" s="1337" t="s">
        <v>2111</v>
      </c>
      <c r="C16" s="1341">
        <v>10.553000000000001</v>
      </c>
      <c r="D16" s="1342" t="s">
        <v>2118</v>
      </c>
      <c r="E16" s="1343"/>
      <c r="F16" s="1343">
        <v>60051</v>
      </c>
      <c r="G16" s="1343"/>
      <c r="H16" s="1343"/>
      <c r="I16" s="1343">
        <v>60051</v>
      </c>
      <c r="J16" s="1343"/>
      <c r="K16" s="1343"/>
      <c r="L16" s="1340">
        <f t="shared" si="0"/>
        <v>60051</v>
      </c>
      <c r="M16" s="1343" t="s">
        <v>2119</v>
      </c>
    </row>
    <row r="17" spans="2:14" ht="20.100000000000001" customHeight="1" x14ac:dyDescent="0.2">
      <c r="B17" s="1337" t="s">
        <v>2112</v>
      </c>
      <c r="C17" s="1341">
        <v>10.555</v>
      </c>
      <c r="D17" s="1342" t="s">
        <v>2116</v>
      </c>
      <c r="E17" s="1343"/>
      <c r="F17" s="1343">
        <v>43033</v>
      </c>
      <c r="G17" s="1343"/>
      <c r="H17" s="1343"/>
      <c r="I17" s="1343">
        <v>43033</v>
      </c>
      <c r="J17" s="1343"/>
      <c r="K17" s="1343"/>
      <c r="L17" s="1340">
        <f t="shared" si="0"/>
        <v>43033</v>
      </c>
      <c r="M17" s="1343" t="s">
        <v>2119</v>
      </c>
    </row>
    <row r="18" spans="2:14" ht="20.100000000000001" customHeight="1" x14ac:dyDescent="0.2">
      <c r="B18" s="1337" t="s">
        <v>2113</v>
      </c>
      <c r="C18" s="1341">
        <v>10.582000000000001</v>
      </c>
      <c r="D18" s="1342" t="s">
        <v>2116</v>
      </c>
      <c r="E18" s="1343"/>
      <c r="F18" s="1343">
        <v>70813</v>
      </c>
      <c r="G18" s="1343"/>
      <c r="H18" s="1343"/>
      <c r="I18" s="1343">
        <v>70813</v>
      </c>
      <c r="J18" s="1343"/>
      <c r="K18" s="1343"/>
      <c r="L18" s="1340">
        <f t="shared" si="0"/>
        <v>70813</v>
      </c>
      <c r="M18" s="1343" t="s">
        <v>2119</v>
      </c>
    </row>
    <row r="19" spans="2:14" ht="20.100000000000001" customHeight="1" x14ac:dyDescent="0.2">
      <c r="B19" s="1337" t="s">
        <v>2114</v>
      </c>
      <c r="C19" s="1341"/>
      <c r="D19" s="1342"/>
      <c r="E19" s="1343">
        <v>455262</v>
      </c>
      <c r="F19" s="1343">
        <v>671358</v>
      </c>
      <c r="G19" s="1343">
        <v>455262</v>
      </c>
      <c r="H19" s="1343"/>
      <c r="I19" s="1343">
        <v>671358</v>
      </c>
      <c r="J19" s="1343"/>
      <c r="K19" s="1343"/>
      <c r="L19" s="1340">
        <f t="shared" si="0"/>
        <v>1126620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2120</v>
      </c>
      <c r="C21" s="1341"/>
      <c r="D21" s="1342"/>
      <c r="E21" s="1343"/>
      <c r="F21" s="1343"/>
      <c r="G21" s="1343"/>
      <c r="H21" s="1343"/>
      <c r="I21" s="1343"/>
      <c r="J21" s="1343"/>
      <c r="K21" s="1343"/>
      <c r="L21" s="1340">
        <f t="shared" si="0"/>
        <v>0</v>
      </c>
      <c r="M21" s="1343"/>
    </row>
    <row r="22" spans="2:14" ht="20.100000000000001" customHeight="1" x14ac:dyDescent="0.2">
      <c r="B22" s="1337" t="s">
        <v>2121</v>
      </c>
      <c r="C22" s="1341"/>
      <c r="D22" s="1342"/>
      <c r="E22" s="1343"/>
      <c r="F22" s="1343"/>
      <c r="G22" s="1343"/>
      <c r="H22" s="1343"/>
      <c r="I22" s="1343"/>
      <c r="J22" s="1343"/>
      <c r="K22" s="1343"/>
      <c r="L22" s="1340">
        <f t="shared" si="0"/>
        <v>0</v>
      </c>
      <c r="M22" s="1343"/>
    </row>
    <row r="23" spans="2:14" ht="20.100000000000001" customHeight="1" x14ac:dyDescent="0.2">
      <c r="B23" s="1337" t="s">
        <v>2122</v>
      </c>
      <c r="C23" s="1341">
        <v>93.778000000000006</v>
      </c>
      <c r="D23" s="1342" t="s">
        <v>2124</v>
      </c>
      <c r="E23" s="1343">
        <v>50099</v>
      </c>
      <c r="F23" s="1343"/>
      <c r="G23" s="1343">
        <v>52187</v>
      </c>
      <c r="H23" s="1343"/>
      <c r="I23" s="1343"/>
      <c r="J23" s="1343"/>
      <c r="K23" s="1343"/>
      <c r="L23" s="1340">
        <f t="shared" si="0"/>
        <v>52187</v>
      </c>
      <c r="M23" s="1343" t="s">
        <v>2119</v>
      </c>
    </row>
    <row r="24" spans="2:14" ht="20.100000000000001" customHeight="1" x14ac:dyDescent="0.2">
      <c r="B24" s="1337" t="s">
        <v>2122</v>
      </c>
      <c r="C24" s="1341">
        <v>93.778000000000006</v>
      </c>
      <c r="D24" s="1342" t="s">
        <v>2125</v>
      </c>
      <c r="E24" s="1343"/>
      <c r="F24" s="1343">
        <v>80347</v>
      </c>
      <c r="G24" s="1343"/>
      <c r="H24" s="1343"/>
      <c r="I24" s="1343">
        <v>83694</v>
      </c>
      <c r="J24" s="1343"/>
      <c r="K24" s="1343"/>
      <c r="L24" s="1340">
        <f t="shared" si="0"/>
        <v>83694</v>
      </c>
      <c r="M24" s="1343" t="s">
        <v>2119</v>
      </c>
    </row>
    <row r="25" spans="2:14" ht="20.100000000000001" customHeight="1" x14ac:dyDescent="0.2">
      <c r="B25" s="1337" t="s">
        <v>2123</v>
      </c>
      <c r="C25" s="1341"/>
      <c r="D25" s="1342"/>
      <c r="E25" s="1343">
        <v>50099</v>
      </c>
      <c r="F25" s="1343">
        <v>80347</v>
      </c>
      <c r="G25" s="1343">
        <v>52187</v>
      </c>
      <c r="H25" s="1343"/>
      <c r="I25" s="1343">
        <v>83694</v>
      </c>
      <c r="J25" s="1343"/>
      <c r="K25" s="1343"/>
      <c r="L25" s="1340">
        <f t="shared" si="0"/>
        <v>135881</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Glenview CCSD 34</v>
      </c>
      <c r="C1" s="2451"/>
      <c r="D1" s="2451"/>
      <c r="E1" s="2451"/>
      <c r="F1" s="2451"/>
      <c r="G1" s="2451"/>
      <c r="H1" s="2451"/>
      <c r="I1" s="2451"/>
      <c r="J1" s="2451"/>
      <c r="K1" s="2451"/>
      <c r="L1" s="2451"/>
      <c r="M1" s="2451"/>
    </row>
    <row r="2" spans="2:14" ht="15" x14ac:dyDescent="0.2">
      <c r="B2" s="2452">
        <f>'Single Audit Cover'!E7</f>
        <v>5016034004</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2126</v>
      </c>
      <c r="C11" s="1338"/>
      <c r="D11" s="1339"/>
      <c r="E11" s="1340"/>
      <c r="F11" s="1340"/>
      <c r="G11" s="1340"/>
      <c r="H11" s="1340"/>
      <c r="I11" s="1340"/>
      <c r="J11" s="1340"/>
      <c r="K11" s="1340"/>
      <c r="L11" s="1340">
        <f>+G11+I11+K11</f>
        <v>0</v>
      </c>
      <c r="M11" s="1340"/>
    </row>
    <row r="12" spans="2:14" ht="20.100000000000001" customHeight="1" x14ac:dyDescent="0.2">
      <c r="B12" s="1337" t="s">
        <v>2127</v>
      </c>
      <c r="C12" s="1341"/>
      <c r="D12" s="1342"/>
      <c r="E12" s="1343"/>
      <c r="F12" s="1343"/>
      <c r="G12" s="1343"/>
      <c r="H12" s="1343"/>
      <c r="I12" s="1343"/>
      <c r="J12" s="1343"/>
      <c r="K12" s="1343"/>
      <c r="L12" s="1340">
        <f t="shared" ref="L12:L27" si="0">+G12+I12+K12</f>
        <v>0</v>
      </c>
      <c r="M12" s="1343"/>
    </row>
    <row r="13" spans="2:14" ht="20.100000000000001" customHeight="1" x14ac:dyDescent="0.2">
      <c r="B13" s="1337" t="s">
        <v>2128</v>
      </c>
      <c r="C13" s="1341" t="s">
        <v>2129</v>
      </c>
      <c r="D13" s="1342" t="s">
        <v>2130</v>
      </c>
      <c r="E13" s="1343"/>
      <c r="F13" s="1343">
        <v>24277</v>
      </c>
      <c r="G13" s="1343">
        <v>24277</v>
      </c>
      <c r="H13" s="1343"/>
      <c r="I13" s="1343"/>
      <c r="J13" s="1343"/>
      <c r="K13" s="1343"/>
      <c r="L13" s="1340">
        <f t="shared" si="0"/>
        <v>24277</v>
      </c>
      <c r="M13" s="1343">
        <v>58918</v>
      </c>
    </row>
    <row r="14" spans="2:14" ht="20.100000000000001" customHeight="1" x14ac:dyDescent="0.2">
      <c r="B14" s="1337" t="s">
        <v>2128</v>
      </c>
      <c r="C14" s="1341" t="s">
        <v>2129</v>
      </c>
      <c r="D14" s="1342" t="s">
        <v>2131</v>
      </c>
      <c r="E14" s="1343"/>
      <c r="F14" s="1343">
        <v>18728</v>
      </c>
      <c r="G14" s="1343"/>
      <c r="H14" s="1343"/>
      <c r="I14" s="1343">
        <v>23900</v>
      </c>
      <c r="J14" s="1343"/>
      <c r="K14" s="1343"/>
      <c r="L14" s="1340">
        <f t="shared" si="0"/>
        <v>23900</v>
      </c>
      <c r="M14" s="1343">
        <v>23900</v>
      </c>
    </row>
    <row r="15" spans="2:14" ht="20.100000000000001" customHeight="1" x14ac:dyDescent="0.2">
      <c r="B15" s="1337" t="s">
        <v>2132</v>
      </c>
      <c r="C15" s="1341" t="s">
        <v>2129</v>
      </c>
      <c r="D15" s="1342" t="s">
        <v>2133</v>
      </c>
      <c r="E15" s="1343">
        <v>792548</v>
      </c>
      <c r="F15" s="1343">
        <v>40408</v>
      </c>
      <c r="G15" s="1343">
        <v>832956</v>
      </c>
      <c r="H15" s="1343"/>
      <c r="I15" s="1343"/>
      <c r="J15" s="1343"/>
      <c r="K15" s="1343"/>
      <c r="L15" s="1340">
        <f t="shared" si="0"/>
        <v>832956</v>
      </c>
      <c r="M15" s="1343">
        <v>901570</v>
      </c>
    </row>
    <row r="16" spans="2:14" ht="20.100000000000001" customHeight="1" x14ac:dyDescent="0.2">
      <c r="B16" s="1337" t="s">
        <v>2132</v>
      </c>
      <c r="C16" s="1341" t="s">
        <v>2129</v>
      </c>
      <c r="D16" s="1342" t="s">
        <v>2134</v>
      </c>
      <c r="E16" s="1343"/>
      <c r="F16" s="1343">
        <v>827046</v>
      </c>
      <c r="G16" s="1343"/>
      <c r="H16" s="1343"/>
      <c r="I16" s="1343">
        <v>841644</v>
      </c>
      <c r="J16" s="1343"/>
      <c r="K16" s="1343"/>
      <c r="L16" s="1340">
        <f t="shared" si="0"/>
        <v>841644</v>
      </c>
      <c r="M16" s="1343"/>
    </row>
    <row r="17" spans="2:14" ht="20.100000000000001" customHeight="1" x14ac:dyDescent="0.2">
      <c r="B17" s="1337" t="s">
        <v>2135</v>
      </c>
      <c r="C17" s="1341"/>
      <c r="D17" s="1342"/>
      <c r="E17" s="1343">
        <v>792548</v>
      </c>
      <c r="F17" s="1343">
        <v>910459</v>
      </c>
      <c r="G17" s="1343">
        <v>857233</v>
      </c>
      <c r="H17" s="1343"/>
      <c r="I17" s="1343">
        <v>865544</v>
      </c>
      <c r="J17" s="1343"/>
      <c r="K17" s="1343"/>
      <c r="L17" s="1340">
        <f t="shared" si="0"/>
        <v>1722777</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2136</v>
      </c>
      <c r="C19" s="1341"/>
      <c r="D19" s="1342"/>
      <c r="E19" s="1343"/>
      <c r="F19" s="1343"/>
      <c r="G19" s="1343"/>
      <c r="H19" s="1343"/>
      <c r="I19" s="1343"/>
      <c r="J19" s="1343"/>
      <c r="K19" s="1343"/>
      <c r="L19" s="1340">
        <f t="shared" si="0"/>
        <v>0</v>
      </c>
      <c r="M19" s="1343"/>
    </row>
    <row r="20" spans="2:14" ht="20.100000000000001" customHeight="1" x14ac:dyDescent="0.2">
      <c r="B20" s="1337" t="s">
        <v>2137</v>
      </c>
      <c r="C20" s="1341" t="s">
        <v>2129</v>
      </c>
      <c r="D20" s="1342" t="s">
        <v>2138</v>
      </c>
      <c r="E20" s="1343"/>
      <c r="F20" s="1343">
        <v>43461</v>
      </c>
      <c r="G20" s="1343"/>
      <c r="H20" s="1343"/>
      <c r="I20" s="1343">
        <v>43461</v>
      </c>
      <c r="J20" s="1343"/>
      <c r="K20" s="1343"/>
      <c r="L20" s="1340">
        <f t="shared" si="0"/>
        <v>43461</v>
      </c>
      <c r="M20" s="1343" t="s">
        <v>2119</v>
      </c>
    </row>
    <row r="21" spans="2:14" ht="20.100000000000001" customHeight="1" x14ac:dyDescent="0.2">
      <c r="B21" s="1337" t="s">
        <v>2139</v>
      </c>
      <c r="C21" s="1341" t="s">
        <v>2129</v>
      </c>
      <c r="D21" s="1342" t="s">
        <v>2138</v>
      </c>
      <c r="E21" s="1343">
        <v>305768</v>
      </c>
      <c r="F21" s="1343">
        <v>171930</v>
      </c>
      <c r="G21" s="1343">
        <v>339960</v>
      </c>
      <c r="H21" s="1343"/>
      <c r="I21" s="1343">
        <v>137737</v>
      </c>
      <c r="J21" s="1343"/>
      <c r="K21" s="1343"/>
      <c r="L21" s="1340">
        <f t="shared" si="0"/>
        <v>477697</v>
      </c>
      <c r="M21" s="1343" t="s">
        <v>2119</v>
      </c>
    </row>
    <row r="22" spans="2:14" ht="20.100000000000001" customHeight="1" x14ac:dyDescent="0.2">
      <c r="B22" s="1337" t="s">
        <v>2139</v>
      </c>
      <c r="C22" s="1341" t="s">
        <v>2129</v>
      </c>
      <c r="D22" s="1342" t="s">
        <v>2140</v>
      </c>
      <c r="E22" s="1343"/>
      <c r="F22" s="1343">
        <v>342565</v>
      </c>
      <c r="G22" s="1343"/>
      <c r="H22" s="1343"/>
      <c r="I22" s="1343">
        <v>437141</v>
      </c>
      <c r="J22" s="1343"/>
      <c r="K22" s="1343"/>
      <c r="L22" s="1340">
        <f t="shared" si="0"/>
        <v>437141</v>
      </c>
      <c r="M22" s="1343" t="s">
        <v>2119</v>
      </c>
    </row>
    <row r="23" spans="2:14" ht="20.100000000000001" customHeight="1" x14ac:dyDescent="0.2">
      <c r="B23" s="1337" t="s">
        <v>2141</v>
      </c>
      <c r="C23" s="1341"/>
      <c r="D23" s="1342"/>
      <c r="E23" s="1343">
        <v>305768</v>
      </c>
      <c r="F23" s="1343">
        <v>557956</v>
      </c>
      <c r="G23" s="1343">
        <v>339960</v>
      </c>
      <c r="H23" s="1343"/>
      <c r="I23" s="1343">
        <v>618339</v>
      </c>
      <c r="J23" s="1343"/>
      <c r="K23" s="1343"/>
      <c r="L23" s="1340">
        <f t="shared" si="0"/>
        <v>958299</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2142</v>
      </c>
      <c r="C25" s="1341"/>
      <c r="D25" s="1342"/>
      <c r="E25" s="1343">
        <v>1098316</v>
      </c>
      <c r="F25" s="1343">
        <v>1468415</v>
      </c>
      <c r="G25" s="1343">
        <v>1197193</v>
      </c>
      <c r="H25" s="1343"/>
      <c r="I25" s="1343">
        <v>1483883</v>
      </c>
      <c r="J25" s="1343"/>
      <c r="K25" s="1343"/>
      <c r="L25" s="1340">
        <f t="shared" si="0"/>
        <v>2681076</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34700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2080</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1" sqref="I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Glenview CCSD 34</v>
      </c>
      <c r="C1" s="2451"/>
      <c r="D1" s="2451"/>
      <c r="E1" s="2451"/>
      <c r="F1" s="2451"/>
      <c r="G1" s="2451"/>
      <c r="H1" s="2451"/>
      <c r="I1" s="2451"/>
      <c r="J1" s="2451"/>
      <c r="K1" s="2451"/>
      <c r="L1" s="2451"/>
      <c r="M1" s="2451"/>
    </row>
    <row r="2" spans="2:14" ht="15" x14ac:dyDescent="0.2">
      <c r="B2" s="2452">
        <f>'Single Audit Cover'!E7</f>
        <v>5016034004</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2143</v>
      </c>
      <c r="C11" s="1338"/>
      <c r="D11" s="1339"/>
      <c r="E11" s="1340"/>
      <c r="F11" s="1340"/>
      <c r="G11" s="1340"/>
      <c r="H11" s="1340"/>
      <c r="I11" s="1340"/>
      <c r="J11" s="1340"/>
      <c r="K11" s="1340"/>
      <c r="L11" s="1340">
        <f>+G11+I11+K11</f>
        <v>0</v>
      </c>
      <c r="M11" s="1340"/>
    </row>
    <row r="12" spans="2:14" ht="20.100000000000001" customHeight="1" x14ac:dyDescent="0.2">
      <c r="B12" s="1337" t="s">
        <v>2144</v>
      </c>
      <c r="C12" s="1341"/>
      <c r="D12" s="1342"/>
      <c r="E12" s="1343"/>
      <c r="F12" s="1343"/>
      <c r="G12" s="1343"/>
      <c r="H12" s="1343"/>
      <c r="I12" s="1343"/>
      <c r="J12" s="1343"/>
      <c r="K12" s="1343"/>
      <c r="L12" s="1340">
        <f t="shared" ref="L12:L27" si="0">+G12+I12+K12</f>
        <v>0</v>
      </c>
      <c r="M12" s="1343"/>
    </row>
    <row r="13" spans="2:14" ht="20.100000000000001" customHeight="1" x14ac:dyDescent="0.2">
      <c r="B13" s="1337" t="s">
        <v>2145</v>
      </c>
      <c r="C13" s="1341" t="s">
        <v>2146</v>
      </c>
      <c r="D13" s="1342" t="s">
        <v>2147</v>
      </c>
      <c r="E13" s="1343"/>
      <c r="F13" s="1343">
        <v>608383</v>
      </c>
      <c r="G13" s="1343">
        <v>365347</v>
      </c>
      <c r="H13" s="1343"/>
      <c r="I13" s="1343">
        <v>243036</v>
      </c>
      <c r="J13" s="1343"/>
      <c r="K13" s="1343"/>
      <c r="L13" s="1340">
        <f t="shared" si="0"/>
        <v>608383</v>
      </c>
      <c r="M13" s="1343">
        <v>641966</v>
      </c>
    </row>
    <row r="14" spans="2:14" ht="20.100000000000001" customHeight="1" x14ac:dyDescent="0.2">
      <c r="B14" s="1337" t="s">
        <v>2145</v>
      </c>
      <c r="C14" s="1341" t="s">
        <v>2146</v>
      </c>
      <c r="D14" s="1342" t="s">
        <v>2148</v>
      </c>
      <c r="E14" s="1343"/>
      <c r="F14" s="1343">
        <v>344670</v>
      </c>
      <c r="G14" s="1343"/>
      <c r="H14" s="1343"/>
      <c r="I14" s="1343">
        <v>453026</v>
      </c>
      <c r="J14" s="1343"/>
      <c r="K14" s="1343"/>
      <c r="L14" s="1340">
        <f t="shared" si="0"/>
        <v>453026</v>
      </c>
      <c r="M14" s="1343">
        <v>500605</v>
      </c>
    </row>
    <row r="15" spans="2:14" ht="20.100000000000001" customHeight="1" x14ac:dyDescent="0.2">
      <c r="B15" s="1337" t="s">
        <v>2149</v>
      </c>
      <c r="C15" s="1341" t="s">
        <v>2150</v>
      </c>
      <c r="D15" s="1342" t="s">
        <v>2151</v>
      </c>
      <c r="E15" s="1343">
        <v>53598</v>
      </c>
      <c r="F15" s="1343">
        <v>26785</v>
      </c>
      <c r="G15" s="1343">
        <v>80383</v>
      </c>
      <c r="H15" s="1343"/>
      <c r="I15" s="1343"/>
      <c r="J15" s="1343"/>
      <c r="K15" s="1343"/>
      <c r="L15" s="1340">
        <f t="shared" si="0"/>
        <v>80383</v>
      </c>
      <c r="M15" s="1343">
        <v>116123</v>
      </c>
    </row>
    <row r="16" spans="2:14" ht="20.100000000000001" customHeight="1" x14ac:dyDescent="0.2">
      <c r="B16" s="1337" t="s">
        <v>2149</v>
      </c>
      <c r="C16" s="1341" t="s">
        <v>2150</v>
      </c>
      <c r="D16" s="1342" t="s">
        <v>2152</v>
      </c>
      <c r="E16" s="1343"/>
      <c r="F16" s="1343">
        <v>83228</v>
      </c>
      <c r="G16" s="1343"/>
      <c r="H16" s="1343"/>
      <c r="I16" s="1343">
        <v>88214</v>
      </c>
      <c r="J16" s="1343"/>
      <c r="K16" s="1343"/>
      <c r="L16" s="1340">
        <f t="shared" si="0"/>
        <v>88214</v>
      </c>
      <c r="M16" s="1343">
        <v>110258</v>
      </c>
    </row>
    <row r="17" spans="2:14" ht="20.100000000000001" customHeight="1" x14ac:dyDescent="0.2">
      <c r="B17" s="1337" t="s">
        <v>2153</v>
      </c>
      <c r="C17" s="1341" t="s">
        <v>2154</v>
      </c>
      <c r="D17" s="1342" t="s">
        <v>2155</v>
      </c>
      <c r="E17" s="1343">
        <v>58012</v>
      </c>
      <c r="F17" s="1343">
        <v>29251</v>
      </c>
      <c r="G17" s="1343">
        <v>87263</v>
      </c>
      <c r="H17" s="1343"/>
      <c r="I17" s="1343"/>
      <c r="J17" s="1343"/>
      <c r="K17" s="1343"/>
      <c r="L17" s="1340">
        <f t="shared" si="0"/>
        <v>87263</v>
      </c>
      <c r="M17" s="1343">
        <v>87263</v>
      </c>
    </row>
    <row r="18" spans="2:14" ht="20.100000000000001" customHeight="1" x14ac:dyDescent="0.2">
      <c r="B18" s="1337" t="s">
        <v>2153</v>
      </c>
      <c r="C18" s="1341" t="s">
        <v>2154</v>
      </c>
      <c r="D18" s="1342" t="s">
        <v>2156</v>
      </c>
      <c r="E18" s="1343"/>
      <c r="F18" s="1343">
        <v>13255</v>
      </c>
      <c r="G18" s="1343"/>
      <c r="H18" s="1343"/>
      <c r="I18" s="1343">
        <v>29135</v>
      </c>
      <c r="J18" s="1343"/>
      <c r="K18" s="1343"/>
      <c r="L18" s="1340">
        <f t="shared" si="0"/>
        <v>29135</v>
      </c>
      <c r="M18" s="1343">
        <v>107602</v>
      </c>
    </row>
    <row r="19" spans="2:14" ht="20.100000000000001" customHeight="1" x14ac:dyDescent="0.2">
      <c r="B19" s="1337" t="s">
        <v>2157</v>
      </c>
      <c r="C19" s="1341"/>
      <c r="D19" s="1342"/>
      <c r="E19" s="1343">
        <v>111610</v>
      </c>
      <c r="F19" s="1343">
        <v>1105572</v>
      </c>
      <c r="G19" s="1343">
        <v>532993</v>
      </c>
      <c r="H19" s="1343"/>
      <c r="I19" s="1343">
        <v>813411</v>
      </c>
      <c r="J19" s="1343"/>
      <c r="K19" s="1343"/>
      <c r="L19" s="1340">
        <f t="shared" si="0"/>
        <v>1346404</v>
      </c>
      <c r="M19" s="1343"/>
    </row>
    <row r="20" spans="2:14" ht="20.100000000000001" customHeight="1" x14ac:dyDescent="0.2">
      <c r="B20" s="1337" t="s">
        <v>2171</v>
      </c>
      <c r="C20" s="1341"/>
      <c r="D20" s="1342"/>
      <c r="E20" s="1343">
        <v>1209926</v>
      </c>
      <c r="F20" s="1343">
        <v>2573987</v>
      </c>
      <c r="G20" s="1343">
        <v>1730186</v>
      </c>
      <c r="H20" s="1343"/>
      <c r="I20" s="1343">
        <v>2297294</v>
      </c>
      <c r="J20" s="1343"/>
      <c r="K20" s="1343"/>
      <c r="L20" s="1340">
        <f t="shared" si="0"/>
        <v>4027480</v>
      </c>
      <c r="M20" s="1343"/>
    </row>
    <row r="21" spans="2:14" ht="20.100000000000001" customHeight="1" x14ac:dyDescent="0.2">
      <c r="B21" s="1337" t="s">
        <v>2158</v>
      </c>
      <c r="C21" s="1341"/>
      <c r="D21" s="1342"/>
      <c r="E21" s="1343">
        <v>1715287</v>
      </c>
      <c r="F21" s="1343">
        <v>3325692</v>
      </c>
      <c r="G21" s="1343">
        <v>2237635</v>
      </c>
      <c r="H21" s="1343"/>
      <c r="I21" s="1343">
        <v>3052346</v>
      </c>
      <c r="J21" s="1343"/>
      <c r="K21" s="1343"/>
      <c r="L21" s="1340">
        <f t="shared" si="0"/>
        <v>5289981</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2159</v>
      </c>
      <c r="C24" s="1341" t="s">
        <v>2119</v>
      </c>
      <c r="D24" s="1342" t="s">
        <v>2119</v>
      </c>
      <c r="E24" s="1343">
        <v>0</v>
      </c>
      <c r="F24" s="1343">
        <v>113846</v>
      </c>
      <c r="G24" s="1343">
        <v>0</v>
      </c>
      <c r="H24" s="1343"/>
      <c r="I24" s="1343">
        <v>113846</v>
      </c>
      <c r="J24" s="1343"/>
      <c r="K24" s="1343"/>
      <c r="L24" s="1340">
        <f t="shared" si="0"/>
        <v>113846</v>
      </c>
      <c r="M24" s="1343"/>
    </row>
    <row r="25" spans="2:14" ht="20.100000000000001" customHeight="1" x14ac:dyDescent="0.2">
      <c r="B25" s="1337" t="s">
        <v>2160</v>
      </c>
      <c r="C25" s="1341" t="s">
        <v>2119</v>
      </c>
      <c r="D25" s="1342" t="s">
        <v>2119</v>
      </c>
      <c r="E25" s="1343">
        <v>0</v>
      </c>
      <c r="F25" s="1343">
        <v>0</v>
      </c>
      <c r="G25" s="1343">
        <v>0</v>
      </c>
      <c r="H25" s="1343"/>
      <c r="I25" s="1343">
        <v>0</v>
      </c>
      <c r="J25" s="1343"/>
      <c r="K25" s="1343"/>
      <c r="L25" s="1340">
        <f t="shared" si="0"/>
        <v>0</v>
      </c>
      <c r="M25" s="1343"/>
    </row>
    <row r="26" spans="2:14" ht="20.100000000000001" customHeight="1" x14ac:dyDescent="0.2">
      <c r="B26" s="1337" t="s">
        <v>2161</v>
      </c>
      <c r="C26" s="1341" t="s">
        <v>2119</v>
      </c>
      <c r="D26" s="1342" t="s">
        <v>2119</v>
      </c>
      <c r="E26" s="1343">
        <v>0</v>
      </c>
      <c r="F26" s="1343">
        <v>0</v>
      </c>
      <c r="G26" s="1343">
        <v>0</v>
      </c>
      <c r="H26" s="1343"/>
      <c r="I26" s="1343">
        <v>0</v>
      </c>
      <c r="J26" s="1343"/>
      <c r="K26" s="1343"/>
      <c r="L26" s="1340">
        <f t="shared" si="0"/>
        <v>0</v>
      </c>
      <c r="M26" s="1343"/>
    </row>
    <row r="27" spans="2:14" ht="20.100000000000001" customHeight="1" x14ac:dyDescent="0.2">
      <c r="B27" s="1337" t="s">
        <v>2170</v>
      </c>
      <c r="C27" s="1341" t="s">
        <v>2119</v>
      </c>
      <c r="D27" s="1342" t="s">
        <v>2119</v>
      </c>
      <c r="E27" s="1343">
        <v>0</v>
      </c>
      <c r="F27" s="1343">
        <v>0</v>
      </c>
      <c r="G27" s="1343">
        <v>0</v>
      </c>
      <c r="H27" s="1343"/>
      <c r="I27" s="1343">
        <v>0</v>
      </c>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29" sqref="C2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Glenview CCSD 34</v>
      </c>
      <c r="B1" s="2456"/>
      <c r="C1" s="2456"/>
      <c r="D1" s="2456"/>
      <c r="E1" s="2456"/>
      <c r="F1" s="2456"/>
    </row>
    <row r="2" spans="1:7" ht="13.5" customHeight="1" x14ac:dyDescent="0.2">
      <c r="A2" s="2452">
        <f>'Single Audit Cover'!E7</f>
        <v>5016034004</v>
      </c>
      <c r="B2" s="2452"/>
      <c r="C2" s="2452"/>
      <c r="D2" s="2452"/>
      <c r="E2" s="2452"/>
      <c r="F2" s="2452"/>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5" t="s">
        <v>2162</v>
      </c>
      <c r="B7" s="2455"/>
      <c r="C7" s="2455"/>
      <c r="D7" s="2455"/>
      <c r="E7" s="2455"/>
      <c r="F7" s="245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55" t="s">
        <v>2163</v>
      </c>
      <c r="B13" s="2455"/>
      <c r="C13" s="2455"/>
      <c r="D13" s="2455"/>
      <c r="E13" s="2455"/>
      <c r="F13" s="2455"/>
    </row>
    <row r="14" spans="1:7" ht="9.75" customHeight="1" x14ac:dyDescent="0.2">
      <c r="C14" s="1260"/>
      <c r="D14" s="1260"/>
    </row>
    <row r="15" spans="1:7" ht="13.5" customHeight="1" x14ac:dyDescent="0.2">
      <c r="C15" s="1867" t="s">
        <v>1332</v>
      </c>
      <c r="D15" s="2460" t="s">
        <v>1331</v>
      </c>
      <c r="E15" s="2460"/>
      <c r="F15" s="2460"/>
    </row>
    <row r="16" spans="1:7" ht="13.5" customHeight="1" x14ac:dyDescent="0.2">
      <c r="A16" s="1282"/>
      <c r="B16" s="1276" t="s">
        <v>1330</v>
      </c>
      <c r="C16" s="1867" t="s">
        <v>1329</v>
      </c>
      <c r="D16" s="2461" t="s">
        <v>1670</v>
      </c>
      <c r="E16" s="2461"/>
      <c r="F16" s="2461"/>
    </row>
    <row r="17" spans="1:6" ht="20.45" customHeight="1" x14ac:dyDescent="0.2">
      <c r="A17" s="1283"/>
      <c r="B17" s="1284" t="s">
        <v>2164</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63" t="s">
        <v>2165</v>
      </c>
      <c r="B32" s="2463"/>
      <c r="C32" s="2463"/>
      <c r="D32" s="2463"/>
      <c r="E32" s="2463"/>
      <c r="F32" s="2463"/>
    </row>
    <row r="33" spans="1:6" ht="13.5" customHeight="1" x14ac:dyDescent="0.2">
      <c r="A33" s="328" t="s">
        <v>1509</v>
      </c>
      <c r="B33" s="328"/>
      <c r="C33" s="1288">
        <v>43033</v>
      </c>
      <c r="D33" s="1924"/>
      <c r="E33" s="1286"/>
    </row>
    <row r="34" spans="1:6" ht="13.5" customHeight="1" x14ac:dyDescent="0.2">
      <c r="A34" s="328" t="s">
        <v>1946</v>
      </c>
      <c r="B34" s="328"/>
      <c r="C34" s="1289">
        <v>70813</v>
      </c>
      <c r="D34" s="1924" t="s">
        <v>1671</v>
      </c>
      <c r="E34" s="2464">
        <f>+C33+C34</f>
        <v>113846</v>
      </c>
      <c r="F34" s="2465"/>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t="s">
        <v>401</v>
      </c>
      <c r="D38" s="1924"/>
      <c r="E38" s="1286"/>
    </row>
    <row r="39" spans="1:6" ht="14.25" customHeight="1" x14ac:dyDescent="0.2">
      <c r="A39" s="328"/>
      <c r="B39" s="328" t="s">
        <v>1511</v>
      </c>
      <c r="C39" s="1292" t="s">
        <v>401</v>
      </c>
      <c r="D39" s="1924"/>
      <c r="E39" s="1286"/>
    </row>
    <row r="40" spans="1:6" ht="14.25" customHeight="1" x14ac:dyDescent="0.2">
      <c r="A40" s="328"/>
      <c r="B40" s="328" t="s">
        <v>1512</v>
      </c>
      <c r="C40" s="1292" t="s">
        <v>401</v>
      </c>
      <c r="D40" s="1924"/>
      <c r="E40" s="1286"/>
    </row>
    <row r="41" spans="1:6" ht="14.25" customHeight="1" x14ac:dyDescent="0.2">
      <c r="A41" s="328"/>
      <c r="B41" s="328" t="s">
        <v>1513</v>
      </c>
      <c r="C41" s="1292" t="s">
        <v>401</v>
      </c>
      <c r="D41" s="1924"/>
      <c r="E41" s="1286"/>
    </row>
    <row r="42" spans="1:6" ht="14.25" customHeight="1" x14ac:dyDescent="0.2">
      <c r="A42" s="328" t="s">
        <v>1514</v>
      </c>
      <c r="B42" s="328"/>
      <c r="C42" s="1922" t="s">
        <v>401</v>
      </c>
      <c r="D42" s="1924"/>
      <c r="E42" s="1286"/>
    </row>
    <row r="43" spans="1:6" ht="14.25" customHeight="1" x14ac:dyDescent="0.2">
      <c r="A43" s="328" t="s">
        <v>1515</v>
      </c>
      <c r="B43" s="328"/>
      <c r="C43" s="1293" t="s">
        <v>401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66"/>
      <c r="C50" s="1866"/>
      <c r="D50" s="1866"/>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G8" sqref="G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Glenview CCSD 34</v>
      </c>
      <c r="C1" s="2472"/>
      <c r="D1" s="2472"/>
      <c r="E1" s="2472"/>
      <c r="F1" s="2472"/>
      <c r="G1" s="2472"/>
      <c r="H1" s="2472"/>
      <c r="I1" s="2472"/>
      <c r="J1" s="1422"/>
    </row>
    <row r="2" spans="2:10" s="317" customFormat="1" ht="12.75" customHeight="1" x14ac:dyDescent="0.2">
      <c r="B2" s="2473">
        <f>'Single Audit Cover'!E7</f>
        <v>5016034004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1226</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2166</v>
      </c>
      <c r="E29" s="2478"/>
      <c r="F29" s="2478"/>
      <c r="G29" s="2478"/>
      <c r="H29" s="2478"/>
      <c r="I29" s="247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9" t="s">
        <v>1851</v>
      </c>
      <c r="D37" s="2480"/>
      <c r="E37" s="2480"/>
      <c r="F37" s="2481"/>
      <c r="G37" s="2479" t="s">
        <v>1674</v>
      </c>
      <c r="H37" s="2480"/>
      <c r="I37" s="2481"/>
    </row>
    <row r="38" spans="2:9" ht="16.5" customHeight="1" x14ac:dyDescent="0.2">
      <c r="B38" s="1444" t="s">
        <v>2129</v>
      </c>
      <c r="C38" s="2467" t="s">
        <v>2167</v>
      </c>
      <c r="D38" s="2468"/>
      <c r="E38" s="2468"/>
      <c r="F38" s="2469"/>
      <c r="G38" s="2482">
        <v>23900</v>
      </c>
      <c r="H38" s="2483"/>
      <c r="I38" s="2484"/>
    </row>
    <row r="39" spans="2:9" ht="16.5" customHeight="1" x14ac:dyDescent="0.2">
      <c r="B39" s="1444" t="s">
        <v>2129</v>
      </c>
      <c r="C39" s="2467" t="s">
        <v>2168</v>
      </c>
      <c r="D39" s="2468"/>
      <c r="E39" s="2468"/>
      <c r="F39" s="2469"/>
      <c r="G39" s="2470">
        <v>841644</v>
      </c>
      <c r="H39" s="2470"/>
      <c r="I39" s="2470"/>
    </row>
    <row r="40" spans="2:9" ht="16.5" customHeight="1" x14ac:dyDescent="0.2">
      <c r="B40" s="1444" t="s">
        <v>2129</v>
      </c>
      <c r="C40" s="2467" t="s">
        <v>2169</v>
      </c>
      <c r="D40" s="2468"/>
      <c r="E40" s="2468"/>
      <c r="F40" s="2469"/>
      <c r="G40" s="2470">
        <v>618339</v>
      </c>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1483883</v>
      </c>
      <c r="H43" s="2488"/>
      <c r="I43" s="2488"/>
    </row>
    <row r="44" spans="2:9" ht="12.75" customHeight="1" x14ac:dyDescent="0.2"/>
    <row r="45" spans="2:9" ht="12.75" customHeight="1" x14ac:dyDescent="0.2">
      <c r="B45" s="1435" t="s">
        <v>1949</v>
      </c>
      <c r="D45" s="2489">
        <v>3052346</v>
      </c>
      <c r="E45" s="2490"/>
    </row>
    <row r="46" spans="2:9" ht="5.25" customHeight="1" x14ac:dyDescent="0.2">
      <c r="B46" s="1445"/>
      <c r="D46" s="1446"/>
      <c r="E46" s="1447"/>
    </row>
    <row r="47" spans="2:9" ht="12.75" customHeight="1" x14ac:dyDescent="0.2">
      <c r="B47" s="1300" t="s">
        <v>1676</v>
      </c>
      <c r="C47" s="1300"/>
      <c r="D47" s="1448">
        <f>+G43/D45</f>
        <v>0.48614508315898658</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Glenview CCSD 34</v>
      </c>
      <c r="C1" s="2471"/>
      <c r="D1" s="2471"/>
      <c r="E1" s="2471"/>
      <c r="F1" s="2471"/>
      <c r="G1" s="2471"/>
      <c r="H1" s="2471"/>
      <c r="I1" s="2471"/>
      <c r="J1" s="2471"/>
      <c r="K1" s="2471"/>
      <c r="L1" s="1374"/>
      <c r="M1" s="1374"/>
    </row>
    <row r="2" spans="1:13" ht="12" customHeight="1" x14ac:dyDescent="0.2">
      <c r="B2" s="2473">
        <f>'Single Audit Cover'!E7</f>
        <v>5016034004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2164</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Glenview CCSD 34</v>
      </c>
      <c r="C1" s="2498"/>
      <c r="D1" s="2498"/>
      <c r="E1" s="2498"/>
      <c r="F1" s="2498"/>
      <c r="G1" s="2498"/>
      <c r="H1" s="2498"/>
      <c r="I1" s="2498"/>
      <c r="J1" s="2498"/>
      <c r="K1" s="2498"/>
      <c r="L1" s="1465"/>
    </row>
    <row r="2" spans="1:12" ht="12.75" customHeight="1" x14ac:dyDescent="0.2">
      <c r="B2" s="2499">
        <f>'Single Audit Cover'!E7</f>
        <v>5016034004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2164</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Glenview CCSD 34</v>
      </c>
      <c r="C1" s="2471"/>
      <c r="D1" s="2471"/>
      <c r="E1" s="1491"/>
    </row>
    <row r="2" spans="2:5" s="1282" customFormat="1" ht="12.75" customHeight="1" x14ac:dyDescent="0.2">
      <c r="B2" s="2473">
        <f>'Single Audit Cover'!E7</f>
        <v>5016034004</v>
      </c>
      <c r="C2" s="2473"/>
      <c r="D2" s="2473"/>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2164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1955026651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2.0525999999999999E-2</v>
      </c>
      <c r="E10" s="356" t="s">
        <v>1062</v>
      </c>
      <c r="F10" s="355">
        <v>2.251E-3</v>
      </c>
      <c r="G10" s="356" t="s">
        <v>1062</v>
      </c>
      <c r="H10" s="355">
        <v>1.4729999999999999E-3</v>
      </c>
      <c r="I10" s="356" t="s">
        <v>1063</v>
      </c>
      <c r="J10" s="1752">
        <f>ROUND(D10+F10+H10,5)</f>
        <v>2.4250000000000001E-2</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67783518</v>
      </c>
      <c r="E16" s="356"/>
      <c r="F16" s="1753">
        <f>SUM('Acct Summary 7-8'!C17,'Acct Summary 7-8'!D17,'Acct Summary 7-8'!F17)</f>
        <v>65773263</v>
      </c>
      <c r="G16" s="356"/>
      <c r="H16" s="1753">
        <f>SUM(D16-F16)</f>
        <v>2010255</v>
      </c>
      <c r="I16" s="222"/>
      <c r="J16" s="1753">
        <f>SUM('Acct Summary 7-8'!C81,'Acct Summary 7-8'!D81,'Acct Summary 7-8'!F81,'Acct Summary 7-8'!I81)</f>
        <v>48622757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5">
        <f>IF(B31="X",(J7*0.069),IF(B32="X",(J7*0.138),"Enter x in a.or b."))</f>
        <v>134896838.919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16140000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Glenview CCSD 34</v>
      </c>
      <c r="E7" s="391"/>
      <c r="G7" s="252"/>
      <c r="H7" s="387"/>
      <c r="I7" s="387"/>
      <c r="J7" s="387"/>
      <c r="K7" s="387"/>
      <c r="L7" s="329"/>
      <c r="M7" s="329"/>
      <c r="N7" s="329"/>
      <c r="O7" s="329"/>
      <c r="P7" s="329"/>
    </row>
    <row r="8" spans="1:18" ht="12.75" x14ac:dyDescent="0.2">
      <c r="A8" s="329"/>
      <c r="B8" s="329"/>
      <c r="C8" s="389" t="s">
        <v>1187</v>
      </c>
      <c r="D8" s="392">
        <f>COVER!A13</f>
        <v>5016034004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48622757</v>
      </c>
      <c r="I12" s="404"/>
      <c r="J12" s="404"/>
      <c r="K12" s="405">
        <f>TRUNC((H12/H13*100000),5)/100000</f>
        <v>0.71732418780000007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67783518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65773263</v>
      </c>
      <c r="I17" s="404"/>
      <c r="J17" s="416"/>
      <c r="K17" s="405">
        <f>TRUNC((H17/H18*100000),5)/100000</f>
        <v>0.97034301170000004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67783518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48779675</v>
      </c>
      <c r="I24" s="422"/>
      <c r="J24" s="422"/>
      <c r="K24" s="423">
        <f>TRUNC(((H24/H25*100000)/100000),2)</f>
        <v>266.98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182703.50833000001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40297986.843740001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16140000</v>
      </c>
      <c r="I32" s="420"/>
      <c r="J32" s="420"/>
      <c r="K32" s="423">
        <f>TRUNC(100-((((H32/H33*100))*100)/100),2)</f>
        <v>88.03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134896838.919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I26" sqref="I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41696840</v>
      </c>
      <c r="D4" s="466">
        <v>2869297</v>
      </c>
      <c r="E4" s="466">
        <v>1940666</v>
      </c>
      <c r="F4" s="466">
        <v>2273932</v>
      </c>
      <c r="G4" s="466">
        <v>1560432</v>
      </c>
      <c r="H4" s="466">
        <v>400969</v>
      </c>
      <c r="I4" s="466">
        <v>1939606</v>
      </c>
      <c r="J4" s="467">
        <v>535613</v>
      </c>
      <c r="K4" s="466">
        <v>846490</v>
      </c>
      <c r="L4" s="466">
        <v>426160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41696840</v>
      </c>
      <c r="D13" s="1757">
        <f t="shared" ref="D13:L13" si="0">SUM(D4:D12)</f>
        <v>2869297</v>
      </c>
      <c r="E13" s="1757">
        <f t="shared" si="0"/>
        <v>1940666</v>
      </c>
      <c r="F13" s="1757">
        <f t="shared" si="0"/>
        <v>2273932</v>
      </c>
      <c r="G13" s="1757">
        <f t="shared" si="0"/>
        <v>1560432</v>
      </c>
      <c r="H13" s="1757">
        <f t="shared" si="0"/>
        <v>400969</v>
      </c>
      <c r="I13" s="1757">
        <f t="shared" si="0"/>
        <v>1939606</v>
      </c>
      <c r="J13" s="1757">
        <f t="shared" si="0"/>
        <v>535613</v>
      </c>
      <c r="K13" s="1757">
        <f t="shared" si="0"/>
        <v>846490</v>
      </c>
      <c r="L13" s="1757">
        <f t="shared" si="0"/>
        <v>426160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194077</v>
      </c>
      <c r="N16" s="484"/>
    </row>
    <row r="17" spans="1:14" s="485" customFormat="1" ht="12.75" customHeight="1" x14ac:dyDescent="0.2">
      <c r="A17" s="482" t="s">
        <v>1470</v>
      </c>
      <c r="B17" s="483">
        <v>230</v>
      </c>
      <c r="C17" s="477"/>
      <c r="D17" s="477"/>
      <c r="E17" s="477"/>
      <c r="F17" s="477"/>
      <c r="G17" s="477"/>
      <c r="H17" s="477"/>
      <c r="I17" s="477"/>
      <c r="J17" s="477"/>
      <c r="K17" s="477"/>
      <c r="L17" s="477"/>
      <c r="M17" s="467">
        <v>106952267</v>
      </c>
      <c r="N17" s="484"/>
    </row>
    <row r="18" spans="1:14" s="485" customFormat="1" ht="12.75" customHeight="1" x14ac:dyDescent="0.2">
      <c r="A18" s="482" t="s">
        <v>1471</v>
      </c>
      <c r="B18" s="483">
        <v>240</v>
      </c>
      <c r="C18" s="477"/>
      <c r="D18" s="477"/>
      <c r="E18" s="477"/>
      <c r="F18" s="477"/>
      <c r="G18" s="477"/>
      <c r="H18" s="477"/>
      <c r="I18" s="477"/>
      <c r="J18" s="477"/>
      <c r="K18" s="477"/>
      <c r="L18" s="477"/>
      <c r="M18" s="467">
        <v>3819686</v>
      </c>
      <c r="N18" s="484"/>
    </row>
    <row r="19" spans="1:14" s="485" customFormat="1" ht="12.75" customHeight="1" x14ac:dyDescent="0.2">
      <c r="A19" s="482" t="s">
        <v>1472</v>
      </c>
      <c r="B19" s="483">
        <v>250</v>
      </c>
      <c r="C19" s="477"/>
      <c r="D19" s="477"/>
      <c r="E19" s="477"/>
      <c r="F19" s="477"/>
      <c r="G19" s="477"/>
      <c r="H19" s="477"/>
      <c r="I19" s="477"/>
      <c r="J19" s="477"/>
      <c r="K19" s="477"/>
      <c r="L19" s="477"/>
      <c r="M19" s="467">
        <v>29675025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1940666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14199334</v>
      </c>
    </row>
    <row r="23" spans="1:14" ht="13.5" customHeight="1" thickBot="1" x14ac:dyDescent="0.25">
      <c r="A23" s="1756" t="s">
        <v>664</v>
      </c>
      <c r="B23" s="1761"/>
      <c r="C23" s="468"/>
      <c r="D23" s="468"/>
      <c r="E23" s="468"/>
      <c r="F23" s="468"/>
      <c r="G23" s="468"/>
      <c r="H23" s="468"/>
      <c r="I23" s="468"/>
      <c r="J23" s="468"/>
      <c r="K23" s="468"/>
      <c r="L23" s="468"/>
      <c r="M23" s="1708">
        <f>SUM(M15:M22)</f>
        <v>140641055</v>
      </c>
      <c r="N23" s="1708">
        <f>SUM(N21:N22)</f>
        <v>16140000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156918</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426160</v>
      </c>
      <c r="M33" s="468"/>
      <c r="N33" s="469"/>
    </row>
    <row r="34" spans="1:14" ht="13.5" customHeight="1" thickBot="1" x14ac:dyDescent="0.25">
      <c r="A34" s="1758" t="s">
        <v>675</v>
      </c>
      <c r="B34" s="1759"/>
      <c r="C34" s="1760">
        <f>SUM(C25:C33)</f>
        <v>156918</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426160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16140000</v>
      </c>
    </row>
    <row r="37" spans="1:14" ht="13.5" thickBot="1" x14ac:dyDescent="0.25">
      <c r="A37" s="1756" t="s">
        <v>674</v>
      </c>
      <c r="B37" s="1761"/>
      <c r="C37" s="477"/>
      <c r="D37" s="477"/>
      <c r="E37" s="477"/>
      <c r="F37" s="477"/>
      <c r="G37" s="477"/>
      <c r="H37" s="477"/>
      <c r="I37" s="477"/>
      <c r="J37" s="477"/>
      <c r="K37" s="477"/>
      <c r="L37" s="480"/>
      <c r="M37" s="468"/>
      <c r="N37" s="1708">
        <f>SUM(N36:N36)</f>
        <v>16140000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41539922</v>
      </c>
      <c r="D39" s="466">
        <v>2869297</v>
      </c>
      <c r="E39" s="466">
        <v>1940666</v>
      </c>
      <c r="F39" s="466">
        <v>2273932</v>
      </c>
      <c r="G39" s="466">
        <v>1560432</v>
      </c>
      <c r="H39" s="466">
        <v>400969</v>
      </c>
      <c r="I39" s="466">
        <v>1939606</v>
      </c>
      <c r="J39" s="467">
        <v>535613</v>
      </c>
      <c r="K39" s="466">
        <v>846490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140641055</v>
      </c>
      <c r="N40" s="497"/>
    </row>
    <row r="41" spans="1:14" ht="13.5" customHeight="1" thickBot="1" x14ac:dyDescent="0.25">
      <c r="A41" s="1756" t="s">
        <v>676</v>
      </c>
      <c r="B41" s="1726"/>
      <c r="C41" s="1708">
        <f>(SUM(C34,C37,C38,C39))</f>
        <v>41696840</v>
      </c>
      <c r="D41" s="1708">
        <f t="shared" ref="D41:L41" si="2">SUM(D34,D37,D38:D39)</f>
        <v>2869297</v>
      </c>
      <c r="E41" s="1708">
        <f t="shared" si="2"/>
        <v>1940666</v>
      </c>
      <c r="F41" s="1708">
        <f t="shared" si="2"/>
        <v>2273932</v>
      </c>
      <c r="G41" s="1708">
        <f t="shared" si="2"/>
        <v>1560432</v>
      </c>
      <c r="H41" s="1708">
        <f t="shared" si="2"/>
        <v>400969</v>
      </c>
      <c r="I41" s="1708">
        <f t="shared" si="2"/>
        <v>1939606</v>
      </c>
      <c r="J41" s="1708">
        <f t="shared" si="2"/>
        <v>535613</v>
      </c>
      <c r="K41" s="1708">
        <f t="shared" si="2"/>
        <v>846490</v>
      </c>
      <c r="L41" s="1708">
        <f t="shared" si="2"/>
        <v>426160</v>
      </c>
      <c r="M41" s="1708">
        <f>SUM(M40)</f>
        <v>140641055</v>
      </c>
      <c r="N41" s="1708">
        <f>SUM(N37)</f>
        <v>16140000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0" t="s">
        <v>1579</v>
      </c>
      <c r="B4" s="1951">
        <v>1000</v>
      </c>
      <c r="C4" s="1762">
        <f>'Revenues 9-14'!C109</f>
        <v>49252681</v>
      </c>
      <c r="D4" s="1762">
        <f>'Revenues 9-14'!D109</f>
        <v>4829712</v>
      </c>
      <c r="E4" s="1762">
        <f>'Revenues 9-14'!E109</f>
        <v>3653441</v>
      </c>
      <c r="F4" s="1762">
        <f>'Revenues 9-14'!F109</f>
        <v>2673486</v>
      </c>
      <c r="G4" s="1762">
        <f>'Revenues 9-14'!G109</f>
        <v>1990059</v>
      </c>
      <c r="H4" s="1762">
        <f>'Revenues 9-14'!H109</f>
        <v>6714</v>
      </c>
      <c r="I4" s="1762">
        <f>'Revenues 9-14'!I109</f>
        <v>34148</v>
      </c>
      <c r="J4" s="1762">
        <f>'Revenues 9-14'!J109</f>
        <v>535302</v>
      </c>
      <c r="K4" s="1762">
        <f>'Revenues 9-14'!K109</f>
        <v>62541</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5554072</v>
      </c>
      <c r="D6" s="1763">
        <f>'Revenues 9-14'!D173</f>
        <v>0</v>
      </c>
      <c r="E6" s="1763">
        <f>'Revenues 9-14'!E173</f>
        <v>0</v>
      </c>
      <c r="F6" s="1763">
        <f>'Revenues 9-14'!F173</f>
        <v>2025324</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3414095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58220848</v>
      </c>
      <c r="D8" s="1708">
        <f t="shared" ref="D8:K8" si="0">SUM(D4:D7)</f>
        <v>4829712</v>
      </c>
      <c r="E8" s="1708">
        <f t="shared" si="0"/>
        <v>3653441</v>
      </c>
      <c r="F8" s="1708">
        <f t="shared" si="0"/>
        <v>4698810</v>
      </c>
      <c r="G8" s="1708">
        <f t="shared" si="0"/>
        <v>1990059</v>
      </c>
      <c r="H8" s="1708">
        <f t="shared" si="0"/>
        <v>6714</v>
      </c>
      <c r="I8" s="1708">
        <f t="shared" si="0"/>
        <v>34148</v>
      </c>
      <c r="J8" s="1708">
        <f t="shared" si="0"/>
        <v>535302</v>
      </c>
      <c r="K8" s="1708">
        <f t="shared" si="0"/>
        <v>62541</v>
      </c>
      <c r="L8" s="347"/>
    </row>
    <row r="9" spans="1:13" ht="15.75" thickTop="1" x14ac:dyDescent="0.2">
      <c r="A9" s="514" t="s">
        <v>1752</v>
      </c>
      <c r="B9" s="515">
        <v>3998</v>
      </c>
      <c r="C9" s="481">
        <v>24518362</v>
      </c>
      <c r="D9" s="516"/>
      <c r="E9" s="481"/>
      <c r="F9" s="481"/>
      <c r="G9" s="517"/>
      <c r="H9" s="481"/>
      <c r="I9" s="509" t="s">
        <v>1231</v>
      </c>
      <c r="J9" s="478"/>
      <c r="K9" s="481"/>
      <c r="L9" s="347"/>
    </row>
    <row r="10" spans="1:13" s="519" customFormat="1" ht="13.5" thickBot="1" x14ac:dyDescent="0.25">
      <c r="A10" s="1756" t="s">
        <v>1235</v>
      </c>
      <c r="B10" s="1729"/>
      <c r="C10" s="1708">
        <f>SUM(C8:C9)</f>
        <v>82739210</v>
      </c>
      <c r="D10" s="1708">
        <f t="shared" ref="D10:K10" si="1">SUM(D8:D9)</f>
        <v>4829712</v>
      </c>
      <c r="E10" s="1708">
        <f t="shared" si="1"/>
        <v>3653441</v>
      </c>
      <c r="F10" s="1708">
        <f t="shared" si="1"/>
        <v>4698810</v>
      </c>
      <c r="G10" s="1708">
        <f t="shared" si="1"/>
        <v>1990059</v>
      </c>
      <c r="H10" s="1708">
        <f t="shared" si="1"/>
        <v>6714</v>
      </c>
      <c r="I10" s="1708">
        <f t="shared" si="1"/>
        <v>34148</v>
      </c>
      <c r="J10" s="1708">
        <f t="shared" si="1"/>
        <v>535302</v>
      </c>
      <c r="K10" s="1708">
        <f t="shared" si="1"/>
        <v>62541</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2">
        <f>'Expenditures 15-22'!K33</f>
        <v>38804218</v>
      </c>
      <c r="D12" s="520" t="s">
        <v>1231</v>
      </c>
      <c r="E12" s="468" t="s">
        <v>1231</v>
      </c>
      <c r="F12" s="468" t="s">
        <v>1231</v>
      </c>
      <c r="G12" s="1762">
        <f>'Expenditures 15-22'!K229</f>
        <v>887609</v>
      </c>
      <c r="H12" s="521"/>
      <c r="I12" s="468" t="s">
        <v>1231</v>
      </c>
      <c r="J12" s="468" t="s">
        <v>1231</v>
      </c>
      <c r="K12" s="521" t="s">
        <v>1231</v>
      </c>
      <c r="L12" s="347"/>
    </row>
    <row r="13" spans="1:13" ht="15.75" customHeight="1" x14ac:dyDescent="0.2">
      <c r="A13" s="1598" t="s">
        <v>477</v>
      </c>
      <c r="B13" s="1600">
        <v>2000</v>
      </c>
      <c r="C13" s="1763">
        <f>'Expenditures 15-22'!K74</f>
        <v>17228911</v>
      </c>
      <c r="D13" s="1763">
        <f>'Expenditures 15-22'!K129</f>
        <v>4933298</v>
      </c>
      <c r="E13" s="469" t="s">
        <v>1231</v>
      </c>
      <c r="F13" s="1763">
        <f>'Expenditures 15-22'!K184</f>
        <v>3895892</v>
      </c>
      <c r="G13" s="1763">
        <f>'Expenditures 15-22'!K279</f>
        <v>1019790</v>
      </c>
      <c r="H13" s="1763">
        <f>'Expenditures 15-22'!K303</f>
        <v>692665</v>
      </c>
      <c r="I13" s="468" t="s">
        <v>1231</v>
      </c>
      <c r="J13" s="1763">
        <f>'Expenditures 15-22'!K330</f>
        <v>346336</v>
      </c>
      <c r="K13" s="1767">
        <f>'Expenditures 15-22'!K352</f>
        <v>4268195</v>
      </c>
      <c r="L13" s="347"/>
    </row>
    <row r="14" spans="1:13" ht="15.75" customHeight="1" x14ac:dyDescent="0.2">
      <c r="A14" s="1598" t="s">
        <v>469</v>
      </c>
      <c r="B14" s="1600">
        <v>3000</v>
      </c>
      <c r="C14" s="1763">
        <f>'Expenditures 15-22'!K75</f>
        <v>27279</v>
      </c>
      <c r="D14" s="1763">
        <f>'Expenditures 15-22'!K130</f>
        <v>0</v>
      </c>
      <c r="E14" s="520" t="s">
        <v>1231</v>
      </c>
      <c r="F14" s="1763">
        <f>'Expenditures 15-22'!K185</f>
        <v>0</v>
      </c>
      <c r="G14" s="1763">
        <f>'Expenditures 15-22'!K280</f>
        <v>115</v>
      </c>
      <c r="H14" s="512"/>
      <c r="I14" s="468" t="s">
        <v>1231</v>
      </c>
      <c r="J14" s="468" t="s">
        <v>1231</v>
      </c>
      <c r="K14" s="512" t="s">
        <v>1231</v>
      </c>
      <c r="L14" s="347"/>
    </row>
    <row r="15" spans="1:13" ht="15.75" customHeight="1" x14ac:dyDescent="0.2">
      <c r="A15" s="1598" t="s">
        <v>109</v>
      </c>
      <c r="B15" s="1600">
        <v>4000</v>
      </c>
      <c r="C15" s="1763">
        <f>'Expenditures 15-22'!K102</f>
        <v>883665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3535192</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56944073</v>
      </c>
      <c r="D17" s="1708">
        <f t="shared" si="2"/>
        <v>4933298</v>
      </c>
      <c r="E17" s="1708">
        <f t="shared" si="2"/>
        <v>3535192</v>
      </c>
      <c r="F17" s="1708">
        <f t="shared" si="2"/>
        <v>3895892</v>
      </c>
      <c r="G17" s="1708">
        <f t="shared" si="2"/>
        <v>1907514</v>
      </c>
      <c r="H17" s="1708">
        <f t="shared" si="2"/>
        <v>692665</v>
      </c>
      <c r="I17" s="468"/>
      <c r="J17" s="1708">
        <f>SUM(J12:J16)</f>
        <v>346336</v>
      </c>
      <c r="K17" s="1708">
        <f>SUM(K12:K16)</f>
        <v>4268195</v>
      </c>
      <c r="L17" s="347"/>
    </row>
    <row r="18" spans="1:12" ht="15" customHeight="1" thickTop="1" x14ac:dyDescent="0.2">
      <c r="A18" s="1764" t="s">
        <v>1753</v>
      </c>
      <c r="B18" s="1765">
        <v>4180</v>
      </c>
      <c r="C18" s="1762">
        <f t="shared" ref="C18:H18" si="3">C9</f>
        <v>24518362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81462435</v>
      </c>
      <c r="D19" s="1708">
        <f t="shared" si="4"/>
        <v>4933298</v>
      </c>
      <c r="E19" s="1708">
        <f t="shared" si="4"/>
        <v>3535192</v>
      </c>
      <c r="F19" s="1708">
        <f t="shared" si="4"/>
        <v>3895892</v>
      </c>
      <c r="G19" s="1708">
        <f t="shared" si="4"/>
        <v>1907514</v>
      </c>
      <c r="H19" s="1708">
        <f t="shared" si="4"/>
        <v>692665</v>
      </c>
      <c r="I19" s="468"/>
      <c r="J19" s="1708">
        <f>SUM(J17:J18)</f>
        <v>346336</v>
      </c>
      <c r="K19" s="1708">
        <f>SUM(K17:K18)</f>
        <v>4268195</v>
      </c>
      <c r="L19" s="347"/>
    </row>
    <row r="20" spans="1:12" ht="16.5" thickTop="1" thickBot="1" x14ac:dyDescent="0.25">
      <c r="A20" s="2144" t="s">
        <v>1754</v>
      </c>
      <c r="B20" s="2145"/>
      <c r="C20" s="1766">
        <f>C8-C17</f>
        <v>1276775</v>
      </c>
      <c r="D20" s="1766">
        <f t="shared" ref="D20:K20" si="5">D8-D17</f>
        <v>-103586</v>
      </c>
      <c r="E20" s="1766">
        <f t="shared" si="5"/>
        <v>118249</v>
      </c>
      <c r="F20" s="1766">
        <f t="shared" si="5"/>
        <v>802918</v>
      </c>
      <c r="G20" s="1766">
        <f t="shared" si="5"/>
        <v>82545</v>
      </c>
      <c r="H20" s="1766">
        <f t="shared" si="5"/>
        <v>-685951</v>
      </c>
      <c r="I20" s="1766">
        <f t="shared" si="5"/>
        <v>34148</v>
      </c>
      <c r="J20" s="1766">
        <f t="shared" si="5"/>
        <v>188966</v>
      </c>
      <c r="K20" s="1766">
        <f t="shared" si="5"/>
        <v>-4205654</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3">
        <f>D30</f>
        <v>0</v>
      </c>
      <c r="L52" s="524"/>
    </row>
    <row r="53" spans="1:12" s="485" customFormat="1" ht="26.25" x14ac:dyDescent="0.2">
      <c r="A53" s="1512" t="s">
        <v>1896</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6" t="s">
        <v>1239</v>
      </c>
      <c r="B77" s="2137"/>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0" t="s">
        <v>618</v>
      </c>
      <c r="B78" s="2141"/>
      <c r="C78" s="1722">
        <f t="shared" ref="C78:K78" si="9">C20+C77</f>
        <v>1276775</v>
      </c>
      <c r="D78" s="1722">
        <f t="shared" si="9"/>
        <v>-103586</v>
      </c>
      <c r="E78" s="1722">
        <f t="shared" si="9"/>
        <v>118249</v>
      </c>
      <c r="F78" s="1722">
        <f t="shared" si="9"/>
        <v>802918</v>
      </c>
      <c r="G78" s="1722">
        <f t="shared" si="9"/>
        <v>82545</v>
      </c>
      <c r="H78" s="1722">
        <f t="shared" si="9"/>
        <v>-685951</v>
      </c>
      <c r="I78" s="1722">
        <f t="shared" si="9"/>
        <v>34148</v>
      </c>
      <c r="J78" s="1722">
        <f t="shared" si="9"/>
        <v>188966</v>
      </c>
      <c r="K78" s="1722">
        <f t="shared" si="9"/>
        <v>-4205654</v>
      </c>
      <c r="L78" s="533"/>
    </row>
    <row r="79" spans="1:12" ht="13.5" thickTop="1" x14ac:dyDescent="0.2">
      <c r="A79" s="1516" t="s">
        <v>2070</v>
      </c>
      <c r="B79" s="534"/>
      <c r="C79" s="478">
        <v>40263147</v>
      </c>
      <c r="D79" s="535">
        <v>2972883</v>
      </c>
      <c r="E79" s="535">
        <v>1822417</v>
      </c>
      <c r="F79" s="535">
        <v>1471014</v>
      </c>
      <c r="G79" s="535">
        <v>1477887</v>
      </c>
      <c r="H79" s="535">
        <v>1086920</v>
      </c>
      <c r="I79" s="535">
        <v>1905458</v>
      </c>
      <c r="J79" s="535">
        <v>346647</v>
      </c>
      <c r="K79" s="535">
        <v>5052144</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08">
        <f>(SUM(C78:C80))</f>
        <v>41539922</v>
      </c>
      <c r="D81" s="1708">
        <f>SUM(D78:D80)</f>
        <v>2869297</v>
      </c>
      <c r="E81" s="1708">
        <f t="shared" ref="E81:K81" si="10">SUM(E78:E80)</f>
        <v>1940666</v>
      </c>
      <c r="F81" s="1708">
        <f t="shared" si="10"/>
        <v>2273932</v>
      </c>
      <c r="G81" s="1708">
        <f t="shared" si="10"/>
        <v>1560432</v>
      </c>
      <c r="H81" s="1708">
        <f t="shared" si="10"/>
        <v>400969</v>
      </c>
      <c r="I81" s="1708">
        <f t="shared" si="10"/>
        <v>1939606</v>
      </c>
      <c r="J81" s="1708">
        <f t="shared" si="10"/>
        <v>535613</v>
      </c>
      <c r="K81" s="1708">
        <f t="shared" si="10"/>
        <v>846490</v>
      </c>
      <c r="L81" s="347"/>
    </row>
    <row r="82" spans="1:12" ht="0.75" customHeight="1" thickTop="1" thickBot="1" x14ac:dyDescent="0.25">
      <c r="A82" s="536" t="s">
        <v>361</v>
      </c>
      <c r="B82" s="537"/>
      <c r="C82" s="538">
        <f>(C81-C79)</f>
        <v>1276775</v>
      </c>
      <c r="D82" s="538">
        <f t="shared" ref="D82:K82" si="11">(D81-D79)</f>
        <v>-103586</v>
      </c>
      <c r="E82" s="538">
        <f t="shared" si="11"/>
        <v>118249</v>
      </c>
      <c r="F82" s="538">
        <f t="shared" si="11"/>
        <v>802918</v>
      </c>
      <c r="G82" s="538">
        <f t="shared" si="11"/>
        <v>82545</v>
      </c>
      <c r="H82" s="538">
        <f t="shared" si="11"/>
        <v>-685951</v>
      </c>
      <c r="I82" s="538">
        <f t="shared" si="11"/>
        <v>34148</v>
      </c>
      <c r="J82" s="538">
        <f t="shared" si="11"/>
        <v>188966</v>
      </c>
      <c r="K82" s="538">
        <f t="shared" si="11"/>
        <v>-4205654</v>
      </c>
    </row>
    <row r="83" spans="1:12" ht="14.25" hidden="1" thickTop="1" thickBot="1" x14ac:dyDescent="0.25">
      <c r="A83" s="539" t="s">
        <v>362</v>
      </c>
      <c r="B83" s="464"/>
      <c r="C83" s="540">
        <f>C82/C81</f>
        <v>3.0736095267583797E-2</v>
      </c>
      <c r="D83" s="540">
        <f t="shared" ref="D83:K83" si="12">D82/D81</f>
        <v>-3.6101525913838826E-2</v>
      </c>
      <c r="E83" s="540">
        <f t="shared" si="12"/>
        <v>6.093217483070245E-2</v>
      </c>
      <c r="F83" s="540">
        <f t="shared" si="12"/>
        <v>0.35309675047450845</v>
      </c>
      <c r="G83" s="540">
        <f t="shared" si="12"/>
        <v>5.2898812636500661E-2</v>
      </c>
      <c r="H83" s="540">
        <f t="shared" si="12"/>
        <v>-1.7107332487050122</v>
      </c>
      <c r="I83" s="540">
        <f t="shared" si="12"/>
        <v>1.7605637433581872E-2</v>
      </c>
      <c r="J83" s="540">
        <f t="shared" si="12"/>
        <v>0.35280323666527885</v>
      </c>
      <c r="K83" s="540">
        <f t="shared" si="12"/>
        <v>-4.9683445758366904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38594843</v>
      </c>
      <c r="D5" s="481">
        <v>4341665</v>
      </c>
      <c r="E5" s="466">
        <v>3627428</v>
      </c>
      <c r="F5" s="548">
        <v>2585497</v>
      </c>
      <c r="G5" s="466">
        <v>1070165</v>
      </c>
      <c r="H5" s="466"/>
      <c r="I5" s="466"/>
      <c r="J5" s="467">
        <v>518207</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828663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38594843</v>
      </c>
      <c r="D12" s="1727">
        <f t="shared" si="0"/>
        <v>4341665</v>
      </c>
      <c r="E12" s="1727">
        <f t="shared" si="0"/>
        <v>3627428</v>
      </c>
      <c r="F12" s="1727">
        <f t="shared" si="0"/>
        <v>2585497</v>
      </c>
      <c r="G12" s="1727">
        <f t="shared" si="0"/>
        <v>1898828</v>
      </c>
      <c r="H12" s="1727">
        <f t="shared" si="0"/>
        <v>0</v>
      </c>
      <c r="I12" s="1727">
        <f t="shared" si="0"/>
        <v>0</v>
      </c>
      <c r="J12" s="1727">
        <f t="shared" si="0"/>
        <v>518207</v>
      </c>
      <c r="K12" s="1708">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521965</v>
      </c>
      <c r="D16" s="466"/>
      <c r="E16" s="466"/>
      <c r="F16" s="466"/>
      <c r="G16" s="466">
        <v>67928</v>
      </c>
      <c r="H16" s="466"/>
      <c r="I16" s="466"/>
      <c r="J16" s="467"/>
      <c r="K16" s="466"/>
    </row>
    <row r="17" spans="1:11" ht="12.75" customHeight="1" x14ac:dyDescent="0.2">
      <c r="A17" s="463" t="s">
        <v>840</v>
      </c>
      <c r="B17" s="470">
        <v>1290</v>
      </c>
      <c r="C17" s="551">
        <v>7362645</v>
      </c>
      <c r="D17" s="466"/>
      <c r="E17" s="466"/>
      <c r="F17" s="466"/>
      <c r="G17" s="466"/>
      <c r="H17" s="466"/>
      <c r="I17" s="466"/>
      <c r="J17" s="467"/>
      <c r="K17" s="466"/>
    </row>
    <row r="18" spans="1:11" ht="12.75" customHeight="1" thickBot="1" x14ac:dyDescent="0.25">
      <c r="A18" s="1728" t="s">
        <v>558</v>
      </c>
      <c r="B18" s="1729"/>
      <c r="C18" s="1730">
        <f>SUM(C14:C17)</f>
        <v>7884610</v>
      </c>
      <c r="D18" s="1730">
        <f t="shared" ref="D18:K18" si="1">SUM(D14:D17)</f>
        <v>0</v>
      </c>
      <c r="E18" s="1730">
        <f t="shared" si="1"/>
        <v>0</v>
      </c>
      <c r="F18" s="1730">
        <f t="shared" si="1"/>
        <v>0</v>
      </c>
      <c r="G18" s="1730">
        <f t="shared" si="1"/>
        <v>67928</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23275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23275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61832</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v>950</v>
      </c>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62782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13605+32017+592077-826</f>
        <v>636873</v>
      </c>
      <c r="D65" s="466">
        <v>41799</v>
      </c>
      <c r="E65" s="466">
        <v>26013</v>
      </c>
      <c r="F65" s="467">
        <v>25207</v>
      </c>
      <c r="G65" s="466">
        <v>23303</v>
      </c>
      <c r="H65" s="466">
        <v>6714</v>
      </c>
      <c r="I65" s="466">
        <v>34148</v>
      </c>
      <c r="J65" s="467">
        <v>5823</v>
      </c>
      <c r="K65" s="466">
        <v>62541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636873</v>
      </c>
      <c r="D67" s="1708">
        <f t="shared" ref="D67:K67" si="2">SUM(D65:D66)</f>
        <v>41799</v>
      </c>
      <c r="E67" s="1708">
        <f t="shared" si="2"/>
        <v>26013</v>
      </c>
      <c r="F67" s="1708">
        <f t="shared" si="2"/>
        <v>25207</v>
      </c>
      <c r="G67" s="1708">
        <f t="shared" si="2"/>
        <v>23303</v>
      </c>
      <c r="H67" s="1708">
        <f t="shared" si="2"/>
        <v>6714</v>
      </c>
      <c r="I67" s="1708">
        <f t="shared" si="2"/>
        <v>34148</v>
      </c>
      <c r="J67" s="1708">
        <f t="shared" si="2"/>
        <v>5823</v>
      </c>
      <c r="K67" s="1708">
        <f t="shared" si="2"/>
        <v>62541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870473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16373</v>
      </c>
      <c r="D73" s="468"/>
      <c r="E73" s="468"/>
      <c r="F73" s="468"/>
      <c r="G73" s="468"/>
      <c r="H73" s="468"/>
      <c r="I73" s="468"/>
      <c r="J73" s="468"/>
      <c r="K73" s="468"/>
    </row>
    <row r="74" spans="1:11" ht="12.75" customHeight="1" x14ac:dyDescent="0.2">
      <c r="A74" s="463" t="s">
        <v>25</v>
      </c>
      <c r="B74" s="470">
        <v>1690</v>
      </c>
      <c r="C74" s="551">
        <v>6949</v>
      </c>
      <c r="D74" s="468"/>
      <c r="E74" s="468"/>
      <c r="F74" s="468"/>
      <c r="G74" s="468"/>
      <c r="H74" s="468"/>
      <c r="I74" s="468"/>
      <c r="J74" s="468"/>
      <c r="K74" s="468"/>
    </row>
    <row r="75" spans="1:11" ht="12.75" customHeight="1" thickBot="1" x14ac:dyDescent="0.25">
      <c r="A75" s="1728" t="s">
        <v>569</v>
      </c>
      <c r="B75" s="1729"/>
      <c r="C75" s="1708">
        <f>SUM(C69:C74)</f>
        <v>893795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160389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160389</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402303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408943</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811246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539</v>
      </c>
      <c r="D95" s="551">
        <v>73116</v>
      </c>
      <c r="E95" s="521"/>
      <c r="F95" s="521"/>
      <c r="G95" s="521"/>
      <c r="H95" s="521"/>
      <c r="I95" s="521"/>
      <c r="J95" s="521"/>
      <c r="K95" s="521"/>
    </row>
    <row r="96" spans="1:11" ht="12.75" customHeight="1" x14ac:dyDescent="0.2">
      <c r="A96" s="463" t="s">
        <v>409</v>
      </c>
      <c r="B96" s="470">
        <v>1920</v>
      </c>
      <c r="C96" s="551"/>
      <c r="D96" s="551">
        <v>318565</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11272</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f>1550+34967</f>
        <v>36517</v>
      </c>
      <c r="D106" s="489"/>
      <c r="E106" s="467"/>
      <c r="F106" s="467"/>
      <c r="G106" s="467"/>
      <c r="H106" s="467"/>
      <c r="I106" s="521"/>
      <c r="J106" s="467"/>
      <c r="K106" s="467"/>
    </row>
    <row r="107" spans="1:12" ht="12.75" customHeight="1" x14ac:dyDescent="0.2">
      <c r="A107" s="463" t="s">
        <v>80</v>
      </c>
      <c r="B107" s="470">
        <v>1999</v>
      </c>
      <c r="C107" s="551">
        <f>213659-3065</f>
        <v>210594</v>
      </c>
      <c r="D107" s="466">
        <v>54567</v>
      </c>
      <c r="E107" s="466"/>
      <c r="F107" s="466"/>
      <c r="G107" s="466"/>
      <c r="H107" s="466"/>
      <c r="I107" s="466"/>
      <c r="J107" s="467"/>
      <c r="K107" s="466"/>
    </row>
    <row r="108" spans="1:12" ht="12.75" customHeight="1" thickBot="1" x14ac:dyDescent="0.25">
      <c r="A108" s="1728" t="s">
        <v>508</v>
      </c>
      <c r="B108" s="1732"/>
      <c r="C108" s="1727">
        <f>SUM(C95:C107)</f>
        <v>247650</v>
      </c>
      <c r="D108" s="1727">
        <f t="shared" ref="D108:K108" si="3">SUM(D95:D107)</f>
        <v>446248</v>
      </c>
      <c r="E108" s="1727">
        <f t="shared" si="3"/>
        <v>0</v>
      </c>
      <c r="F108" s="1727">
        <f t="shared" si="3"/>
        <v>0</v>
      </c>
      <c r="G108" s="1727">
        <f t="shared" si="3"/>
        <v>0</v>
      </c>
      <c r="H108" s="1727">
        <f t="shared" si="3"/>
        <v>0</v>
      </c>
      <c r="I108" s="1727">
        <f t="shared" si="3"/>
        <v>0</v>
      </c>
      <c r="J108" s="1727">
        <f t="shared" si="3"/>
        <v>11272</v>
      </c>
      <c r="K108" s="1708">
        <f t="shared" si="3"/>
        <v>0</v>
      </c>
    </row>
    <row r="109" spans="1:12" ht="14.25" thickTop="1" thickBot="1" x14ac:dyDescent="0.25">
      <c r="A109" s="1733" t="s">
        <v>266</v>
      </c>
      <c r="B109" s="1734" t="s">
        <v>591</v>
      </c>
      <c r="C109" s="1735">
        <f t="shared" ref="C109:K109" si="4">SUM(C12,C18,C40,C63,C67,C75,C82,C93,C108,)</f>
        <v>49252681</v>
      </c>
      <c r="D109" s="1735">
        <f t="shared" si="4"/>
        <v>4829712</v>
      </c>
      <c r="E109" s="1735">
        <f t="shared" si="4"/>
        <v>3653441</v>
      </c>
      <c r="F109" s="1735">
        <f t="shared" si="4"/>
        <v>2673486</v>
      </c>
      <c r="G109" s="1735">
        <f t="shared" si="4"/>
        <v>1990059</v>
      </c>
      <c r="H109" s="1735">
        <f t="shared" si="4"/>
        <v>6714</v>
      </c>
      <c r="I109" s="1735">
        <f t="shared" si="4"/>
        <v>34148</v>
      </c>
      <c r="J109" s="1735">
        <f t="shared" si="4"/>
        <v>535302</v>
      </c>
      <c r="K109" s="1722">
        <f t="shared" si="4"/>
        <v>62541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4149851</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4149851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369826</v>
      </c>
      <c r="D124" s="561"/>
      <c r="E124" s="468"/>
      <c r="F124" s="548"/>
      <c r="G124" s="468"/>
      <c r="H124" s="468"/>
      <c r="I124" s="468"/>
      <c r="J124" s="468"/>
      <c r="K124" s="468"/>
    </row>
    <row r="125" spans="1:11" ht="12.75" customHeight="1" x14ac:dyDescent="0.2">
      <c r="A125" s="463" t="s">
        <v>1521</v>
      </c>
      <c r="B125" s="562">
        <v>3105</v>
      </c>
      <c r="C125" s="466">
        <v>298244</v>
      </c>
      <c r="D125" s="561"/>
      <c r="E125" s="468"/>
      <c r="F125" s="466"/>
      <c r="G125" s="468"/>
      <c r="H125" s="468"/>
      <c r="I125" s="468"/>
      <c r="J125" s="468"/>
      <c r="K125" s="468"/>
    </row>
    <row r="126" spans="1:11" ht="12.75" customHeight="1" x14ac:dyDescent="0.2">
      <c r="A126" s="463" t="s">
        <v>922</v>
      </c>
      <c r="B126" s="562">
        <v>3110</v>
      </c>
      <c r="C126" s="551">
        <v>538597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4075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1210742</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183264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183264</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7150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1201648</v>
      </c>
      <c r="G151" s="467"/>
      <c r="H151" s="468"/>
      <c r="I151" s="468"/>
      <c r="J151" s="468"/>
      <c r="K151" s="468"/>
    </row>
    <row r="152" spans="1:11" ht="12.75" customHeight="1" x14ac:dyDescent="0.2">
      <c r="A152" s="463" t="s">
        <v>1117</v>
      </c>
      <c r="B152" s="562">
        <v>3510</v>
      </c>
      <c r="C152" s="551"/>
      <c r="D152" s="466"/>
      <c r="E152" s="561"/>
      <c r="F152" s="466">
        <v>823676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2025324</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3065</v>
      </c>
      <c r="D171" s="580"/>
      <c r="E171" s="580"/>
      <c r="F171" s="580"/>
      <c r="G171" s="581"/>
      <c r="H171" s="582"/>
      <c r="I171" s="581"/>
      <c r="J171" s="581"/>
      <c r="K171" s="582"/>
    </row>
    <row r="172" spans="1:11" ht="12.75" customHeight="1" thickTop="1" thickBot="1" x14ac:dyDescent="0.25">
      <c r="A172" s="2162" t="s">
        <v>418</v>
      </c>
      <c r="B172" s="2163"/>
      <c r="C172" s="1742">
        <f t="shared" ref="C172:K172" si="6">SUM(C131,C140,C144,C145:C149,C154,C155:C170,C171)</f>
        <v>1404221</v>
      </c>
      <c r="D172" s="1742">
        <f t="shared" si="6"/>
        <v>0</v>
      </c>
      <c r="E172" s="1742">
        <f t="shared" si="6"/>
        <v>0</v>
      </c>
      <c r="F172" s="1742">
        <f t="shared" si="6"/>
        <v>2025324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5554072</v>
      </c>
      <c r="D173" s="1735">
        <f>SUM(D121,D172)</f>
        <v>0</v>
      </c>
      <c r="E173" s="1735">
        <f>SUM(E121,E172)</f>
        <v>0</v>
      </c>
      <c r="F173" s="1735">
        <f t="shared" ref="F173:K173" si="7">SUM(F121,F172)</f>
        <v>2025324</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481098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76414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557512</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953053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953053</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f>18728+24277</f>
        <v>43005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f>891732-24277-1</f>
        <v>867454</v>
      </c>
      <c r="D220" s="466"/>
      <c r="E220" s="468"/>
      <c r="F220" s="466"/>
      <c r="G220" s="466"/>
      <c r="H220" s="468"/>
      <c r="I220" s="468"/>
      <c r="J220" s="468"/>
      <c r="K220" s="468"/>
    </row>
    <row r="221" spans="1:11" ht="12.75" customHeight="1" x14ac:dyDescent="0.2">
      <c r="A221" s="463" t="s">
        <v>1114</v>
      </c>
      <c r="B221" s="470">
        <v>4625</v>
      </c>
      <c r="C221" s="551">
        <v>557956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1468415</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110013</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42506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80347</v>
      </c>
      <c r="D270" s="576"/>
      <c r="E270" s="468"/>
      <c r="F270" s="576"/>
      <c r="G270" s="576"/>
      <c r="H270" s="468"/>
      <c r="I270" s="468"/>
      <c r="J270" s="468"/>
      <c r="K270" s="468"/>
    </row>
    <row r="271" spans="1:11" ht="12.75" customHeight="1" thickTop="1" thickBot="1" x14ac:dyDescent="0.25">
      <c r="A271" s="463" t="s">
        <v>395</v>
      </c>
      <c r="B271" s="470">
        <v>4992</v>
      </c>
      <c r="C271" s="575">
        <v>202249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3414095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3414095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58220848</v>
      </c>
      <c r="D275" s="1735">
        <f t="shared" si="12"/>
        <v>4829712</v>
      </c>
      <c r="E275" s="1735">
        <f t="shared" si="12"/>
        <v>3653441</v>
      </c>
      <c r="F275" s="1735">
        <f t="shared" si="12"/>
        <v>4698810</v>
      </c>
      <c r="G275" s="1735">
        <f t="shared" si="12"/>
        <v>1990059</v>
      </c>
      <c r="H275" s="1735">
        <f t="shared" si="12"/>
        <v>6714</v>
      </c>
      <c r="I275" s="1735">
        <f t="shared" si="12"/>
        <v>34148</v>
      </c>
      <c r="J275" s="1735">
        <f t="shared" si="12"/>
        <v>535302</v>
      </c>
      <c r="K275" s="1722">
        <f t="shared" si="12"/>
        <v>62541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7" sqref="A47"/>
      <selection pane="bottomLeft" activeCell="H35" sqref="H3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19289123</v>
      </c>
      <c r="D5" s="466">
        <f>-453412+2979349</f>
        <v>2525937</v>
      </c>
      <c r="E5" s="466">
        <v>228418</v>
      </c>
      <c r="F5" s="466">
        <v>682301</v>
      </c>
      <c r="G5" s="466">
        <v>20407</v>
      </c>
      <c r="H5" s="466">
        <f>1950+10248</f>
        <v>12198</v>
      </c>
      <c r="I5" s="467"/>
      <c r="J5" s="467">
        <v>38229</v>
      </c>
      <c r="K5" s="1691">
        <f>SUM(C5:J5)</f>
        <v>22796613</v>
      </c>
      <c r="L5" s="466">
        <v>24628865</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5252494</v>
      </c>
      <c r="D8" s="466">
        <v>1315479</v>
      </c>
      <c r="E8" s="466">
        <v>723223</v>
      </c>
      <c r="F8" s="466">
        <v>109893</v>
      </c>
      <c r="G8" s="466">
        <v>6126</v>
      </c>
      <c r="H8" s="466">
        <v>1123</v>
      </c>
      <c r="I8" s="467"/>
      <c r="J8" s="467"/>
      <c r="K8" s="1691">
        <f t="shared" si="0"/>
        <v>7408338</v>
      </c>
      <c r="L8" s="466">
        <v>7435885</v>
      </c>
    </row>
    <row r="9" spans="1:14" x14ac:dyDescent="0.2">
      <c r="A9" s="1526" t="s">
        <v>745</v>
      </c>
      <c r="B9" s="615" t="s">
        <v>1025</v>
      </c>
      <c r="C9" s="467"/>
      <c r="D9" s="467"/>
      <c r="E9" s="467"/>
      <c r="F9" s="467"/>
      <c r="G9" s="467"/>
      <c r="H9" s="467"/>
      <c r="I9" s="467"/>
      <c r="J9" s="467"/>
      <c r="K9" s="1691">
        <f t="shared" si="0"/>
        <v>0</v>
      </c>
      <c r="L9" s="466">
        <v>6500</v>
      </c>
    </row>
    <row r="10" spans="1:14" x14ac:dyDescent="0.2">
      <c r="A10" s="1526" t="s">
        <v>746</v>
      </c>
      <c r="B10" s="615">
        <v>1250</v>
      </c>
      <c r="C10" s="466"/>
      <c r="D10" s="466"/>
      <c r="E10" s="466"/>
      <c r="F10" s="466"/>
      <c r="G10" s="466"/>
      <c r="H10" s="466"/>
      <c r="I10" s="467"/>
      <c r="J10" s="467"/>
      <c r="K10" s="1691">
        <f t="shared" si="0"/>
        <v>0</v>
      </c>
      <c r="L10" s="466">
        <v>0</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c r="D13" s="466"/>
      <c r="E13" s="466"/>
      <c r="F13" s="466"/>
      <c r="G13" s="466"/>
      <c r="H13" s="466"/>
      <c r="I13" s="467"/>
      <c r="J13" s="467"/>
      <c r="K13" s="1691">
        <f t="shared" si="0"/>
        <v>0</v>
      </c>
      <c r="L13" s="466">
        <v>0</v>
      </c>
    </row>
    <row r="14" spans="1:14" x14ac:dyDescent="0.2">
      <c r="A14" s="1526" t="s">
        <v>1020</v>
      </c>
      <c r="B14" s="615">
        <v>1500</v>
      </c>
      <c r="C14" s="466">
        <v>46</v>
      </c>
      <c r="D14" s="466"/>
      <c r="E14" s="466">
        <v>8338</v>
      </c>
      <c r="F14" s="466"/>
      <c r="G14" s="466"/>
      <c r="H14" s="466">
        <v>1185</v>
      </c>
      <c r="I14" s="467"/>
      <c r="J14" s="467"/>
      <c r="K14" s="1691">
        <f t="shared" si="0"/>
        <v>9569</v>
      </c>
      <c r="L14" s="466">
        <v>12900</v>
      </c>
    </row>
    <row r="15" spans="1:14" x14ac:dyDescent="0.2">
      <c r="A15" s="1526" t="s">
        <v>1021</v>
      </c>
      <c r="B15" s="615">
        <v>1600</v>
      </c>
      <c r="C15" s="466">
        <v>251256</v>
      </c>
      <c r="D15" s="466">
        <v>3061</v>
      </c>
      <c r="E15" s="466"/>
      <c r="F15" s="466">
        <v>12168</v>
      </c>
      <c r="G15" s="466"/>
      <c r="H15" s="466"/>
      <c r="I15" s="467"/>
      <c r="J15" s="467"/>
      <c r="K15" s="1691">
        <f t="shared" si="0"/>
        <v>266485</v>
      </c>
      <c r="L15" s="466">
        <v>227000</v>
      </c>
    </row>
    <row r="16" spans="1:14" x14ac:dyDescent="0.2">
      <c r="A16" s="1526" t="s">
        <v>1044</v>
      </c>
      <c r="B16" s="615" t="s">
        <v>444</v>
      </c>
      <c r="C16" s="466">
        <v>1069997</v>
      </c>
      <c r="D16" s="466">
        <v>128864</v>
      </c>
      <c r="E16" s="466">
        <v>16124</v>
      </c>
      <c r="F16" s="466">
        <v>4568</v>
      </c>
      <c r="G16" s="466"/>
      <c r="H16" s="466">
        <v>238</v>
      </c>
      <c r="I16" s="467"/>
      <c r="J16" s="467"/>
      <c r="K16" s="1691">
        <f t="shared" si="0"/>
        <v>1219791</v>
      </c>
      <c r="L16" s="466">
        <v>1210024</v>
      </c>
    </row>
    <row r="17" spans="1:12" x14ac:dyDescent="0.2">
      <c r="A17" s="1526" t="s">
        <v>748</v>
      </c>
      <c r="B17" s="615" t="s">
        <v>164</v>
      </c>
      <c r="C17" s="467"/>
      <c r="D17" s="467"/>
      <c r="E17" s="467"/>
      <c r="F17" s="467"/>
      <c r="G17" s="467"/>
      <c r="H17" s="467"/>
      <c r="I17" s="467"/>
      <c r="J17" s="467"/>
      <c r="K17" s="1691">
        <f t="shared" si="0"/>
        <v>0</v>
      </c>
      <c r="L17" s="466">
        <v>0</v>
      </c>
    </row>
    <row r="18" spans="1:12" x14ac:dyDescent="0.2">
      <c r="A18" s="1526" t="s">
        <v>1148</v>
      </c>
      <c r="B18" s="615">
        <v>1800</v>
      </c>
      <c r="C18" s="466">
        <v>2597445</v>
      </c>
      <c r="D18" s="466">
        <v>423122</v>
      </c>
      <c r="E18" s="466">
        <v>5707</v>
      </c>
      <c r="F18" s="466">
        <v>37074</v>
      </c>
      <c r="G18" s="466"/>
      <c r="H18" s="466"/>
      <c r="I18" s="467"/>
      <c r="J18" s="467"/>
      <c r="K18" s="1691">
        <f t="shared" si="0"/>
        <v>3063348</v>
      </c>
      <c r="L18" s="466">
        <v>2937765</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v>4040074</v>
      </c>
      <c r="I22" s="617"/>
      <c r="J22" s="477"/>
      <c r="K22" s="1691">
        <f t="shared" si="0"/>
        <v>4040074</v>
      </c>
      <c r="L22" s="471">
        <v>4220000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28460361</v>
      </c>
      <c r="D33" s="1690">
        <f t="shared" ref="D33:L33" si="1">SUM(D5:D32)</f>
        <v>4396463</v>
      </c>
      <c r="E33" s="1690">
        <f t="shared" si="1"/>
        <v>981810</v>
      </c>
      <c r="F33" s="1690">
        <f t="shared" si="1"/>
        <v>846004</v>
      </c>
      <c r="G33" s="1690">
        <f t="shared" si="1"/>
        <v>26533</v>
      </c>
      <c r="H33" s="1690">
        <f t="shared" si="1"/>
        <v>4054818</v>
      </c>
      <c r="I33" s="1690">
        <f t="shared" si="1"/>
        <v>0</v>
      </c>
      <c r="J33" s="1690">
        <f t="shared" si="1"/>
        <v>38229</v>
      </c>
      <c r="K33" s="1690">
        <f t="shared" si="1"/>
        <v>38804218</v>
      </c>
      <c r="L33" s="1690">
        <f t="shared" si="1"/>
        <v>40678939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1740793</v>
      </c>
      <c r="D36" s="481">
        <v>244836</v>
      </c>
      <c r="E36" s="481">
        <v>500</v>
      </c>
      <c r="F36" s="481">
        <v>4032</v>
      </c>
      <c r="G36" s="481"/>
      <c r="H36" s="481"/>
      <c r="I36" s="467"/>
      <c r="J36" s="467"/>
      <c r="K36" s="1691">
        <f t="shared" ref="K36:K41" si="2">SUM(C36:J36)</f>
        <v>1990161</v>
      </c>
      <c r="L36" s="466">
        <v>2083653</v>
      </c>
    </row>
    <row r="37" spans="1:14" x14ac:dyDescent="0.2">
      <c r="A37" s="1526" t="s">
        <v>1151</v>
      </c>
      <c r="B37" s="615">
        <v>2120</v>
      </c>
      <c r="C37" s="466"/>
      <c r="D37" s="466"/>
      <c r="E37" s="466">
        <v>9922</v>
      </c>
      <c r="F37" s="466">
        <v>355</v>
      </c>
      <c r="G37" s="466"/>
      <c r="H37" s="466"/>
      <c r="I37" s="467"/>
      <c r="J37" s="467"/>
      <c r="K37" s="1691">
        <f t="shared" si="2"/>
        <v>10277</v>
      </c>
      <c r="L37" s="466">
        <v>11500</v>
      </c>
    </row>
    <row r="38" spans="1:14" x14ac:dyDescent="0.2">
      <c r="A38" s="1526" t="s">
        <v>207</v>
      </c>
      <c r="B38" s="615">
        <v>2130</v>
      </c>
      <c r="C38" s="466">
        <v>371122</v>
      </c>
      <c r="D38" s="466">
        <v>78973</v>
      </c>
      <c r="E38" s="466">
        <v>1440</v>
      </c>
      <c r="F38" s="466">
        <v>5886</v>
      </c>
      <c r="G38" s="466"/>
      <c r="H38" s="466"/>
      <c r="I38" s="467"/>
      <c r="J38" s="467"/>
      <c r="K38" s="1691">
        <f t="shared" si="2"/>
        <v>457421</v>
      </c>
      <c r="L38" s="466">
        <v>369523</v>
      </c>
    </row>
    <row r="39" spans="1:14" x14ac:dyDescent="0.2">
      <c r="A39" s="1526" t="s">
        <v>208</v>
      </c>
      <c r="B39" s="615">
        <v>2140</v>
      </c>
      <c r="C39" s="466">
        <v>586638</v>
      </c>
      <c r="D39" s="466">
        <v>86894</v>
      </c>
      <c r="E39" s="466">
        <v>2090</v>
      </c>
      <c r="F39" s="466">
        <v>1872</v>
      </c>
      <c r="G39" s="466"/>
      <c r="H39" s="466"/>
      <c r="I39" s="467"/>
      <c r="J39" s="467"/>
      <c r="K39" s="1691">
        <f t="shared" si="2"/>
        <v>677494</v>
      </c>
      <c r="L39" s="466">
        <v>621127</v>
      </c>
    </row>
    <row r="40" spans="1:14" x14ac:dyDescent="0.2">
      <c r="A40" s="1526" t="s">
        <v>209</v>
      </c>
      <c r="B40" s="615">
        <v>2150</v>
      </c>
      <c r="C40" s="466">
        <v>1603398</v>
      </c>
      <c r="D40" s="466">
        <v>204866</v>
      </c>
      <c r="E40" s="466">
        <v>1400</v>
      </c>
      <c r="F40" s="466">
        <v>3105</v>
      </c>
      <c r="G40" s="466"/>
      <c r="H40" s="466"/>
      <c r="I40" s="467"/>
      <c r="J40" s="467"/>
      <c r="K40" s="1691">
        <f t="shared" si="2"/>
        <v>1812769</v>
      </c>
      <c r="L40" s="466">
        <v>1737521</v>
      </c>
    </row>
    <row r="41" spans="1:14" x14ac:dyDescent="0.2">
      <c r="A41" s="1526" t="s">
        <v>1768</v>
      </c>
      <c r="B41" s="615">
        <v>2190</v>
      </c>
      <c r="C41" s="466"/>
      <c r="D41" s="466"/>
      <c r="E41" s="466"/>
      <c r="F41" s="466"/>
      <c r="G41" s="466"/>
      <c r="H41" s="466"/>
      <c r="I41" s="467"/>
      <c r="J41" s="467"/>
      <c r="K41" s="1691">
        <f t="shared" si="2"/>
        <v>0</v>
      </c>
      <c r="L41" s="466">
        <v>0</v>
      </c>
    </row>
    <row r="42" spans="1:14" ht="12.75" customHeight="1" thickBot="1" x14ac:dyDescent="0.25">
      <c r="A42" s="1688" t="s">
        <v>581</v>
      </c>
      <c r="B42" s="1689" t="s">
        <v>740</v>
      </c>
      <c r="C42" s="1690">
        <f>SUM(C36:C41)</f>
        <v>4301951</v>
      </c>
      <c r="D42" s="1690">
        <f t="shared" ref="D42:L42" si="3">SUM(D36:D41)</f>
        <v>615569</v>
      </c>
      <c r="E42" s="1690">
        <f t="shared" si="3"/>
        <v>15352</v>
      </c>
      <c r="F42" s="1690">
        <f t="shared" si="3"/>
        <v>15250</v>
      </c>
      <c r="G42" s="1690">
        <f t="shared" si="3"/>
        <v>0</v>
      </c>
      <c r="H42" s="1690">
        <f t="shared" si="3"/>
        <v>0</v>
      </c>
      <c r="I42" s="1690">
        <f t="shared" si="3"/>
        <v>0</v>
      </c>
      <c r="J42" s="1690">
        <f t="shared" si="3"/>
        <v>0</v>
      </c>
      <c r="K42" s="1690">
        <f t="shared" si="3"/>
        <v>4948122</v>
      </c>
      <c r="L42" s="1690">
        <f t="shared" si="3"/>
        <v>4823324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1230792</v>
      </c>
      <c r="D44" s="481">
        <v>176084</v>
      </c>
      <c r="E44" s="481">
        <v>71101</v>
      </c>
      <c r="F44" s="481">
        <v>1593</v>
      </c>
      <c r="G44" s="481"/>
      <c r="H44" s="481">
        <v>1045</v>
      </c>
      <c r="I44" s="467"/>
      <c r="J44" s="467"/>
      <c r="K44" s="1692">
        <f>SUM(C44:J44)</f>
        <v>1480615</v>
      </c>
      <c r="L44" s="481">
        <v>1510181</v>
      </c>
    </row>
    <row r="45" spans="1:14" x14ac:dyDescent="0.2">
      <c r="A45" s="1526" t="s">
        <v>869</v>
      </c>
      <c r="B45" s="615">
        <v>2220</v>
      </c>
      <c r="C45" s="466">
        <v>2274142</v>
      </c>
      <c r="D45" s="466">
        <v>324491</v>
      </c>
      <c r="E45" s="466">
        <v>182440</v>
      </c>
      <c r="F45" s="466">
        <v>374829</v>
      </c>
      <c r="G45" s="466">
        <v>1110145</v>
      </c>
      <c r="H45" s="466"/>
      <c r="I45" s="467"/>
      <c r="J45" s="467">
        <v>11846</v>
      </c>
      <c r="K45" s="1692">
        <f>SUM(C45:J45)</f>
        <v>4277893</v>
      </c>
      <c r="L45" s="466">
        <v>3863514</v>
      </c>
    </row>
    <row r="46" spans="1:14" x14ac:dyDescent="0.2">
      <c r="A46" s="1526" t="s">
        <v>870</v>
      </c>
      <c r="B46" s="615">
        <v>2230</v>
      </c>
      <c r="C46" s="466">
        <v>2643</v>
      </c>
      <c r="D46" s="466">
        <v>306</v>
      </c>
      <c r="E46" s="466">
        <v>100401</v>
      </c>
      <c r="F46" s="466">
        <v>17976</v>
      </c>
      <c r="G46" s="466"/>
      <c r="H46" s="466"/>
      <c r="I46" s="467"/>
      <c r="J46" s="467"/>
      <c r="K46" s="1692">
        <f>SUM(C46:J46)</f>
        <v>121326</v>
      </c>
      <c r="L46" s="466">
        <v>132000</v>
      </c>
    </row>
    <row r="47" spans="1:14" ht="12.75" customHeight="1" thickBot="1" x14ac:dyDescent="0.25">
      <c r="A47" s="1688" t="s">
        <v>582</v>
      </c>
      <c r="B47" s="1689" t="s">
        <v>32</v>
      </c>
      <c r="C47" s="1690">
        <f>SUM(C44:C46)</f>
        <v>3507577</v>
      </c>
      <c r="D47" s="1690">
        <f t="shared" ref="D47:K47" si="4">SUM(D44:D46)</f>
        <v>500881</v>
      </c>
      <c r="E47" s="1690">
        <f t="shared" si="4"/>
        <v>353942</v>
      </c>
      <c r="F47" s="1690">
        <f t="shared" si="4"/>
        <v>394398</v>
      </c>
      <c r="G47" s="1690">
        <f t="shared" si="4"/>
        <v>1110145</v>
      </c>
      <c r="H47" s="1690">
        <f t="shared" si="4"/>
        <v>1045</v>
      </c>
      <c r="I47" s="1690">
        <f t="shared" si="4"/>
        <v>0</v>
      </c>
      <c r="J47" s="1690">
        <f t="shared" si="4"/>
        <v>11846</v>
      </c>
      <c r="K47" s="1690">
        <f t="shared" si="4"/>
        <v>5879834</v>
      </c>
      <c r="L47" s="1690">
        <f>SUM(L44:L46)</f>
        <v>5505695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223044</v>
      </c>
      <c r="F49" s="481">
        <v>9000</v>
      </c>
      <c r="G49" s="481"/>
      <c r="H49" s="481">
        <v>21922</v>
      </c>
      <c r="I49" s="467"/>
      <c r="J49" s="467"/>
      <c r="K49" s="1692">
        <f>SUM(C49:J49)</f>
        <v>253966</v>
      </c>
      <c r="L49" s="481">
        <v>368000</v>
      </c>
    </row>
    <row r="50" spans="1:14" x14ac:dyDescent="0.2">
      <c r="A50" s="1526" t="s">
        <v>872</v>
      </c>
      <c r="B50" s="615">
        <v>2320</v>
      </c>
      <c r="C50" s="466">
        <v>314074</v>
      </c>
      <c r="D50" s="466">
        <v>81545</v>
      </c>
      <c r="E50" s="466">
        <v>10129</v>
      </c>
      <c r="F50" s="466">
        <v>847</v>
      </c>
      <c r="G50" s="466">
        <v>1752</v>
      </c>
      <c r="H50" s="466">
        <v>10703</v>
      </c>
      <c r="I50" s="467"/>
      <c r="J50" s="467"/>
      <c r="K50" s="1692">
        <f>SUM(C50:J50)</f>
        <v>419050</v>
      </c>
      <c r="L50" s="466">
        <v>397902</v>
      </c>
    </row>
    <row r="51" spans="1:14" x14ac:dyDescent="0.2">
      <c r="A51" s="1526" t="s">
        <v>44</v>
      </c>
      <c r="B51" s="615">
        <v>2330</v>
      </c>
      <c r="C51" s="466">
        <v>13883</v>
      </c>
      <c r="D51" s="466"/>
      <c r="E51" s="466">
        <v>5363</v>
      </c>
      <c r="F51" s="466">
        <v>2</v>
      </c>
      <c r="G51" s="466"/>
      <c r="H51" s="466"/>
      <c r="I51" s="467"/>
      <c r="J51" s="467"/>
      <c r="K51" s="1692">
        <f>SUM(C51:J51)</f>
        <v>19248</v>
      </c>
      <c r="L51" s="466">
        <v>6000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327957</v>
      </c>
      <c r="D53" s="1690">
        <f t="shared" ref="D53:L53" si="5">SUM(D49:D52)</f>
        <v>81545</v>
      </c>
      <c r="E53" s="1690">
        <f t="shared" si="5"/>
        <v>238536</v>
      </c>
      <c r="F53" s="1690">
        <f t="shared" si="5"/>
        <v>9849</v>
      </c>
      <c r="G53" s="1690">
        <f t="shared" si="5"/>
        <v>1752</v>
      </c>
      <c r="H53" s="1690">
        <f t="shared" si="5"/>
        <v>32625</v>
      </c>
      <c r="I53" s="1690">
        <f t="shared" si="5"/>
        <v>0</v>
      </c>
      <c r="J53" s="1690">
        <f t="shared" si="5"/>
        <v>0</v>
      </c>
      <c r="K53" s="1690">
        <f t="shared" si="5"/>
        <v>692264</v>
      </c>
      <c r="L53" s="1690">
        <f t="shared" si="5"/>
        <v>771902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1906977</v>
      </c>
      <c r="D55" s="481">
        <v>407427</v>
      </c>
      <c r="E55" s="481">
        <v>2014</v>
      </c>
      <c r="F55" s="481">
        <v>46105</v>
      </c>
      <c r="G55" s="481">
        <v>8045</v>
      </c>
      <c r="H55" s="481">
        <v>6936</v>
      </c>
      <c r="I55" s="467"/>
      <c r="J55" s="467"/>
      <c r="K55" s="1692">
        <f>SUM(C55:J55)</f>
        <v>2377504</v>
      </c>
      <c r="L55" s="481">
        <v>2375147</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1906977</v>
      </c>
      <c r="D57" s="1694">
        <f t="shared" ref="D57:K57" si="6">SUM(D55:D56)</f>
        <v>407427</v>
      </c>
      <c r="E57" s="1694">
        <f t="shared" si="6"/>
        <v>2014</v>
      </c>
      <c r="F57" s="1694">
        <f t="shared" si="6"/>
        <v>46105</v>
      </c>
      <c r="G57" s="1694">
        <f t="shared" si="6"/>
        <v>8045</v>
      </c>
      <c r="H57" s="1694">
        <f t="shared" si="6"/>
        <v>6936</v>
      </c>
      <c r="I57" s="1694">
        <f t="shared" si="6"/>
        <v>0</v>
      </c>
      <c r="J57" s="1694">
        <f t="shared" si="6"/>
        <v>0</v>
      </c>
      <c r="K57" s="1694">
        <f t="shared" si="6"/>
        <v>2377504</v>
      </c>
      <c r="L57" s="1690">
        <f>SUM(L55:L56)</f>
        <v>2375147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235457</v>
      </c>
      <c r="D59" s="481">
        <v>35861</v>
      </c>
      <c r="E59" s="481">
        <v>20105</v>
      </c>
      <c r="F59" s="481">
        <v>5167</v>
      </c>
      <c r="G59" s="481">
        <v>8861</v>
      </c>
      <c r="H59" s="481">
        <v>3161</v>
      </c>
      <c r="I59" s="467"/>
      <c r="J59" s="467"/>
      <c r="K59" s="1692">
        <f t="shared" ref="K59:K64" si="7">SUM(C59:J59)</f>
        <v>308612</v>
      </c>
      <c r="L59" s="481">
        <v>307597</v>
      </c>
      <c r="M59" s="610"/>
      <c r="N59" s="610"/>
    </row>
    <row r="60" spans="1:14" s="343" customFormat="1" x14ac:dyDescent="0.2">
      <c r="A60" s="1526" t="s">
        <v>483</v>
      </c>
      <c r="B60" s="615">
        <v>2520</v>
      </c>
      <c r="C60" s="466">
        <v>288872</v>
      </c>
      <c r="D60" s="466">
        <v>48529</v>
      </c>
      <c r="E60" s="466">
        <v>7117</v>
      </c>
      <c r="F60" s="466">
        <v>15893</v>
      </c>
      <c r="G60" s="466"/>
      <c r="H60" s="466"/>
      <c r="I60" s="467"/>
      <c r="J60" s="467"/>
      <c r="K60" s="1692">
        <f t="shared" si="7"/>
        <v>360411</v>
      </c>
      <c r="L60" s="466">
        <v>386660</v>
      </c>
      <c r="M60" s="610"/>
      <c r="N60" s="610"/>
    </row>
    <row r="61" spans="1:14" s="343" customFormat="1" x14ac:dyDescent="0.2">
      <c r="A61" s="1526" t="s">
        <v>206</v>
      </c>
      <c r="B61" s="615">
        <v>2540</v>
      </c>
      <c r="C61" s="466"/>
      <c r="D61" s="466"/>
      <c r="E61" s="466"/>
      <c r="F61" s="466"/>
      <c r="G61" s="466"/>
      <c r="H61" s="466"/>
      <c r="I61" s="467"/>
      <c r="J61" s="467"/>
      <c r="K61" s="1692">
        <f t="shared" si="7"/>
        <v>0</v>
      </c>
      <c r="L61" s="466">
        <v>0</v>
      </c>
      <c r="M61" s="610"/>
      <c r="N61" s="610"/>
    </row>
    <row r="62" spans="1:14" s="343" customFormat="1" x14ac:dyDescent="0.2">
      <c r="A62" s="1526" t="s">
        <v>1010</v>
      </c>
      <c r="B62" s="615">
        <v>2550</v>
      </c>
      <c r="C62" s="466"/>
      <c r="D62" s="466"/>
      <c r="E62" s="466">
        <v>33167</v>
      </c>
      <c r="F62" s="466"/>
      <c r="G62" s="466"/>
      <c r="H62" s="466"/>
      <c r="I62" s="467"/>
      <c r="J62" s="467"/>
      <c r="K62" s="1692">
        <f t="shared" si="7"/>
        <v>33167</v>
      </c>
      <c r="L62" s="466">
        <v>40000</v>
      </c>
      <c r="M62" s="610"/>
      <c r="N62" s="610"/>
    </row>
    <row r="63" spans="1:14" s="610" customFormat="1" x14ac:dyDescent="0.2">
      <c r="A63" s="1526" t="s">
        <v>102</v>
      </c>
      <c r="B63" s="615">
        <v>2560</v>
      </c>
      <c r="C63" s="466">
        <v>605958</v>
      </c>
      <c r="D63" s="466">
        <v>212097</v>
      </c>
      <c r="E63" s="466">
        <v>59165</v>
      </c>
      <c r="F63" s="466">
        <f>607024+22035</f>
        <v>629059</v>
      </c>
      <c r="G63" s="466">
        <v>30405</v>
      </c>
      <c r="H63" s="466">
        <v>1238</v>
      </c>
      <c r="I63" s="467"/>
      <c r="J63" s="467">
        <v>6494</v>
      </c>
      <c r="K63" s="1692">
        <f t="shared" si="7"/>
        <v>1544416</v>
      </c>
      <c r="L63" s="466">
        <v>1471278</v>
      </c>
    </row>
    <row r="64" spans="1:14" s="610" customFormat="1" x14ac:dyDescent="0.2">
      <c r="A64" s="1531" t="s">
        <v>103</v>
      </c>
      <c r="B64" s="631">
        <v>2570</v>
      </c>
      <c r="C64" s="481"/>
      <c r="D64" s="481"/>
      <c r="E64" s="481">
        <v>89800</v>
      </c>
      <c r="F64" s="481">
        <v>448</v>
      </c>
      <c r="G64" s="481"/>
      <c r="H64" s="481"/>
      <c r="I64" s="467"/>
      <c r="J64" s="467"/>
      <c r="K64" s="1692">
        <f t="shared" si="7"/>
        <v>90248</v>
      </c>
      <c r="L64" s="481">
        <v>125000</v>
      </c>
    </row>
    <row r="65" spans="1:14" s="343" customFormat="1" ht="12.75" customHeight="1" thickBot="1" x14ac:dyDescent="0.25">
      <c r="A65" s="1688" t="s">
        <v>743</v>
      </c>
      <c r="B65" s="1689" t="s">
        <v>35</v>
      </c>
      <c r="C65" s="1690">
        <f>SUM(C59:C64)</f>
        <v>1130287</v>
      </c>
      <c r="D65" s="1690">
        <f t="shared" ref="D65:L65" si="8">SUM(D59:D64)</f>
        <v>296487</v>
      </c>
      <c r="E65" s="1690">
        <f t="shared" si="8"/>
        <v>209354</v>
      </c>
      <c r="F65" s="1690">
        <f t="shared" si="8"/>
        <v>650567</v>
      </c>
      <c r="G65" s="1690">
        <f t="shared" si="8"/>
        <v>39266</v>
      </c>
      <c r="H65" s="1690">
        <f t="shared" si="8"/>
        <v>4399</v>
      </c>
      <c r="I65" s="1690">
        <f t="shared" si="8"/>
        <v>0</v>
      </c>
      <c r="J65" s="1690">
        <f t="shared" si="8"/>
        <v>6494</v>
      </c>
      <c r="K65" s="1690">
        <f t="shared" si="8"/>
        <v>2336854</v>
      </c>
      <c r="L65" s="1690">
        <f t="shared" si="8"/>
        <v>2330535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v>256404</v>
      </c>
      <c r="D69" s="466">
        <v>80047</v>
      </c>
      <c r="E69" s="466">
        <v>29354</v>
      </c>
      <c r="F69" s="466">
        <v>10017</v>
      </c>
      <c r="G69" s="466"/>
      <c r="H69" s="466">
        <v>3228</v>
      </c>
      <c r="I69" s="467"/>
      <c r="J69" s="467"/>
      <c r="K69" s="1692">
        <f>SUM(C69:J69)</f>
        <v>379050</v>
      </c>
      <c r="L69" s="466">
        <v>400938</v>
      </c>
      <c r="M69" s="610"/>
      <c r="N69" s="610"/>
    </row>
    <row r="70" spans="1:14" s="343" customFormat="1" x14ac:dyDescent="0.2">
      <c r="A70" s="1526" t="s">
        <v>423</v>
      </c>
      <c r="B70" s="615">
        <v>2640</v>
      </c>
      <c r="C70" s="466">
        <v>373424</v>
      </c>
      <c r="D70" s="466">
        <v>43703</v>
      </c>
      <c r="E70" s="466">
        <f>125297+4590</f>
        <v>129887</v>
      </c>
      <c r="F70" s="466">
        <v>3197</v>
      </c>
      <c r="G70" s="466"/>
      <c r="H70" s="466">
        <v>12176</v>
      </c>
      <c r="I70" s="467"/>
      <c r="J70" s="467">
        <v>52896</v>
      </c>
      <c r="K70" s="1692">
        <f>SUM(C70:J70)</f>
        <v>615283</v>
      </c>
      <c r="L70" s="466">
        <v>613115</v>
      </c>
      <c r="M70" s="610"/>
      <c r="N70" s="610"/>
    </row>
    <row r="71" spans="1:14" s="343" customFormat="1" x14ac:dyDescent="0.2">
      <c r="A71" s="1526" t="s">
        <v>424</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629828</v>
      </c>
      <c r="D72" s="1690">
        <f t="shared" ref="D72:K72" si="9">SUM(D67:D71)</f>
        <v>123750</v>
      </c>
      <c r="E72" s="1690">
        <f t="shared" si="9"/>
        <v>159241</v>
      </c>
      <c r="F72" s="1690">
        <f t="shared" si="9"/>
        <v>13214</v>
      </c>
      <c r="G72" s="1690">
        <f t="shared" si="9"/>
        <v>0</v>
      </c>
      <c r="H72" s="1690">
        <f t="shared" si="9"/>
        <v>15404</v>
      </c>
      <c r="I72" s="1690">
        <f t="shared" si="9"/>
        <v>0</v>
      </c>
      <c r="J72" s="1690">
        <f t="shared" si="9"/>
        <v>52896</v>
      </c>
      <c r="K72" s="1690">
        <f t="shared" si="9"/>
        <v>994333</v>
      </c>
      <c r="L72" s="1690">
        <f>SUM(L67:L71)</f>
        <v>1014053</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v>0</v>
      </c>
      <c r="M73" s="610"/>
      <c r="N73" s="610"/>
    </row>
    <row r="74" spans="1:14" ht="12.75" customHeight="1" thickTop="1" thickBot="1" x14ac:dyDescent="0.25">
      <c r="A74" s="1688" t="s">
        <v>865</v>
      </c>
      <c r="B74" s="1696">
        <v>2000</v>
      </c>
      <c r="C74" s="1697">
        <f>SUM(C42,C47,C53,C57,C65,C72,C73)</f>
        <v>11804577</v>
      </c>
      <c r="D74" s="1697">
        <f t="shared" ref="D74:K74" si="10">SUM(D42,D47,D53,D57,D65,D72,D73)</f>
        <v>2025659</v>
      </c>
      <c r="E74" s="1697">
        <f t="shared" si="10"/>
        <v>978439</v>
      </c>
      <c r="F74" s="1697">
        <f t="shared" si="10"/>
        <v>1129383</v>
      </c>
      <c r="G74" s="1697">
        <f t="shared" si="10"/>
        <v>1159208</v>
      </c>
      <c r="H74" s="1697">
        <f t="shared" si="10"/>
        <v>60409</v>
      </c>
      <c r="I74" s="1697">
        <f t="shared" si="10"/>
        <v>0</v>
      </c>
      <c r="J74" s="1697">
        <f t="shared" si="10"/>
        <v>71236</v>
      </c>
      <c r="K74" s="1697">
        <f t="shared" si="10"/>
        <v>17228911</v>
      </c>
      <c r="L74" s="1697">
        <f>SUM(L42,L47,L53,L57,L65,L72,L73)</f>
        <v>16820656</v>
      </c>
    </row>
    <row r="75" spans="1:14" s="259" customFormat="1" ht="15.75" customHeight="1" thickTop="1" thickBot="1" x14ac:dyDescent="0.25">
      <c r="A75" s="1632" t="s">
        <v>49</v>
      </c>
      <c r="B75" s="1633" t="s">
        <v>596</v>
      </c>
      <c r="C75" s="573">
        <v>6167</v>
      </c>
      <c r="D75" s="573">
        <v>187</v>
      </c>
      <c r="E75" s="573">
        <v>8416</v>
      </c>
      <c r="F75" s="573">
        <v>12509</v>
      </c>
      <c r="G75" s="573"/>
      <c r="H75" s="573"/>
      <c r="I75" s="531"/>
      <c r="J75" s="531"/>
      <c r="K75" s="1690">
        <f>SUM(C75:J75)</f>
        <v>27279</v>
      </c>
      <c r="L75" s="576">
        <v>178458</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15000</v>
      </c>
      <c r="F78" s="617"/>
      <c r="G78" s="617"/>
      <c r="H78" s="635"/>
      <c r="I78" s="477"/>
      <c r="J78" s="477"/>
      <c r="K78" s="1691">
        <f t="shared" ref="K78:K83" si="11">SUM(C78:J78)</f>
        <v>15000</v>
      </c>
      <c r="L78" s="481">
        <v>20000</v>
      </c>
    </row>
    <row r="79" spans="1:14" x14ac:dyDescent="0.2">
      <c r="A79" s="1526" t="s">
        <v>322</v>
      </c>
      <c r="B79" s="615">
        <v>4120</v>
      </c>
      <c r="C79" s="617"/>
      <c r="D79" s="617"/>
      <c r="E79" s="466">
        <v>868665</v>
      </c>
      <c r="F79" s="617"/>
      <c r="G79" s="617"/>
      <c r="H79" s="466"/>
      <c r="I79" s="477"/>
      <c r="J79" s="477"/>
      <c r="K79" s="1691">
        <f t="shared" si="11"/>
        <v>868665</v>
      </c>
      <c r="L79" s="466">
        <v>815000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883665</v>
      </c>
      <c r="F84" s="617"/>
      <c r="G84" s="617"/>
      <c r="H84" s="1690">
        <f>SUM(H78:H83)</f>
        <v>0</v>
      </c>
      <c r="I84" s="477"/>
      <c r="J84" s="477"/>
      <c r="K84" s="1690">
        <f>SUM(K78:K83)</f>
        <v>883665</v>
      </c>
      <c r="L84" s="1690">
        <f>SUM(L78:L83)</f>
        <v>835000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883665</v>
      </c>
      <c r="F102" s="617"/>
      <c r="G102" s="617"/>
      <c r="H102" s="1697">
        <f>SUM(H84,H92,H100,H101)</f>
        <v>0</v>
      </c>
      <c r="I102" s="477"/>
      <c r="J102" s="477"/>
      <c r="K102" s="1697">
        <f>SUM(K84,K92,K100,K101)</f>
        <v>883665</v>
      </c>
      <c r="L102" s="1697">
        <f>SUM(L84,L92,L100,L101)</f>
        <v>835000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40271105</v>
      </c>
      <c r="D114" s="1690">
        <f t="shared" ref="D114:K114" si="13">SUM(D33,D74,D75,D102,D112,D113)</f>
        <v>6422309</v>
      </c>
      <c r="E114" s="1690">
        <f t="shared" si="13"/>
        <v>2852330</v>
      </c>
      <c r="F114" s="1690">
        <f t="shared" si="13"/>
        <v>1987896</v>
      </c>
      <c r="G114" s="1690">
        <f t="shared" si="13"/>
        <v>1185741</v>
      </c>
      <c r="H114" s="1690">
        <f>SUM(H33,H74,H75,H102,H112,H113)</f>
        <v>4115227</v>
      </c>
      <c r="I114" s="1690">
        <f t="shared" si="13"/>
        <v>0</v>
      </c>
      <c r="J114" s="1690">
        <f t="shared" si="13"/>
        <v>109465</v>
      </c>
      <c r="K114" s="1690">
        <f t="shared" si="13"/>
        <v>56944073</v>
      </c>
      <c r="L114" s="1690">
        <f>SUM(L33,L74,L75,L102,L112,L113)</f>
        <v>58513053</v>
      </c>
    </row>
    <row r="115" spans="1:14" ht="13.5" thickTop="1" x14ac:dyDescent="0.2">
      <c r="A115" s="2174" t="s">
        <v>1053</v>
      </c>
      <c r="B115" s="2175"/>
      <c r="C115" s="619"/>
      <c r="D115" s="619"/>
      <c r="E115" s="619"/>
      <c r="F115" s="619"/>
      <c r="G115" s="619"/>
      <c r="H115" s="619"/>
      <c r="I115" s="619"/>
      <c r="J115" s="619"/>
      <c r="K115" s="1704">
        <f>'Revenues 9-14'!C275-'Expenditures 15-22'!K114</f>
        <v>1276775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v>449649</v>
      </c>
      <c r="H123" s="466"/>
      <c r="I123" s="467"/>
      <c r="J123" s="467"/>
      <c r="K123" s="1690">
        <f>SUM(C123:J123)</f>
        <v>449649</v>
      </c>
      <c r="L123" s="466">
        <v>220000</v>
      </c>
    </row>
    <row r="124" spans="1:14" ht="14.25" thickTop="1" thickBot="1" x14ac:dyDescent="0.25">
      <c r="A124" s="1526" t="s">
        <v>206</v>
      </c>
      <c r="B124" s="615">
        <v>2540</v>
      </c>
      <c r="C124" s="466">
        <v>1945178</v>
      </c>
      <c r="D124" s="466">
        <v>468960</v>
      </c>
      <c r="E124" s="466">
        <f>554508+34768+5520</f>
        <v>594796</v>
      </c>
      <c r="F124" s="466">
        <f>1240055+18064+4590</f>
        <v>1262709</v>
      </c>
      <c r="G124" s="466">
        <f>177284+9538+14910</f>
        <v>201732</v>
      </c>
      <c r="H124" s="466">
        <v>2182</v>
      </c>
      <c r="I124" s="467"/>
      <c r="J124" s="467">
        <v>8092</v>
      </c>
      <c r="K124" s="1690">
        <f>SUM(C124:J124)</f>
        <v>4483649</v>
      </c>
      <c r="L124" s="466">
        <v>4616751</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1945178</v>
      </c>
      <c r="D127" s="1690">
        <f t="shared" ref="D127:L127" si="14">SUM(D122:D126)</f>
        <v>468960</v>
      </c>
      <c r="E127" s="1690">
        <f t="shared" si="14"/>
        <v>594796</v>
      </c>
      <c r="F127" s="1690">
        <f t="shared" si="14"/>
        <v>1262709</v>
      </c>
      <c r="G127" s="1690">
        <f t="shared" si="14"/>
        <v>651381</v>
      </c>
      <c r="H127" s="1690">
        <f t="shared" si="14"/>
        <v>2182</v>
      </c>
      <c r="I127" s="1690">
        <f t="shared" si="14"/>
        <v>0</v>
      </c>
      <c r="J127" s="1690">
        <f t="shared" si="14"/>
        <v>8092</v>
      </c>
      <c r="K127" s="1690">
        <f t="shared" si="14"/>
        <v>4933298</v>
      </c>
      <c r="L127" s="1690">
        <f t="shared" si="14"/>
        <v>4836751</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1945178</v>
      </c>
      <c r="D129" s="1697">
        <f t="shared" ref="D129:L129" si="15">SUM(D120,D127,D128)</f>
        <v>468960</v>
      </c>
      <c r="E129" s="1697">
        <f t="shared" si="15"/>
        <v>594796</v>
      </c>
      <c r="F129" s="1697">
        <f t="shared" si="15"/>
        <v>1262709</v>
      </c>
      <c r="G129" s="1697">
        <f t="shared" si="15"/>
        <v>651381</v>
      </c>
      <c r="H129" s="1697">
        <f t="shared" si="15"/>
        <v>2182</v>
      </c>
      <c r="I129" s="1697">
        <f t="shared" si="15"/>
        <v>0</v>
      </c>
      <c r="J129" s="1697">
        <f t="shared" si="15"/>
        <v>8092</v>
      </c>
      <c r="K129" s="1697">
        <f t="shared" si="15"/>
        <v>4933298</v>
      </c>
      <c r="L129" s="1697">
        <f t="shared" si="15"/>
        <v>4836751</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1954</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1200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1200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1200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0">
        <f>SUM(C129,C130,C139,C149,C150)</f>
        <v>1945178</v>
      </c>
      <c r="D151" s="1690">
        <f t="shared" ref="D151:K151" si="16">SUM(D129,D130,D139,D149,D150)</f>
        <v>468960</v>
      </c>
      <c r="E151" s="1690">
        <f t="shared" si="16"/>
        <v>594796</v>
      </c>
      <c r="F151" s="1690">
        <f t="shared" si="16"/>
        <v>1262709</v>
      </c>
      <c r="G151" s="1690">
        <f t="shared" si="16"/>
        <v>651381</v>
      </c>
      <c r="H151" s="1690">
        <f t="shared" si="16"/>
        <v>2182</v>
      </c>
      <c r="I151" s="1690">
        <f t="shared" si="16"/>
        <v>0</v>
      </c>
      <c r="J151" s="1690">
        <f t="shared" si="16"/>
        <v>8092</v>
      </c>
      <c r="K151" s="1690">
        <f t="shared" si="16"/>
        <v>4933298</v>
      </c>
      <c r="L151" s="1690">
        <f>SUM(L129,L130,L139,L149,L150)</f>
        <v>4837951</v>
      </c>
    </row>
    <row r="152" spans="1:14" ht="12.75" customHeight="1" thickTop="1" x14ac:dyDescent="0.2">
      <c r="A152" s="2194" t="s">
        <v>1240</v>
      </c>
      <c r="B152" s="2195"/>
      <c r="C152" s="619"/>
      <c r="D152" s="619"/>
      <c r="E152" s="619"/>
      <c r="F152" s="619"/>
      <c r="G152" s="619"/>
      <c r="H152" s="619"/>
      <c r="I152" s="619"/>
      <c r="J152" s="617"/>
      <c r="K152" s="1704">
        <f>'Revenues 9-14'!D275-'Expenditures 15-22'!K151</f>
        <v>-103586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f>442305+183200</f>
        <v>625505</v>
      </c>
      <c r="I169" s="617"/>
      <c r="J169" s="617"/>
      <c r="K169" s="1691">
        <f>SUM(C169:H169)</f>
        <v>625505</v>
      </c>
      <c r="L169" s="657">
        <v>630000</v>
      </c>
    </row>
    <row r="170" spans="1:14" ht="33.75" customHeight="1" x14ac:dyDescent="0.2">
      <c r="A170" s="670" t="s">
        <v>1769</v>
      </c>
      <c r="B170" s="672" t="s">
        <v>31</v>
      </c>
      <c r="C170" s="617"/>
      <c r="D170" s="617"/>
      <c r="E170" s="617"/>
      <c r="F170" s="617"/>
      <c r="G170" s="617"/>
      <c r="H170" s="569">
        <f>2905000</f>
        <v>2905000</v>
      </c>
      <c r="I170" s="617"/>
      <c r="J170" s="617"/>
      <c r="K170" s="1691">
        <f>SUM(C170:J170)</f>
        <v>2905000</v>
      </c>
      <c r="L170" s="569">
        <v>2910000</v>
      </c>
    </row>
    <row r="171" spans="1:14" ht="15.75" customHeight="1" x14ac:dyDescent="0.2">
      <c r="A171" s="622" t="s">
        <v>790</v>
      </c>
      <c r="B171" s="673" t="s">
        <v>86</v>
      </c>
      <c r="C171" s="617"/>
      <c r="D171" s="617"/>
      <c r="E171" s="466"/>
      <c r="F171" s="617"/>
      <c r="G171" s="617"/>
      <c r="H171" s="569">
        <v>4687</v>
      </c>
      <c r="I171" s="477"/>
      <c r="J171" s="617"/>
      <c r="K171" s="1691">
        <f>SUM(C171:J171)</f>
        <v>4687</v>
      </c>
      <c r="L171" s="569">
        <v>0</v>
      </c>
    </row>
    <row r="172" spans="1:14" ht="12.75" customHeight="1" thickBot="1" x14ac:dyDescent="0.25">
      <c r="A172" s="1688" t="s">
        <v>659</v>
      </c>
      <c r="B172" s="1689" t="s">
        <v>513</v>
      </c>
      <c r="C172" s="617"/>
      <c r="D172" s="617"/>
      <c r="E172" s="1697">
        <f>SUM(E168,E169,E170,E171)</f>
        <v>0</v>
      </c>
      <c r="F172" s="617"/>
      <c r="G172" s="617"/>
      <c r="H172" s="1697">
        <f>SUM(H168,H169,H170,H171)</f>
        <v>3535192</v>
      </c>
      <c r="I172" s="639"/>
      <c r="J172" s="617"/>
      <c r="K172" s="1697">
        <f>SUM(K168,K169,K170,K171)</f>
        <v>3535192</v>
      </c>
      <c r="L172" s="1697">
        <f>SUM(L168,L169,L170,L171)</f>
        <v>3540000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3535192</v>
      </c>
      <c r="I174" s="639"/>
      <c r="J174" s="617"/>
      <c r="K174" s="1697">
        <f>SUM(K160,K172,K173)</f>
        <v>3535192</v>
      </c>
      <c r="L174" s="1697">
        <f>SUM(L160,L172,L173)</f>
        <v>3540000</v>
      </c>
    </row>
    <row r="175" spans="1:14" ht="13.5" thickTop="1" x14ac:dyDescent="0.2">
      <c r="A175" s="2174" t="s">
        <v>1053</v>
      </c>
      <c r="B175" s="2175"/>
      <c r="C175" s="617"/>
      <c r="D175" s="617"/>
      <c r="E175" s="617"/>
      <c r="F175" s="617"/>
      <c r="G175" s="617"/>
      <c r="H175" s="619"/>
      <c r="I175" s="617"/>
      <c r="J175" s="617"/>
      <c r="K175" s="1704">
        <f>'Revenues 9-14'!E275-'Expenditures 15-22'!K174</f>
        <v>118249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70888</v>
      </c>
      <c r="D182" s="466">
        <v>20780</v>
      </c>
      <c r="E182" s="466">
        <v>3794483</v>
      </c>
      <c r="F182" s="466">
        <v>8936</v>
      </c>
      <c r="G182" s="466">
        <v>805</v>
      </c>
      <c r="H182" s="466"/>
      <c r="I182" s="467"/>
      <c r="J182" s="467"/>
      <c r="K182" s="1691">
        <f>SUM(C182:J182)</f>
        <v>3895892</v>
      </c>
      <c r="L182" s="466">
        <v>3911359</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70888</v>
      </c>
      <c r="D184" s="1697">
        <f t="shared" ref="D184:J184" si="17">SUM(D180,D182,D183)</f>
        <v>20780</v>
      </c>
      <c r="E184" s="1697">
        <f t="shared" si="17"/>
        <v>3794483</v>
      </c>
      <c r="F184" s="1697">
        <f t="shared" si="17"/>
        <v>8936</v>
      </c>
      <c r="G184" s="1697">
        <f t="shared" si="17"/>
        <v>805</v>
      </c>
      <c r="H184" s="1697">
        <f t="shared" si="17"/>
        <v>0</v>
      </c>
      <c r="I184" s="1697">
        <f t="shared" si="17"/>
        <v>0</v>
      </c>
      <c r="J184" s="1697">
        <f t="shared" si="17"/>
        <v>0</v>
      </c>
      <c r="K184" s="1697">
        <f>SUM(K180,K182,K183)</f>
        <v>3895892</v>
      </c>
      <c r="L184" s="1697">
        <f>SUM(L180, L182:L183)</f>
        <v>3911359</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70888</v>
      </c>
      <c r="D210" s="1690">
        <f>SUM(D184,D185)</f>
        <v>20780</v>
      </c>
      <c r="E210" s="1690">
        <f>SUM(E184,E185,E196)</f>
        <v>3794483</v>
      </c>
      <c r="F210" s="1690">
        <f>SUM(F184,F185)</f>
        <v>8936</v>
      </c>
      <c r="G210" s="1690">
        <f>SUM(G184,G185)</f>
        <v>805</v>
      </c>
      <c r="H210" s="1690">
        <f>SUM(H184,H185,H196,H208,H209)</f>
        <v>0</v>
      </c>
      <c r="I210" s="1690">
        <f>SUM(I184,I185)</f>
        <v>0</v>
      </c>
      <c r="J210" s="1690">
        <f>SUM(J184,J185)</f>
        <v>0</v>
      </c>
      <c r="K210" s="1691">
        <f>SUM(K184,K185,K196,K208,K209)</f>
        <v>3895892</v>
      </c>
      <c r="L210" s="1690">
        <f>SUM(L184,L185,L196,L208,L209)</f>
        <v>3911359</v>
      </c>
    </row>
    <row r="211" spans="1:14" ht="13.5" thickTop="1" x14ac:dyDescent="0.2">
      <c r="A211" s="2174" t="s">
        <v>1053</v>
      </c>
      <c r="B211" s="2175"/>
      <c r="C211" s="619"/>
      <c r="D211" s="619"/>
      <c r="E211" s="619"/>
      <c r="F211" s="619"/>
      <c r="G211" s="619"/>
      <c r="H211" s="619"/>
      <c r="I211" s="617"/>
      <c r="J211" s="617"/>
      <c r="K211" s="1704">
        <f>'Revenues 9-14'!F275-'Expenditures 15-22'!K210</f>
        <v>802918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416174</v>
      </c>
      <c r="E215" s="617"/>
      <c r="F215" s="617"/>
      <c r="G215" s="617"/>
      <c r="H215" s="617"/>
      <c r="I215" s="617"/>
      <c r="J215" s="617"/>
      <c r="K215" s="1691">
        <f>D215</f>
        <v>416174</v>
      </c>
      <c r="L215" s="466">
        <v>2006766</v>
      </c>
    </row>
    <row r="216" spans="1:14" x14ac:dyDescent="0.2">
      <c r="A216" s="1526" t="s">
        <v>165</v>
      </c>
      <c r="B216" s="615" t="s">
        <v>1024</v>
      </c>
      <c r="C216" s="617"/>
      <c r="D216" s="467"/>
      <c r="E216" s="617"/>
      <c r="F216" s="617"/>
      <c r="G216" s="617"/>
      <c r="H216" s="617"/>
      <c r="I216" s="617"/>
      <c r="J216" s="617"/>
      <c r="K216" s="1691">
        <f t="shared" ref="K216:K228" si="19">D216</f>
        <v>0</v>
      </c>
      <c r="L216" s="466">
        <v>0</v>
      </c>
    </row>
    <row r="217" spans="1:14" x14ac:dyDescent="0.2">
      <c r="A217" s="1526" t="s">
        <v>166</v>
      </c>
      <c r="B217" s="615">
        <v>1200</v>
      </c>
      <c r="C217" s="617"/>
      <c r="D217" s="466">
        <v>367921</v>
      </c>
      <c r="E217" s="617"/>
      <c r="F217" s="617"/>
      <c r="G217" s="617"/>
      <c r="H217" s="617"/>
      <c r="I217" s="617"/>
      <c r="J217" s="617"/>
      <c r="K217" s="1691">
        <f t="shared" si="19"/>
        <v>367921</v>
      </c>
      <c r="L217" s="466">
        <v>0</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c r="E219" s="617"/>
      <c r="F219" s="617"/>
      <c r="G219" s="617"/>
      <c r="H219" s="617"/>
      <c r="I219" s="617"/>
      <c r="J219" s="617"/>
      <c r="K219" s="1691">
        <f t="shared" si="19"/>
        <v>0</v>
      </c>
      <c r="L219" s="466">
        <v>0</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c r="E222" s="617"/>
      <c r="F222" s="617"/>
      <c r="G222" s="617"/>
      <c r="H222" s="617"/>
      <c r="I222" s="617"/>
      <c r="J222" s="617"/>
      <c r="K222" s="1691">
        <f t="shared" si="19"/>
        <v>0</v>
      </c>
      <c r="L222" s="466">
        <v>0</v>
      </c>
    </row>
    <row r="223" spans="1:14" x14ac:dyDescent="0.2">
      <c r="A223" s="1526" t="s">
        <v>1020</v>
      </c>
      <c r="B223" s="615">
        <v>1500</v>
      </c>
      <c r="C223" s="617"/>
      <c r="D223" s="466">
        <v>7</v>
      </c>
      <c r="E223" s="617"/>
      <c r="F223" s="617"/>
      <c r="G223" s="617"/>
      <c r="H223" s="617"/>
      <c r="I223" s="617"/>
      <c r="J223" s="617"/>
      <c r="K223" s="1691">
        <f t="shared" si="19"/>
        <v>7</v>
      </c>
      <c r="L223" s="466">
        <v>0</v>
      </c>
    </row>
    <row r="224" spans="1:14" x14ac:dyDescent="0.2">
      <c r="A224" s="1526" t="s">
        <v>1021</v>
      </c>
      <c r="B224" s="615">
        <v>1600</v>
      </c>
      <c r="C224" s="617"/>
      <c r="D224" s="466">
        <v>12336</v>
      </c>
      <c r="E224" s="617"/>
      <c r="F224" s="617"/>
      <c r="G224" s="617"/>
      <c r="H224" s="617"/>
      <c r="I224" s="617"/>
      <c r="J224" s="617"/>
      <c r="K224" s="1691">
        <f t="shared" si="19"/>
        <v>12336</v>
      </c>
      <c r="L224" s="466">
        <v>0</v>
      </c>
    </row>
    <row r="225" spans="1:12" x14ac:dyDescent="0.2">
      <c r="A225" s="1526" t="s">
        <v>1044</v>
      </c>
      <c r="B225" s="615">
        <v>1650</v>
      </c>
      <c r="C225" s="617"/>
      <c r="D225" s="466">
        <v>15113</v>
      </c>
      <c r="E225" s="617"/>
      <c r="F225" s="617"/>
      <c r="G225" s="617"/>
      <c r="H225" s="617"/>
      <c r="I225" s="617"/>
      <c r="J225" s="617"/>
      <c r="K225" s="1691">
        <f t="shared" si="19"/>
        <v>15113</v>
      </c>
      <c r="L225" s="466">
        <v>0</v>
      </c>
    </row>
    <row r="226" spans="1:12" x14ac:dyDescent="0.2">
      <c r="A226" s="1526" t="s">
        <v>748</v>
      </c>
      <c r="B226" s="615" t="s">
        <v>164</v>
      </c>
      <c r="C226" s="617"/>
      <c r="D226" s="467"/>
      <c r="E226" s="617"/>
      <c r="F226" s="617"/>
      <c r="G226" s="617"/>
      <c r="H226" s="617"/>
      <c r="I226" s="617"/>
      <c r="J226" s="617"/>
      <c r="K226" s="1691">
        <f t="shared" si="19"/>
        <v>0</v>
      </c>
      <c r="L226" s="466">
        <v>0</v>
      </c>
    </row>
    <row r="227" spans="1:12" x14ac:dyDescent="0.2">
      <c r="A227" s="1526" t="s">
        <v>1148</v>
      </c>
      <c r="B227" s="615">
        <v>1800</v>
      </c>
      <c r="C227" s="617"/>
      <c r="D227" s="466">
        <v>76058</v>
      </c>
      <c r="E227" s="617"/>
      <c r="F227" s="617"/>
      <c r="G227" s="617"/>
      <c r="H227" s="617"/>
      <c r="I227" s="617"/>
      <c r="J227" s="617"/>
      <c r="K227" s="1691">
        <f t="shared" si="19"/>
        <v>76058</v>
      </c>
      <c r="L227" s="466">
        <v>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887609</v>
      </c>
      <c r="E229" s="617"/>
      <c r="F229" s="617"/>
      <c r="G229" s="617"/>
      <c r="H229" s="617"/>
      <c r="I229" s="617"/>
      <c r="J229" s="617"/>
      <c r="K229" s="1690">
        <f>SUM(K215:K228)</f>
        <v>887609</v>
      </c>
      <c r="L229" s="1690">
        <f>SUM(L215:L228)</f>
        <v>2006766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24894</v>
      </c>
      <c r="E232" s="617"/>
      <c r="F232" s="617"/>
      <c r="G232" s="617"/>
      <c r="H232" s="617"/>
      <c r="I232" s="617"/>
      <c r="J232" s="617"/>
      <c r="K232" s="1691">
        <f t="shared" ref="K232:K237" si="20">D232</f>
        <v>24894</v>
      </c>
      <c r="L232" s="466">
        <v>0</v>
      </c>
    </row>
    <row r="233" spans="1:12" x14ac:dyDescent="0.2">
      <c r="A233" s="1526" t="s">
        <v>1151</v>
      </c>
      <c r="B233" s="615">
        <v>2120</v>
      </c>
      <c r="C233" s="617"/>
      <c r="D233" s="466"/>
      <c r="E233" s="617"/>
      <c r="F233" s="617"/>
      <c r="G233" s="617"/>
      <c r="H233" s="617"/>
      <c r="I233" s="617"/>
      <c r="J233" s="617"/>
      <c r="K233" s="1691">
        <f t="shared" si="20"/>
        <v>0</v>
      </c>
      <c r="L233" s="466">
        <v>0</v>
      </c>
    </row>
    <row r="234" spans="1:12" x14ac:dyDescent="0.2">
      <c r="A234" s="1526" t="s">
        <v>207</v>
      </c>
      <c r="B234" s="615">
        <v>2130</v>
      </c>
      <c r="C234" s="617"/>
      <c r="D234" s="466">
        <v>62846</v>
      </c>
      <c r="E234" s="617"/>
      <c r="F234" s="617"/>
      <c r="G234" s="617"/>
      <c r="H234" s="617"/>
      <c r="I234" s="617"/>
      <c r="J234" s="617"/>
      <c r="K234" s="1691">
        <f t="shared" si="20"/>
        <v>62846</v>
      </c>
      <c r="L234" s="466">
        <v>0</v>
      </c>
    </row>
    <row r="235" spans="1:12" x14ac:dyDescent="0.2">
      <c r="A235" s="1526" t="s">
        <v>208</v>
      </c>
      <c r="B235" s="615">
        <v>2140</v>
      </c>
      <c r="C235" s="617"/>
      <c r="D235" s="466">
        <v>8324</v>
      </c>
      <c r="E235" s="617"/>
      <c r="F235" s="617"/>
      <c r="G235" s="617"/>
      <c r="H235" s="617"/>
      <c r="I235" s="617"/>
      <c r="J235" s="617"/>
      <c r="K235" s="1691">
        <f t="shared" si="20"/>
        <v>8324</v>
      </c>
      <c r="L235" s="466">
        <v>0</v>
      </c>
    </row>
    <row r="236" spans="1:12" x14ac:dyDescent="0.2">
      <c r="A236" s="1526" t="s">
        <v>209</v>
      </c>
      <c r="B236" s="615">
        <v>2150</v>
      </c>
      <c r="C236" s="617"/>
      <c r="D236" s="466">
        <v>22881</v>
      </c>
      <c r="E236" s="617"/>
      <c r="F236" s="617"/>
      <c r="G236" s="617"/>
      <c r="H236" s="617"/>
      <c r="I236" s="617"/>
      <c r="J236" s="617"/>
      <c r="K236" s="1691">
        <f t="shared" si="20"/>
        <v>22881</v>
      </c>
      <c r="L236" s="466">
        <v>0</v>
      </c>
    </row>
    <row r="237" spans="1:12" x14ac:dyDescent="0.2">
      <c r="A237" s="1526" t="s">
        <v>167</v>
      </c>
      <c r="B237" s="615">
        <v>2190</v>
      </c>
      <c r="C237" s="617"/>
      <c r="D237" s="466"/>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118945</v>
      </c>
      <c r="E238" s="617"/>
      <c r="F238" s="617"/>
      <c r="G238" s="617"/>
      <c r="H238" s="617"/>
      <c r="I238" s="617"/>
      <c r="J238" s="617"/>
      <c r="K238" s="1690">
        <f>SUM(K232:K237)</f>
        <v>118945</v>
      </c>
      <c r="L238" s="1690">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27122</v>
      </c>
      <c r="E240" s="617"/>
      <c r="F240" s="617"/>
      <c r="G240" s="617"/>
      <c r="H240" s="617"/>
      <c r="I240" s="617"/>
      <c r="J240" s="617"/>
      <c r="K240" s="1692">
        <f>D240</f>
        <v>27122</v>
      </c>
      <c r="L240" s="481">
        <v>0</v>
      </c>
    </row>
    <row r="241" spans="1:12" x14ac:dyDescent="0.2">
      <c r="A241" s="1526" t="s">
        <v>869</v>
      </c>
      <c r="B241" s="615">
        <v>2220</v>
      </c>
      <c r="C241" s="617"/>
      <c r="D241" s="466">
        <v>149314</v>
      </c>
      <c r="E241" s="617"/>
      <c r="F241" s="617"/>
      <c r="G241" s="617"/>
      <c r="H241" s="617"/>
      <c r="I241" s="617"/>
      <c r="J241" s="617"/>
      <c r="K241" s="1692">
        <f>D241</f>
        <v>149314</v>
      </c>
      <c r="L241" s="466">
        <v>0</v>
      </c>
    </row>
    <row r="242" spans="1:12" x14ac:dyDescent="0.2">
      <c r="A242" s="1526" t="s">
        <v>870</v>
      </c>
      <c r="B242" s="615">
        <v>2230</v>
      </c>
      <c r="C242" s="617"/>
      <c r="D242" s="466">
        <v>38</v>
      </c>
      <c r="E242" s="617"/>
      <c r="F242" s="617"/>
      <c r="G242" s="617"/>
      <c r="H242" s="617"/>
      <c r="I242" s="617"/>
      <c r="J242" s="617"/>
      <c r="K242" s="1692">
        <f>D242</f>
        <v>38</v>
      </c>
      <c r="L242" s="466">
        <v>0</v>
      </c>
    </row>
    <row r="243" spans="1:12" ht="12.75" customHeight="1" thickBot="1" x14ac:dyDescent="0.25">
      <c r="A243" s="1714" t="s">
        <v>582</v>
      </c>
      <c r="B243" s="1715">
        <v>2200</v>
      </c>
      <c r="C243" s="617"/>
      <c r="D243" s="1690">
        <f>SUM(D240:D242)</f>
        <v>176474</v>
      </c>
      <c r="E243" s="617"/>
      <c r="F243" s="617"/>
      <c r="G243" s="617"/>
      <c r="H243" s="617"/>
      <c r="I243" s="617"/>
      <c r="J243" s="617"/>
      <c r="K243" s="1690">
        <f>SUM(K240:K242)</f>
        <v>176474</v>
      </c>
      <c r="L243" s="1690">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v>0</v>
      </c>
    </row>
    <row r="246" spans="1:12" x14ac:dyDescent="0.2">
      <c r="A246" s="1526" t="s">
        <v>872</v>
      </c>
      <c r="B246" s="615">
        <v>2320</v>
      </c>
      <c r="C246" s="617"/>
      <c r="D246" s="466">
        <v>16257</v>
      </c>
      <c r="E246" s="617"/>
      <c r="F246" s="617"/>
      <c r="G246" s="617"/>
      <c r="H246" s="617"/>
      <c r="I246" s="617"/>
      <c r="J246" s="617"/>
      <c r="K246" s="1692">
        <f t="shared" ref="K246:K256" si="21">D246</f>
        <v>16257</v>
      </c>
      <c r="L246" s="466">
        <v>0</v>
      </c>
    </row>
    <row r="247" spans="1:12" x14ac:dyDescent="0.2">
      <c r="A247" s="1526" t="s">
        <v>873</v>
      </c>
      <c r="B247" s="615">
        <v>2330</v>
      </c>
      <c r="C247" s="617"/>
      <c r="D247" s="466">
        <v>1700</v>
      </c>
      <c r="E247" s="617"/>
      <c r="F247" s="617"/>
      <c r="G247" s="617"/>
      <c r="H247" s="617"/>
      <c r="I247" s="617"/>
      <c r="J247" s="617"/>
      <c r="K247" s="1692">
        <f t="shared" si="21"/>
        <v>1700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1905</v>
      </c>
      <c r="B249" s="684" t="s">
        <v>300</v>
      </c>
      <c r="C249" s="617"/>
      <c r="D249" s="474"/>
      <c r="E249" s="617"/>
      <c r="F249" s="617"/>
      <c r="G249" s="617"/>
      <c r="H249" s="617"/>
      <c r="I249" s="617"/>
      <c r="J249" s="617"/>
      <c r="K249" s="1692">
        <f t="shared" si="21"/>
        <v>0</v>
      </c>
      <c r="L249" s="466">
        <v>0</v>
      </c>
    </row>
    <row r="250" spans="1:12" x14ac:dyDescent="0.2">
      <c r="A250" s="1527" t="s">
        <v>1906</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17957</v>
      </c>
      <c r="E257" s="617"/>
      <c r="F257" s="617"/>
      <c r="G257" s="617"/>
      <c r="H257" s="617"/>
      <c r="I257" s="617"/>
      <c r="J257" s="617"/>
      <c r="K257" s="1690">
        <f>SUM(K245:K256)</f>
        <v>17957</v>
      </c>
      <c r="L257" s="1690">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113001</v>
      </c>
      <c r="E259" s="617"/>
      <c r="F259" s="617"/>
      <c r="G259" s="617"/>
      <c r="H259" s="617"/>
      <c r="I259" s="617"/>
      <c r="J259" s="617"/>
      <c r="K259" s="1692">
        <f>D259</f>
        <v>113001</v>
      </c>
      <c r="L259" s="481">
        <v>0</v>
      </c>
    </row>
    <row r="260" spans="1:14" s="598" customFormat="1" x14ac:dyDescent="0.2">
      <c r="A260" s="1544" t="s">
        <v>1904</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113001</v>
      </c>
      <c r="E261" s="617"/>
      <c r="F261" s="617"/>
      <c r="G261" s="617"/>
      <c r="H261" s="617"/>
      <c r="I261" s="617"/>
      <c r="J261" s="617"/>
      <c r="K261" s="1690">
        <f>SUM(K259:K260)</f>
        <v>113001</v>
      </c>
      <c r="L261" s="1690">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11310</v>
      </c>
      <c r="E263" s="617"/>
      <c r="F263" s="617"/>
      <c r="G263" s="617"/>
      <c r="H263" s="617"/>
      <c r="I263" s="617"/>
      <c r="J263" s="617"/>
      <c r="K263" s="1692">
        <f>D263</f>
        <v>11310</v>
      </c>
      <c r="L263" s="481">
        <v>0</v>
      </c>
    </row>
    <row r="264" spans="1:14" x14ac:dyDescent="0.2">
      <c r="A264" s="1526" t="s">
        <v>483</v>
      </c>
      <c r="B264" s="686">
        <v>2520</v>
      </c>
      <c r="C264" s="617"/>
      <c r="D264" s="466">
        <v>50498</v>
      </c>
      <c r="E264" s="617"/>
      <c r="F264" s="617"/>
      <c r="G264" s="617"/>
      <c r="H264" s="617"/>
      <c r="I264" s="617"/>
      <c r="J264" s="617"/>
      <c r="K264" s="1692">
        <f t="shared" ref="K264:K269" si="22">D264</f>
        <v>50498</v>
      </c>
      <c r="L264" s="466">
        <v>0</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336496</v>
      </c>
      <c r="E266" s="617"/>
      <c r="F266" s="617"/>
      <c r="G266" s="617"/>
      <c r="H266" s="617"/>
      <c r="I266" s="617"/>
      <c r="J266" s="617"/>
      <c r="K266" s="1692">
        <f t="shared" si="22"/>
        <v>336496</v>
      </c>
      <c r="L266" s="466">
        <v>0</v>
      </c>
    </row>
    <row r="267" spans="1:14" x14ac:dyDescent="0.2">
      <c r="A267" s="1526" t="s">
        <v>1010</v>
      </c>
      <c r="B267" s="615">
        <v>2550</v>
      </c>
      <c r="C267" s="617"/>
      <c r="D267" s="466">
        <v>12282</v>
      </c>
      <c r="E267" s="617"/>
      <c r="F267" s="617"/>
      <c r="G267" s="617"/>
      <c r="H267" s="617"/>
      <c r="I267" s="617"/>
      <c r="J267" s="617"/>
      <c r="K267" s="1692">
        <f t="shared" si="22"/>
        <v>12282</v>
      </c>
      <c r="L267" s="466">
        <v>0</v>
      </c>
    </row>
    <row r="268" spans="1:14" x14ac:dyDescent="0.2">
      <c r="A268" s="1526" t="s">
        <v>102</v>
      </c>
      <c r="B268" s="615">
        <v>2560</v>
      </c>
      <c r="C268" s="617"/>
      <c r="D268" s="466">
        <v>102622</v>
      </c>
      <c r="E268" s="617"/>
      <c r="F268" s="617"/>
      <c r="G268" s="617"/>
      <c r="H268" s="617"/>
      <c r="I268" s="617"/>
      <c r="J268" s="617"/>
      <c r="K268" s="1692">
        <f t="shared" si="22"/>
        <v>102622</v>
      </c>
      <c r="L268" s="466">
        <v>0</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513208</v>
      </c>
      <c r="E270" s="617"/>
      <c r="F270" s="617"/>
      <c r="G270" s="617"/>
      <c r="H270" s="617"/>
      <c r="I270" s="617"/>
      <c r="J270" s="617"/>
      <c r="K270" s="1690">
        <f>SUM(K263:K269)</f>
        <v>513208</v>
      </c>
      <c r="L270" s="1690">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v>45581</v>
      </c>
      <c r="E274" s="617"/>
      <c r="F274" s="617"/>
      <c r="G274" s="617"/>
      <c r="H274" s="617"/>
      <c r="I274" s="617"/>
      <c r="J274" s="617"/>
      <c r="K274" s="1692">
        <f>D274</f>
        <v>45581</v>
      </c>
      <c r="L274" s="466">
        <v>0</v>
      </c>
    </row>
    <row r="275" spans="1:12" x14ac:dyDescent="0.2">
      <c r="A275" s="1526" t="s">
        <v>423</v>
      </c>
      <c r="B275" s="615">
        <v>2640</v>
      </c>
      <c r="C275" s="617"/>
      <c r="D275" s="466">
        <v>34624</v>
      </c>
      <c r="E275" s="617"/>
      <c r="F275" s="617"/>
      <c r="G275" s="617"/>
      <c r="H275" s="617"/>
      <c r="I275" s="617"/>
      <c r="J275" s="617"/>
      <c r="K275" s="1692">
        <f>D275</f>
        <v>34624</v>
      </c>
      <c r="L275" s="466">
        <v>0</v>
      </c>
    </row>
    <row r="276" spans="1:12" x14ac:dyDescent="0.2">
      <c r="A276" s="1526"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80205</v>
      </c>
      <c r="E277" s="617"/>
      <c r="F277" s="617"/>
      <c r="G277" s="617"/>
      <c r="H277" s="617"/>
      <c r="I277" s="617"/>
      <c r="J277" s="617"/>
      <c r="K277" s="1690">
        <f>SUM(K272:K276)</f>
        <v>80205</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1019790</v>
      </c>
      <c r="E279" s="617"/>
      <c r="F279" s="617"/>
      <c r="G279" s="617"/>
      <c r="H279" s="617"/>
      <c r="I279" s="617"/>
      <c r="J279" s="617"/>
      <c r="K279" s="1697">
        <f>SUM(K238,K243,K257,K261,K270,K277,K278)</f>
        <v>1019790</v>
      </c>
      <c r="L279" s="1697">
        <f>SUM(L238,L243,L257,L261,L270,L277,L278)</f>
        <v>0</v>
      </c>
    </row>
    <row r="280" spans="1:12" ht="15.75" customHeight="1" thickTop="1" thickBot="1" x14ac:dyDescent="0.25">
      <c r="A280" s="1646" t="s">
        <v>930</v>
      </c>
      <c r="B280" s="1635">
        <v>3000</v>
      </c>
      <c r="C280" s="617"/>
      <c r="D280" s="576">
        <v>115</v>
      </c>
      <c r="E280" s="617"/>
      <c r="F280" s="617"/>
      <c r="G280" s="617"/>
      <c r="H280" s="617"/>
      <c r="I280" s="617"/>
      <c r="J280" s="617"/>
      <c r="K280" s="1699">
        <f>D280</f>
        <v>115</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0">
        <f>SUM(D229,D279,D280,D285)</f>
        <v>1907514</v>
      </c>
      <c r="E295" s="617"/>
      <c r="F295" s="617"/>
      <c r="G295" s="617"/>
      <c r="H295" s="1690">
        <f>H293</f>
        <v>0</v>
      </c>
      <c r="I295" s="617"/>
      <c r="J295" s="617"/>
      <c r="K295" s="1690">
        <f>SUM(K229,K279,K280,K285,K293,K294)</f>
        <v>1907514</v>
      </c>
      <c r="L295" s="1690">
        <f>SUM(L229,L279,L280,L285,L293,L294)</f>
        <v>2006766</v>
      </c>
    </row>
    <row r="296" spans="1:14" ht="13.5" thickTop="1" x14ac:dyDescent="0.2">
      <c r="A296" s="2174" t="s">
        <v>1053</v>
      </c>
      <c r="B296" s="2175"/>
      <c r="C296" s="617"/>
      <c r="D296" s="619"/>
      <c r="E296" s="617"/>
      <c r="F296" s="617"/>
      <c r="G296" s="617"/>
      <c r="H296" s="688"/>
      <c r="I296" s="617"/>
      <c r="J296" s="617"/>
      <c r="K296" s="1704">
        <f>'Revenues 9-14'!G275-'Expenditures 15-22'!K295</f>
        <v>82545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692665</v>
      </c>
      <c r="H301" s="466"/>
      <c r="I301" s="467"/>
      <c r="J301" s="467"/>
      <c r="K301" s="1691">
        <f>SUM(C301:J301)</f>
        <v>692665</v>
      </c>
      <c r="L301" s="467">
        <v>700000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692665</v>
      </c>
      <c r="H303" s="1697">
        <f t="shared" si="23"/>
        <v>0</v>
      </c>
      <c r="I303" s="1697">
        <f t="shared" si="23"/>
        <v>0</v>
      </c>
      <c r="J303" s="1697">
        <f t="shared" si="23"/>
        <v>0</v>
      </c>
      <c r="K303" s="1697">
        <f t="shared" si="23"/>
        <v>692665</v>
      </c>
      <c r="L303" s="1697">
        <f t="shared" si="23"/>
        <v>700000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0">
        <f>SUM(C303)</f>
        <v>0</v>
      </c>
      <c r="D312" s="1690">
        <f>SUM(D303)</f>
        <v>0</v>
      </c>
      <c r="E312" s="1690">
        <f>SUM(E303,E310)</f>
        <v>0</v>
      </c>
      <c r="F312" s="1690">
        <f>SUM(F303)</f>
        <v>0</v>
      </c>
      <c r="G312" s="1690">
        <f>SUM(G303)</f>
        <v>692665</v>
      </c>
      <c r="H312" s="1690">
        <f>SUM(H303,H310)</f>
        <v>0</v>
      </c>
      <c r="I312" s="1690">
        <f>SUM(I303)</f>
        <v>0</v>
      </c>
      <c r="J312" s="1690">
        <f>SUM(J303)</f>
        <v>0</v>
      </c>
      <c r="K312" s="1690">
        <f>SUM(K303,K310,K311)</f>
        <v>692665</v>
      </c>
      <c r="L312" s="1690">
        <f>SUM(L303,L310,L311)</f>
        <v>700000</v>
      </c>
      <c r="M312" s="666"/>
      <c r="N312" s="666"/>
    </row>
    <row r="313" spans="1:14" ht="13.5" thickTop="1" x14ac:dyDescent="0.2">
      <c r="A313" s="2185" t="s">
        <v>1053</v>
      </c>
      <c r="B313" s="2186"/>
      <c r="C313" s="627"/>
      <c r="D313" s="627"/>
      <c r="E313" s="627"/>
      <c r="F313" s="627"/>
      <c r="G313" s="627"/>
      <c r="H313" s="627"/>
      <c r="I313" s="627"/>
      <c r="J313" s="627"/>
      <c r="K313" s="1705">
        <f>'Revenues 9-14'!H275-'Expenditures 15-22'!K312</f>
        <v>-685951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1905</v>
      </c>
      <c r="B320" s="699" t="s">
        <v>300</v>
      </c>
      <c r="C320" s="467"/>
      <c r="D320" s="467"/>
      <c r="E320" s="467">
        <v>209493</v>
      </c>
      <c r="F320" s="467"/>
      <c r="G320" s="467"/>
      <c r="H320" s="467"/>
      <c r="I320" s="467"/>
      <c r="J320" s="467"/>
      <c r="K320" s="1691">
        <f t="shared" ref="K320:K327" si="24">SUM(C320:J320)</f>
        <v>209493</v>
      </c>
      <c r="L320" s="467">
        <v>380000</v>
      </c>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v>10000</v>
      </c>
      <c r="M321" s="666"/>
      <c r="N321" s="666"/>
    </row>
    <row r="322" spans="1:14" s="675" customFormat="1" x14ac:dyDescent="0.2">
      <c r="A322" s="1541" t="s">
        <v>256</v>
      </c>
      <c r="B322" s="698" t="s">
        <v>302</v>
      </c>
      <c r="C322" s="467"/>
      <c r="D322" s="467"/>
      <c r="E322" s="467"/>
      <c r="F322" s="467"/>
      <c r="G322" s="467"/>
      <c r="H322" s="467"/>
      <c r="I322" s="467"/>
      <c r="J322" s="467"/>
      <c r="K322" s="1691">
        <f t="shared" si="24"/>
        <v>0</v>
      </c>
      <c r="L322" s="467">
        <v>0</v>
      </c>
      <c r="M322" s="666"/>
      <c r="N322" s="666"/>
    </row>
    <row r="323" spans="1:14" s="675" customFormat="1" x14ac:dyDescent="0.2">
      <c r="A323" s="1541" t="s">
        <v>726</v>
      </c>
      <c r="B323" s="698" t="s">
        <v>303</v>
      </c>
      <c r="C323" s="467"/>
      <c r="D323" s="467"/>
      <c r="E323" s="467">
        <v>136843</v>
      </c>
      <c r="F323" s="467"/>
      <c r="G323" s="467"/>
      <c r="H323" s="467"/>
      <c r="I323" s="467"/>
      <c r="J323" s="467"/>
      <c r="K323" s="1691">
        <f t="shared" si="24"/>
        <v>136843</v>
      </c>
      <c r="L323" s="467">
        <v>140000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346336</v>
      </c>
      <c r="F330" s="1690">
        <f t="shared" si="25"/>
        <v>0</v>
      </c>
      <c r="G330" s="1690">
        <f t="shared" si="25"/>
        <v>0</v>
      </c>
      <c r="H330" s="1690">
        <f t="shared" si="25"/>
        <v>0</v>
      </c>
      <c r="I330" s="1690">
        <f t="shared" si="25"/>
        <v>0</v>
      </c>
      <c r="J330" s="1690">
        <f t="shared" si="25"/>
        <v>0</v>
      </c>
      <c r="K330" s="1690">
        <f>SUM(K319:K329)</f>
        <v>346336</v>
      </c>
      <c r="L330" s="1690">
        <f>SUM(L319:L329)</f>
        <v>530000</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346336</v>
      </c>
      <c r="F342" s="1690">
        <f>SUM(F330)</f>
        <v>0</v>
      </c>
      <c r="G342" s="1690">
        <f>SUM(G330)</f>
        <v>0</v>
      </c>
      <c r="H342" s="1690">
        <f>SUM(H330,H334,H340)</f>
        <v>0</v>
      </c>
      <c r="I342" s="1690">
        <f>SUM(I330)</f>
        <v>0</v>
      </c>
      <c r="J342" s="1690">
        <f>SUM(J330)</f>
        <v>0</v>
      </c>
      <c r="K342" s="1690">
        <f>SUM(K330,K334,K340)</f>
        <v>346336</v>
      </c>
      <c r="L342" s="1697">
        <f>SUM(L330,L340,L341)</f>
        <v>530000</v>
      </c>
    </row>
    <row r="343" spans="1:14" ht="12.75" customHeight="1" thickTop="1" x14ac:dyDescent="0.2">
      <c r="A343" s="2187" t="s">
        <v>1053</v>
      </c>
      <c r="B343" s="2188"/>
      <c r="C343" s="617"/>
      <c r="D343" s="617"/>
      <c r="E343" s="617"/>
      <c r="F343" s="617"/>
      <c r="G343" s="617"/>
      <c r="H343" s="617"/>
      <c r="I343" s="617"/>
      <c r="J343" s="617"/>
      <c r="K343" s="1704">
        <f>'Revenues 9-14'!J275-'Expenditures 15-22'!K342</f>
        <v>188966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4268195</v>
      </c>
      <c r="H348" s="466"/>
      <c r="I348" s="467"/>
      <c r="J348" s="467"/>
      <c r="K348" s="1691">
        <f>SUM(C348:J348)</f>
        <v>4268195</v>
      </c>
      <c r="L348" s="466">
        <v>4715000</v>
      </c>
    </row>
    <row r="349" spans="1:14" x14ac:dyDescent="0.2">
      <c r="A349" s="1526"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4268195</v>
      </c>
      <c r="H350" s="1690">
        <f t="shared" si="26"/>
        <v>0</v>
      </c>
      <c r="I350" s="1690">
        <f t="shared" si="26"/>
        <v>0</v>
      </c>
      <c r="J350" s="1690">
        <f t="shared" si="26"/>
        <v>0</v>
      </c>
      <c r="K350" s="1690">
        <f t="shared" si="26"/>
        <v>4268195</v>
      </c>
      <c r="L350" s="1690">
        <f t="shared" si="26"/>
        <v>4715000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4268195</v>
      </c>
      <c r="H352" s="1690">
        <f t="shared" si="27"/>
        <v>0</v>
      </c>
      <c r="I352" s="1690">
        <f t="shared" si="27"/>
        <v>0</v>
      </c>
      <c r="J352" s="1690">
        <f t="shared" si="27"/>
        <v>0</v>
      </c>
      <c r="K352" s="1690">
        <f t="shared" si="27"/>
        <v>4268195</v>
      </c>
      <c r="L352" s="1690">
        <f t="shared" si="27"/>
        <v>4715000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v>0</v>
      </c>
    </row>
    <row r="355" spans="1:14" ht="12.75" customHeight="1" x14ac:dyDescent="0.2">
      <c r="A355" s="1535" t="s">
        <v>1963</v>
      </c>
      <c r="B355" s="691" t="s">
        <v>1956</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4268195</v>
      </c>
      <c r="H367" s="1690">
        <f t="shared" si="28"/>
        <v>0</v>
      </c>
      <c r="I367" s="1690">
        <f t="shared" si="28"/>
        <v>0</v>
      </c>
      <c r="J367" s="1690">
        <f t="shared" si="28"/>
        <v>0</v>
      </c>
      <c r="K367" s="1690">
        <f t="shared" si="28"/>
        <v>4268195</v>
      </c>
      <c r="L367" s="1690">
        <f t="shared" si="28"/>
        <v>4715000</v>
      </c>
    </row>
    <row r="368" spans="1:14" ht="13.5" thickTop="1" x14ac:dyDescent="0.2">
      <c r="A368" s="2174" t="s">
        <v>1053</v>
      </c>
      <c r="B368" s="2175"/>
      <c r="C368" s="655"/>
      <c r="D368" s="655"/>
      <c r="E368" s="627"/>
      <c r="F368" s="627"/>
      <c r="G368" s="627"/>
      <c r="H368" s="627"/>
      <c r="I368" s="627"/>
      <c r="J368" s="624"/>
      <c r="K368" s="1691">
        <f>'Revenues 9-14'!K275-'Expenditures 15-22'!K367</f>
        <v>-4205654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6ce3111e-7420-4802-b50a-75d4e9a0b980"/>
    <ds:schemaRef ds:uri="http://www.w3.org/XML/1998/namespace"/>
    <ds:schemaRef ds:uri="http://schemas.microsoft.com/office/2006/documentManagement/types"/>
    <ds:schemaRef ds:uri="http://purl.org/dc/dcmitype/"/>
    <ds:schemaRef ds:uri="4d435f69-8686-490b-bd6d-b153bf22ab50"/>
    <ds:schemaRef ds:uri="http://purl.org/dc/elements/1.1/"/>
    <ds:schemaRef ds:uri="d21dc803-237d-4c68-8692-8d731fd29118"/>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2018-12-04T21:25:00Z</cp:lastPrinted>
  <dcterms:created xsi:type="dcterms:W3CDTF">2003-10-29T19:06:34Z</dcterms:created>
  <dcterms:modified xsi:type="dcterms:W3CDTF">2018-12-13T15:12:19Z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