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E34" i="8" l="1"/>
  <c r="I21" i="183"/>
  <c r="F21" i="183"/>
  <c r="I26" i="179"/>
  <c r="F26" i="179"/>
  <c r="L17" i="183"/>
  <c r="L16" i="183"/>
  <c r="L15" i="183"/>
  <c r="L13" i="183"/>
  <c r="B4" i="183"/>
  <c r="F63" i="29" l="1"/>
  <c r="M1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E37" i="181"/>
  <c r="F37" i="181" s="1"/>
  <c r="G37" i="181" s="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22" i="179"/>
  <c r="L21" i="179"/>
  <c r="L17" i="179"/>
  <c r="L15"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E26" i="108"/>
  <c r="G26" i="108"/>
  <c r="E27" i="108"/>
  <c r="G27" i="108"/>
  <c r="F31" i="108"/>
  <c r="F36" i="108"/>
  <c r="F37" i="108"/>
  <c r="G28" i="108"/>
  <c r="D31" i="108"/>
  <c r="D37" i="108"/>
  <c r="E31" i="108"/>
  <c r="G31" i="108"/>
  <c r="E33" i="108"/>
  <c r="G33" i="108"/>
  <c r="E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5" i="7"/>
  <c r="B1761" i="106" s="1"/>
  <c r="D1761" i="106" s="1"/>
  <c r="D13" i="7"/>
  <c r="B3726" i="106" s="1"/>
  <c r="D3726" i="106" s="1"/>
  <c r="D9" i="7"/>
  <c r="B1767" i="106" s="1"/>
  <c r="D1767" i="106" s="1"/>
  <c r="F131" i="34"/>
  <c r="F128" i="34"/>
  <c r="F127" i="34"/>
  <c r="F111" i="34"/>
  <c r="B5752" i="106"/>
  <c r="D5752" i="106" s="1"/>
  <c r="B5599" i="106"/>
  <c r="D5599" i="106" s="1"/>
  <c r="K274" i="5"/>
  <c r="H109" i="5"/>
  <c r="B6025" i="106" s="1"/>
  <c r="D6025" i="106" s="1"/>
  <c r="F106" i="34"/>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D109" i="5"/>
  <c r="B5356" i="106" s="1"/>
  <c r="D5356" i="106" s="1"/>
  <c r="H173" i="5"/>
  <c r="B5847" i="106"/>
  <c r="D5847" i="106" s="1"/>
  <c r="F130" i="34"/>
  <c r="I173" i="5"/>
  <c r="B4216" i="106" s="1"/>
  <c r="D4216" i="106" s="1"/>
  <c r="F172" i="5"/>
  <c r="B5644" i="106" s="1"/>
  <c r="D5644" i="106" s="1"/>
  <c r="E109" i="5"/>
  <c r="E4" i="4" s="1"/>
  <c r="B2630" i="106" s="1"/>
  <c r="D2630" i="106" s="1"/>
  <c r="B5096" i="106"/>
  <c r="D5096" i="106" s="1"/>
  <c r="L342" i="29"/>
  <c r="L312" i="29"/>
  <c r="B7235" i="106"/>
  <c r="D7235" i="106" s="1"/>
  <c r="B6191" i="106"/>
  <c r="D6191" i="106" s="1"/>
  <c r="J41" i="3"/>
  <c r="K28" i="118"/>
  <c r="O27" i="118" s="1"/>
  <c r="O29" i="118" s="1"/>
  <c r="B3649" i="106"/>
  <c r="D3649" i="106" s="1"/>
  <c r="G367" i="29"/>
  <c r="B3621" i="106"/>
  <c r="D3621" i="106" s="1"/>
  <c r="C367" i="29"/>
  <c r="K24" i="12"/>
  <c r="D6103" i="106"/>
  <c r="B4268" i="106"/>
  <c r="D4268" i="106" s="1"/>
  <c r="K350" i="29"/>
  <c r="K76" i="4"/>
  <c r="B3586" i="106" s="1"/>
  <c r="D3586" i="106" s="1"/>
  <c r="H76" i="4"/>
  <c r="B3298" i="106" s="1"/>
  <c r="D3298" i="106" s="1"/>
  <c r="G210" i="29"/>
  <c r="E174" i="29"/>
  <c r="B1309" i="106" s="1"/>
  <c r="D1309" i="106" s="1"/>
  <c r="G39" i="108"/>
  <c r="L13" i="11"/>
  <c r="B2060" i="106" s="1"/>
  <c r="D2060" i="106" s="1"/>
  <c r="L5" i="11"/>
  <c r="B2056" i="106" s="1"/>
  <c r="D2056" i="106" s="1"/>
  <c r="F19" i="7"/>
  <c r="B1807" i="106" s="1"/>
  <c r="D1807" i="106" s="1"/>
  <c r="G14" i="4"/>
  <c r="B2609" i="106" s="1"/>
  <c r="D2609" i="106" s="1"/>
  <c r="B1410" i="106"/>
  <c r="D1410" i="106" s="1"/>
  <c r="G29" i="108"/>
  <c r="E29" i="108"/>
  <c r="K184" i="29"/>
  <c r="F13" i="4" s="1"/>
  <c r="B2596" i="106" s="1"/>
  <c r="D2596" i="106" s="1"/>
  <c r="B1329" i="106"/>
  <c r="D1329" i="106" s="1"/>
  <c r="F61" i="34"/>
  <c r="E28" i="108"/>
  <c r="F28" i="108"/>
  <c r="D36" i="108"/>
  <c r="D41" i="108" s="1"/>
  <c r="E43" i="108" s="1"/>
  <c r="G35" i="108"/>
  <c r="E35" i="108"/>
  <c r="G30" i="108"/>
  <c r="E30" i="108"/>
  <c r="F27" i="108"/>
  <c r="E15" i="145"/>
  <c r="G15" i="145" s="1"/>
  <c r="F26" i="108"/>
  <c r="F38" i="34"/>
  <c r="F35" i="34"/>
  <c r="H4" i="4"/>
  <c r="B2655" i="106" s="1"/>
  <c r="D2655" i="106" s="1"/>
  <c r="G109" i="5"/>
  <c r="D4" i="4"/>
  <c r="B2564" i="106" s="1"/>
  <c r="D2564" i="106" s="1"/>
  <c r="C172" i="5"/>
  <c r="C109" i="5"/>
  <c r="B5121" i="106" s="1"/>
  <c r="D5121" i="106" s="1"/>
  <c r="D4" i="7"/>
  <c r="B1760" i="106" s="1"/>
  <c r="D1760" i="106" s="1"/>
  <c r="D54" i="36"/>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F41" i="108" l="1"/>
  <c r="G43" i="108" s="1"/>
  <c r="B1365" i="106"/>
  <c r="D1365" i="106" s="1"/>
  <c r="F65" i="34"/>
  <c r="B3670" i="106"/>
  <c r="D3670" i="106" s="1"/>
  <c r="K352" i="29"/>
  <c r="B5906" i="106"/>
  <c r="D5906" i="106" s="1"/>
  <c r="H6" i="4"/>
  <c r="K367" i="29"/>
  <c r="D7254" i="106"/>
  <c r="D7256" i="106"/>
  <c r="D7251" i="106"/>
  <c r="D7250" i="106"/>
  <c r="F274" i="5"/>
  <c r="H367" i="29"/>
  <c r="B3660" i="106" s="1"/>
  <c r="D3660" i="106" s="1"/>
  <c r="B7733" i="106"/>
  <c r="D7733" i="106" s="1"/>
  <c r="K26" i="12"/>
  <c r="B7743" i="106" s="1"/>
  <c r="D7743" i="106" s="1"/>
  <c r="L16" i="11"/>
  <c r="B2061" i="106" s="1"/>
  <c r="D2061" i="106" s="1"/>
  <c r="K342" i="29"/>
  <c r="F13" i="34" s="1"/>
  <c r="L114" i="29"/>
  <c r="C114" i="29"/>
  <c r="B757" i="106" s="1"/>
  <c r="D757" i="106" s="1"/>
  <c r="B6024" i="106"/>
  <c r="D6024" i="106" s="1"/>
  <c r="G4" i="4"/>
  <c r="B2603" i="106" s="1"/>
  <c r="D2603" i="106" s="1"/>
  <c r="F6" i="4"/>
  <c r="B2593" i="106" s="1"/>
  <c r="D2593" i="106" s="1"/>
  <c r="F275" i="5"/>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B7224" i="106"/>
  <c r="D7224" i="106" s="1"/>
  <c r="B1145" i="106"/>
  <c r="D1145" i="106" s="1"/>
  <c r="G41" i="108"/>
  <c r="G44" i="108" s="1"/>
  <c r="G45" i="108" s="1"/>
  <c r="E41" i="108"/>
  <c r="E44" i="108" s="1"/>
  <c r="E45" i="108" s="1"/>
  <c r="F8" i="4"/>
  <c r="B2595" i="106" s="1"/>
  <c r="D259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<sst xmlns="http://schemas.openxmlformats.org/spreadsheetml/2006/main" count="5237" uniqueCount="2192">
  <si>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</si>
  <si>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</si>
  <si>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</si>
  <si>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</si>
  <si>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</si>
  <si>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</si>
  <si>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</si>
  <si>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</si>
  <si>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</si>
  <si>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</si>
  <si>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</si>
  <si>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</si>
  <si>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</si>
  <si>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</si>
  <si>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</si>
  <si>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</si>
  <si>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</si>
  <si>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</si>
  <si>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</si>
  <si>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</si>
  <si>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</si>
  <si>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</si>
  <si>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</si>
  <si>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</si>
  <si>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</si>
  <si>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</si>
  <si>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</si>
  <si>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</si>
  <si>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</si>
  <si>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</si>
  <si>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</si>
  <si>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</si>
  <si>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</si>
  <si>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</si>
  <si>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</si>
  <si>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</si>
  <si>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</si>
  <si>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</si>
  <si>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</si>
  <si>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</si>
  <si>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</si>
  <si>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</si>
  <si>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</si>
  <si>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</si>
  <si>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</si>
  <si>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</si>
  <si>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</si>
  <si>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</si>
  <si>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</si>
  <si>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</si>
  <si>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</si>
  <si>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</si>
  <si>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</si>
  <si>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</si>
  <si>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</si>
  <si>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</si>
  <si>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</si>
  <si>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</si>
  <si>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</si>
  <si>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</si>
  <si>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</si>
  <si>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</si>
  <si>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</si>
  <si>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</si>
  <si>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</si>
  <si>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</si>
  <si>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</si>
  <si>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</si>
  <si>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</si>
  <si>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</si>
  <si>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</si>
  <si>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</si>
  <si>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</si>
  <si>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</si>
  <si>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</si>
  <si>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</si>
  <si>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</si>
  <si>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</si>
  <si>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</si>
  <si>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</si>
  <si>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</si>
  <si>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</si>
  <si>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</si>
  <si>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</si>
  <si>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</si>
  <si>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</si>
  <si>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</si>
  <si>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</si>
  <si>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</si>
  <si>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</si>
  <si>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</si>
  <si>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</si>
  <si>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</si>
  <si>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</si>
  <si>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</si>
  <si>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</si>
  <si>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</si>
  <si>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</si>
  <si>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</si>
  <si>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</si>
  <si>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</si>
  <si>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</si>
  <si>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</si>
  <si>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</si>
  <si>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</si>
  <si>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</si>
  <si>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</si>
  <si>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</si>
  <si>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</si>
  <si>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</si>
  <si>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</si>
  <si>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</si>
  <si>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</si>
  <si>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</si>
  <si>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</si>
  <si>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</si>
  <si>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</si>
  <si>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</si>
  <si>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</si>
  <si>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</si>
  <si>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</si>
  <si>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</si>
  <si>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</si>
  <si>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</si>
  <si>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</si>
  <si>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</si>
  <si>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</si>
  <si>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</si>
  <si>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</si>
  <si>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</si>
  <si>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</si>
  <si>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</si>
  <si>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</si>
  <si>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</si>
  <si>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</si>
  <si>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</si>
  <si>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</si>
  <si>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</si>
  <si>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</si>
  <si>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</si>
  <si>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</si>
  <si>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</si>
  <si>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</si>
  <si>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</si>
  <si>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</si>
  <si>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</si>
  <si>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</si>
  <si>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</si>
  <si>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</si>
  <si>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</si>
  <si>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</si>
  <si>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</si>
  <si>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</si>
  <si>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</si>
  <si>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</si>
  <si>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</si>
  <si>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</si>
  <si>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</si>
  <si>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</si>
  <si>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</si>
  <si>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</si>
  <si>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</si>
  <si>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</si>
  <si>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</si>
  <si>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</si>
  <si>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</si>
  <si>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</si>
  <si>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</si>
  <si>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</si>
  <si>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</si>
  <si>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</si>
  <si>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</si>
  <si>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</si>
  <si>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</si>
  <si>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</si>
  <si>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</si>
  <si>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</si>
  <si>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</si>
  <si>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</si>
  <si>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</si>
  <si>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</si>
  <si>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</si>
  <si>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</si>
  <si>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</si>
  <si>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</si>
  <si>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</si>
  <si>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</si>
  <si>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</si>
  <si>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</si>
  <si>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</si>
  <si>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</si>
  <si>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</si>
  <si>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</si>
  <si>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</si>
  <si>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</si>
  <si>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</si>
  <si>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</si>
  <si>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</si>
  <si>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</si>
  <si>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</si>
  <si>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</si>
  <si>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</si>
  <si>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</si>
  <si>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</si>
  <si>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</si>
  <si>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</si>
  <si>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</si>
  <si>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</si>
  <si>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</si>
  <si>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</si>
  <si>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</si>
  <si>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</si>
  <si>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</si>
  <si>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</si>
  <si>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</si>
  <si>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</si>
  <si>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</si>
  <si>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</si>
  <si>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</si>
  <si>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</si>
  <si>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</si>
  <si>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</si>
  <si>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</si>
  <si>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</si>
  <si>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</si>
  <si>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</si>
  <si>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</si>
  <si>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</si>
  <si>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</si>
  <si>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</si>
  <si>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</si>
  <si>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</si>
  <si>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</si>
  <si>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</si>
  <si>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</si>
  <si>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</si>
  <si>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</si>
  <si>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</si>
  <si>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</si>
  <si>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</si>
  <si>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</si>
  <si>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</si>
  <si>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</si>
  <si>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</si>
  <si>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</si>
  <si>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</si>
  <si>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</si>
  <si>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</si>
  <si>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</si>
  <si>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</si>
  <si>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</si>
  <si>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</si>
  <si>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</si>
  <si>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</si>
  <si>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</si>
  <si>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</si>
  <si>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</si>
  <si>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</si>
  <si>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</si>
  <si>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</si>
  <si>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</si>
  <si>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</si>
  <si>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</si>
  <si>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</si>
  <si>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</si>
  <si>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</si>
  <si>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</si>
  <si>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</si>
  <si>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</si>
  <si>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</si>
  <si>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</si>
  <si>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</si>
  <si>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</si>
  <si>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</si>
  <si>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</si>
  <si>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</si>
  <si>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</si>
  <si>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</si>
  <si>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</si>
  <si>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</si>
  <si>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</si>
  <si>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</si>
  <si>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</si>
  <si>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</si>
  <si>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</si>
  <si>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</si>
  <si>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</si>
  <si>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</si>
  <si>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</si>
  <si>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</si>
  <si>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</si>
  <si>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</si>
  <si>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</si>
  <si>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</si>
  <si>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</si>
  <si>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</si>
  <si>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</si>
  <si>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</si>
  <si>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</si>
  <si>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</si>
  <si>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</si>
  <si>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</si>
  <si>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</si>
  <si>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</si>
  <si>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</si>
  <si>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</si>
  <si>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</si>
  <si>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</si>
  <si>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</si>
  <si>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</si>
  <si>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</si>
  <si>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</si>
  <si>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</si>
  <si>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</si>
  <si>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</si>
  <si>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</si>
  <si>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</si>
  <si>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</si>
  <si>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</si>
  <si>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</si>
  <si>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</si>
  <si>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</si>
  <si>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</si>
  <si>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</si>
  <si>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</si>
  <si>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</si>
  <si>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</si>
  <si>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</si>
  <si>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</si>
  <si>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</si>
  <si>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</si>
  <si>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</si>
  <si>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</si>
  <si>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</si>
  <si>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</si>
  <si>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</si>
  <si>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</si>
  <si>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</si>
  <si>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</si>
  <si>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</si>
  <si>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</si>
  <si>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</si>
  <si>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</si>
  <si>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</si>
  <si>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</si>
  <si>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</si>
  <si>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</si>
  <si>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</si>
  <si>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</si>
  <si>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</si>
  <si>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</si>
  <si>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</si>
  <si>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</si>
  <si>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</si>
  <si>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</si>
  <si>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</si>
  <si>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</si>
  <si>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</si>
  <si>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</si>
  <si>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</si>
  <si>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</si>
  <si>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</si>
  <si>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</si>
  <si>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</si>
  <si>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</si>
  <si>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</si>
  <si>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</si>
  <si>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</si>
  <si>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</si>
  <si>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</si>
  <si>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</si>
  <si>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</si>
  <si>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</si>
  <si>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</si>
  <si>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</si>
  <si>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</si>
  <si>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</si>
  <si>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</si>
  <si>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</si>
  <si>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</si>
  <si>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</si>
  <si>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</si>
  <si>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</si>
  <si>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</si>
  <si>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</si>
  <si>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</si>
  <si>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</si>
  <si>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</si>
  <si>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</si>
  <si>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</si>
  <si>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</si>
  <si>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</si>
  <si>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</si>
  <si>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</si>
  <si>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</si>
  <si>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</si>
  <si>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</si>
  <si>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</si>
  <si>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</si>
  <si>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</si>
  <si>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</si>
  <si>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</si>
  <si>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</si>
  <si>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</si>
  <si>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</si>
  <si>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</si>
  <si>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</si>
  <si>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</si>
  <si>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</si>
  <si>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</si>
  <si>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</si>
  <si>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</si>
  <si>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</si>
  <si>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</si>
  <si>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</si>
  <si>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</si>
  <si>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</si>
  <si>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</si>
  <si>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</si>
  <si>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</si>
  <si>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</si>
  <si>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</si>
  <si>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</si>
  <si>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</si>
  <si>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</si>
  <si>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</si>
  <si>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</si>
  <si>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</si>
  <si>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</si>
  <si>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</si>
  <si>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</si>
  <si>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</si>
  <si>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</si>
  <si>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</si>
  <si>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</si>
  <si>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</si>
  <si>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</si>
  <si>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</si>
  <si>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</si>
  <si>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</si>
  <si>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</si>
  <si>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</si>
  <si>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</si>
  <si>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</si>
  <si>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</si>
  <si>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</si>
  <si>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</si>
  <si>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</si>
  <si>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</si>
  <si>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</si>
  <si>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</si>
  <si>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</si>
  <si>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</si>
  <si>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</si>
  <si>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</si>
  <si>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</si>
  <si>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</si>
  <si>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</si>
  <si>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</si>
  <si>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</si>
  <si>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</si>
  <si>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</si>
  <si>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</si>
  <si>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</si>
  <si>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</si>
  <si>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</si>
  <si>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</si>
  <si>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</si>
  <si>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</si>
  <si>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</si>
  <si>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</si>
  <si>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</si>
  <si>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</si>
  <si>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</si>
  <si>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</si>
  <si>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</si>
  <si>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</si>
  <si>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</si>
  <si>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</si>
  <si>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</si>
  <si>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</si>
  <si>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</si>
  <si>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</si>
  <si>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</si>
  <si>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</si>
  <si>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</si>
  <si>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</si>
  <si>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</si>
  <si>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</si>
  <si>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</si>
  <si>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</si>
  <si>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</si>
  <si>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</si>
  <si>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</si>
  <si>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</si>
  <si>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</si>
  <si>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</si>
  <si>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</si>
  <si>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</si>
  <si>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</si>
  <si>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</si>
  <si>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</si>
  <si>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</si>
  <si>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</si>
  <si>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</si>
  <si>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</si>
  <si>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</si>
  <si>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</si>
  <si>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</si>
  <si>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</si>
  <si>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</si>
  <si>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</si>
  <si>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</si>
  <si>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</si>
  <si>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</si>
  <si>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</si>
  <si>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</si>
  <si>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</si>
  <si>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</si>
  <si>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</si>
  <si>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</si>
  <si>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</si>
  <si>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</si>
  <si>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</si>
  <si>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</si>
  <si>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</si>
  <si>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</si>
  <si>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</si>
  <si>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</si>
  <si>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</si>
  <si>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</si>
  <si>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</si>
  <si>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</si>
  <si>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</si>
  <si>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</si>
  <si>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</si>
  <si>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</si>
  <si>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</si>
  <si>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</si>
  <si>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</si>
  <si>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</si>
  <si>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</si>
  <si>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</si>
  <si>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</si>
  <si>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</si>
  <si>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</si>
  <si>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</si>
  <si>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</si>
  <si>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</si>
  <si>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</si>
  <si>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</si>
  <si>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</si>
  <si>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</si>
  <si>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</si>
  <si>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</si>
  <si>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</si>
  <si>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</si>
  <si>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</si>
  <si>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</si>
  <si>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</si>
  <si>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</si>
  <si>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</si>
  <si>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</si>
  <si>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</si>
  <si>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</si>
  <si>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</si>
  <si>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</si>
  <si>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</si>
  <si>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</si>
  <si>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</si>
  <si>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</si>
  <si>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</si>
  <si>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</si>
  <si>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</si>
  <si>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</si>
  <si>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</si>
  <si>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</si>
  <si>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</si>
  <si>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</si>
  <si>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</si>
  <si>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</si>
  <si>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</si>
  <si>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</si>
  <si>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</si>
  <si>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</si>
  <si>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</si>
  <si>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</si>
  <si>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</si>
  <si>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</si>
  <si>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</si>
  <si>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</si>
  <si>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</si>
  <si>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</si>
  <si>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</si>
  <si>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</si>
  <si>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</si>
  <si>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</si>
  <si>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</si>
  <si>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</si>
  <si>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</si>
  <si>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</si>
  <si>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</si>
  <si>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</si>
  <si>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</si>
  <si>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</si>
  <si>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</si>
  <si>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</si>
  <si>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</si>
  <si>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</si>
  <si>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</si>
  <si>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</si>
  <si>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</si>
  <si>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</si>
  <si>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</si>
  <si>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</si>
  <si>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</si>
  <si>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</si>
  <si>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</si>
  <si>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</si>
  <si>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</si>
  <si>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</si>
  <si>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</si>
  <si>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</si>
  <si>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</si>
  <si>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</si>
  <si>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</si>
  <si>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</si>
  <si>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</si>
  <si>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</si>
  <si>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</si>
  <si>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</si>
  <si>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</si>
  <si>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</si>
  <si>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</si>
  <si>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</si>
  <si>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</si>
  <si>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</si>
  <si>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</si>
  <si>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</si>
  <si>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</si>
  <si>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</si>
  <si>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</si>
  <si>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</si>
  <si>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</si>
  <si>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</si>
  <si>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</si>
  <si>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</si>
  <si>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</si>
  <si>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</si>
  <si>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</si>
  <si>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</si>
  <si>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</si>
  <si>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</si>
  <si>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</si>
  <si>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</si>
  <si>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</si>
  <si>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</si>
  <si>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</si>
  <si>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</si>
  <si>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</si>
  <si>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</si>
  <si>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</si>
  <si>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</si>
  <si>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</si>
  <si>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</si>
  <si>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</si>
  <si>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</si>
  <si>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</si>
  <si>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</si>
  <si>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</si>
  <si>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</si>
  <si>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</si>
  <si>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</si>
  <si>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</si>
  <si>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</si>
  <si>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</si>
  <si>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</si>
  <si>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</si>
  <si>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</si>
  <si>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</si>
  <si>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</si>
  <si>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</si>
  <si>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</si>
  <si>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</si>
  <si>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</si>
  <si>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</si>
  <si>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</si>
  <si>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</si>
  <si>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</si>
  <si>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</si>
  <si>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</si>
  <si>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</si>
  <si>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</si>
  <si>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</si>
  <si>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</si>
  <si>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</si>
  <si>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</si>
  <si>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</si>
  <si>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</si>
  <si>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</si>
  <si>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</si>
  <si>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</si>
  <si>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</si>
  <si>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</si>
  <si>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</si>
  <si>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</si>
  <si>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</si>
  <si>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</si>
  <si>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</si>
  <si>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</si>
  <si>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</si>
  <si>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</si>
  <si>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</si>
  <si>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</si>
  <si>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</si>
  <si>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</si>
  <si>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</si>
  <si>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</si>
  <si>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</si>
  <si>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</si>
  <si>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</si>
  <si>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</si>
  <si>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</si>
  <si>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</si>
  <si>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</si>
  <si>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</si>
  <si>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</si>
  <si>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</si>
  <si>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</si>
  <si>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</si>
  <si>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</si>
  <si>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</si>
  <si>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</si>
  <si>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</si>
  <si>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</si>
  <si>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</si>
  <si>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</si>
  <si>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</si>
  <si>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</si>
  <si>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</si>
  <si>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</si>
  <si>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</si>
  <si>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</si>
  <si>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</si>
  <si>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</si>
  <si>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</si>
  <si>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</si>
  <si>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</si>
  <si>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</si>
  <si>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</si>
  <si>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</si>
  <si>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</si>
  <si>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</si>
  <si>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</si>
  <si>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</si>
  <si>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</si>
  <si>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</si>
  <si>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</si>
  <si>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</si>
  <si>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</si>
  <si>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</si>
  <si>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</si>
  <si>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</si>
  <si>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</si>
  <si>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</si>
  <si>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</si>
  <si>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</si>
  <si>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</si>
  <si>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</si>
  <si>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</si>
  <si>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</si>
  <si>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</si>
  <si>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</si>
  <si>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</si>
  <si>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</si>
  <si>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</si>
  <si>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</si>
  <si>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</si>
  <si>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</si>
  <si>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</si>
  <si>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</si>
  <si>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</si>
  <si>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</si>
  <si>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</si>
  <si>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</si>
  <si>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</si>
  <si>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</si>
  <si>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</si>
  <si>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</si>
  <si>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</si>
  <si>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</si>
  <si>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</si>
  <si>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</si>
  <si>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</si>
  <si>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</si>
  <si>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</si>
  <si>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</si>
  <si>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</si>
  <si>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</si>
  <si>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</si>
  <si>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</si>
  <si>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</si>
  <si>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</si>
  <si>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</si>
  <si>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</si>
  <si>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</si>
  <si>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</si>
  <si>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</si>
  <si>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</si>
  <si>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</si>
  <si>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</si>
  <si>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</si>
  <si>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</si>
  <si>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</si>
  <si>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</si>
  <si>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</si>
  <si>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</si>
  <si>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</si>
  <si>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</si>
  <si>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</si>
  <si>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</si>
  <si>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</si>
  <si>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</si>
  <si>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</si>
  <si>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</si>
  <si>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</si>
  <si>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</si>
  <si>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</si>
  <si>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</si>
  <si>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</si>
  <si>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</si>
  <si>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</si>
  <si>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</si>
  <si>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</si>
  <si>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</si>
  <si>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</si>
  <si>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</si>
  <si>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</si>
  <si>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</si>
  <si>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</si>
  <si>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</si>
  <si>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</si>
  <si>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</si>
  <si>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</si>
  <si>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</si>
  <si>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</si>
  <si>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</si>
  <si>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</si>
  <si>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</si>
  <si>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</si>
  <si>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</si>
  <si>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</si>
  <si>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</si>
  <si>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</si>
  <si>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</si>
  <si>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</si>
  <si>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</si>
  <si>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</si>
  <si>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</si>
  <si>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</si>
  <si>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</si>
  <si>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</si>
  <si>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</si>
  <si>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</si>
  <si>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</si>
  <si>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</si>
  <si>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</si>
  <si>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</si>
  <si>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</si>
  <si>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</si>
  <si>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</si>
  <si>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</si>
  <si>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</si>
  <si>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</si>
  <si>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</si>
  <si>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</si>
  <si>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</si>
  <si>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</si>
  <si>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</si>
  <si>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</si>
  <si>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</si>
  <si>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</si>
  <si>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</si>
  <si>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</si>
  <si>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</si>
  <si>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</si>
  <si>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</si>
  <si>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</si>
  <si>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</si>
  <si>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</si>
  <si>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</si>
  <si>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</si>
  <si>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</si>
  <si>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</si>
  <si>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</si>
  <si>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</si>
  <si>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</si>
  <si>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</si>
  <si>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</si>
  <si>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</si>
  <si>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</si>
  <si>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</si>
  <si>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</si>
  <si>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</si>
  <si>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</si>
  <si>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</si>
  <si>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</si>
  <si>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</si>
  <si>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</si>
  <si>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</si>
  <si>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</si>
  <si>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</si>
  <si>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</si>
  <si>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</si>
  <si>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</si>
  <si>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</si>
  <si>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</si>
  <si>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</si>
  <si>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</si>
  <si>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</si>
  <si>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</si>
  <si>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</si>
  <si>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</si>
  <si>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</si>
  <si>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</si>
  <si>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</si>
  <si>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</si>
  <si>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</si>
  <si>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</si>
  <si>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</si>
  <si>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</si>
  <si>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</si>
  <si>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</si>
  <si>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</si>
  <si>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</si>
  <si>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</si>
  <si>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</si>
  <si>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</si>
  <si>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</si>
  <si>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</si>
  <si>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</si>
  <si>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</si>
  <si>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</si>
  <si>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</si>
  <si>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</si>
  <si>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</si>
  <si>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</si>
  <si>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</si>
  <si>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</si>
  <si>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</si>
  <si>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</si>
  <si>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</si>
  <si>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</si>
  <si>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</si>
  <si>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</si>
  <si>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</si>
  <si>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</si>
  <si>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</si>
  <si>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</si>
  <si>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</si>
  <si>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</si>
  <si>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</si>
  <si>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</si>
  <si>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</si>
  <si>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</si>
  <si>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</si>
  <si>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</si>
  <si>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</si>
  <si>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</si>
  <si>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</si>
  <si>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</si>
  <si>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</si>
  <si>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</si>
  <si>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</si>
  <si>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</si>
  <si>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</si>
  <si>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</si>
  <si>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</si>
  <si>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</si>
  <si>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</si>
  <si>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</si>
  <si>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</si>
  <si>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</si>
  <si>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</si>
  <si>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</si>
  <si>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</si>
  <si>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</si>
  <si>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</si>
  <si>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</si>
  <si>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</si>
  <si>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</si>
  <si>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</si>
  <si>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</si>
  <si>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</si>
  <si>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</si>
  <si>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</si>
  <si>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</si>
  <si>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</si>
  <si>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</si>
  <si>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</si>
  <si>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</si>
  <si>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</si>
  <si>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</si>
  <si>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</si>
  <si>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</si>
  <si>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</si>
  <si>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</si>
  <si>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</si>
  <si>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</si>
  <si>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</si>
  <si>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</si>
  <si>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</si>
  <si>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</si>
  <si>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</si>
  <si>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</si>
  <si>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</si>
  <si>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</si>
  <si>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</si>
  <si>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</si>
  <si>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</si>
  <si>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</si>
  <si>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</si>
  <si>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</si>
  <si>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</si>
  <si>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</si>
  <si>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</si>
  <si>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</si>
  <si>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</si>
  <si>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</si>
  <si>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</si>
  <si>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</si>
  <si>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</si>
  <si>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</si>
  <si>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</si>
  <si>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</si>
  <si>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</si>
  <si>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</si>
  <si>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</si>
  <si>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</si>
  <si>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</si>
  <si>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</si>
  <si>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</si>
  <si>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</si>
  <si>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</si>
  <si>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</si>
  <si>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</si>
  <si>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</si>
  <si>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</si>
  <si>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</si>
  <si>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</si>
  <si>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</si>
  <si>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</si>
  <si>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</si>
  <si>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</si>
  <si>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</si>
  <si>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</si>
  <si>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</si>
  <si>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</si>
  <si>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</si>
  <si>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</si>
  <si>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</si>
  <si>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</si>
  <si>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</si>
  <si>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</si>
  <si>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</si>
  <si>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</si>
  <si>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</si>
  <si>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</si>
  <si>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</si>
  <si>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</si>
  <si>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</si>
  <si>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</si>
  <si>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</si>
  <si>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</si>
  <si>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</si>
  <si>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</si>
  <si>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</si>
  <si>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</si>
  <si>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</si>
  <si>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</si>
  <si>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</si>
  <si>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</si>
  <si>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</si>
  <si>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</si>
  <si>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</si>
  <si>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</si>
  <si>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</si>
  <si>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</si>
  <si>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</si>
  <si>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</si>
  <si>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</si>
  <si>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</si>
  <si>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</si>
  <si>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</si>
  <si>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</si>
  <si>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</si>
  <si>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</si>
  <si>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</si>
  <si>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</si>
  <si>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</si>
  <si>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</si>
  <si>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</si>
  <si>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</si>
  <si>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</si>
  <si>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</si>
  <si>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</si>
  <si>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</si>
  <si>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</si>
  <si>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</si>
  <si>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</si>
  <si>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</si>
  <si>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</si>
  <si>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</si>
  <si>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</si>
  <si>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</si>
  <si>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</si>
  <si>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</si>
  <si>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</si>
  <si>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</si>
  <si>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</si>
  <si>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</si>
  <si>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</si>
  <si>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</si>
  <si>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</si>
  <si>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</si>
  <si>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</si>
  <si>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</si>
  <si>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</si>
  <si>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</si>
  <si>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</si>
  <si>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</si>
  <si>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</si>
  <si>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</si>
  <si>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</si>
  <si>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</si>
  <si>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</si>
  <si>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</si>
  <si>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</si>
  <si>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</si>
  <si>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</si>
  <si>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</si>
  <si>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</si>
  <si>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</si>
  <si>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</si>
  <si>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</si>
  <si>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</si>
  <si>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</si>
  <si>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</si>
  <si>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</si>
  <si>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</si>
  <si>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</si>
  <si>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</si>
  <si>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</si>
  <si>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</si>
  <si>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</si>
  <si>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</si>
  <si>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</si>
  <si>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</si>
  <si>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</si>
  <si>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</si>
  <si>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</si>
  <si>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</si>
  <si>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</si>
  <si>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</si>
  <si>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</si>
  <si>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</si>
  <si>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</si>
  <si>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</si>
  <si>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</si>
  <si>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</si>
  <si>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</si>
  <si>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</si>
  <si>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</si>
  <si>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</si>
  <si>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</si>
  <si>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</si>
  <si>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</si>
  <si>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</si>
  <si>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</si>
  <si>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</si>
  <si>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</si>
  <si>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</si>
  <si>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</si>
  <si>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</si>
  <si>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</si>
  <si>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</si>
  <si>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</si>
  <si>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</si>
  <si>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</si>
  <si>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</si>
  <si>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</si>
  <si>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</si>
  <si>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</si>
  <si>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</si>
  <si>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</si>
  <si>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</si>
  <si>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</si>
  <si>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</si>
  <si>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</si>
  <si>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</si>
  <si>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</si>
  <si>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</si>
  <si>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</si>
  <si>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</si>
  <si>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</si>
  <si>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</si>
  <si>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</si>
  <si>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</si>
  <si>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</si>
  <si>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</si>
  <si>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</si>
  <si>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</si>
  <si>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</si>
  <si>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</si>
  <si>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</si>
  <si>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</si>
  <si>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</si>
  <si>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</si>
  <si>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</si>
  <si>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</si>
  <si>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</si>
  <si>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</si>
  <si>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</si>
  <si>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</si>
  <si>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</si>
  <si>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</si>
  <si>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</si>
  <si>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</si>
  <si>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</si>
  <si>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</si>
  <si>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</si>
  <si>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</si>
  <si>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</si>
  <si>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</si>
  <si>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</si>
  <si>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</si>
  <si>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</si>
  <si>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</si>
  <si>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</si>
  <si>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</si>
  <si>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</si>
  <si>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</si>
  <si>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</si>
  <si>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</si>
  <si>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</si>
  <si>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</si>
  <si>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</si>
  <si>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</si>
  <si>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</si>
  <si>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</si>
  <si>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</si>
  <si>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</si>
  <si>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</si>
  <si>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</si>
  <si>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</si>
  <si>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</si>
  <si>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</si>
  <si>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</si>
  <si>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</si>
  <si>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</si>
  <si>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</si>
  <si>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</si>
  <si>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</si>
  <si>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</si>
  <si>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</si>
  <si>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</si>
  <si>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</si>
  <si>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</si>
  <si>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</si>
  <si>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</si>
  <si>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</si>
  <si>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</si>
  <si>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</si>
  <si>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</si>
  <si>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</si>
  <si>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</si>
  <si>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</si>
  <si>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</si>
  <si>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</si>
  <si>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</si>
  <si>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</si>
  <si>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</si>
  <si>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</si>
  <si>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</si>
  <si>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</si>
  <si>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</si>
  <si>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</si>
  <si>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</si>
  <si>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</si>
  <si>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</si>
  <si>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</si>
  <si>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</si>
  <si>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</si>
  <si>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</si>
  <si>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</si>
  <si>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</si>
  <si>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</si>
  <si>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</si>
  <si>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</si>
  <si>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</si>
  <si>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</si>
  <si>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</si>
  <si>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</si>
  <si>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</si>
  <si>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</si>
  <si>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</si>
  <si>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</si>
  <si>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</si>
  <si>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</si>
  <si>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</si>
  <si>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</si>
  <si>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</si>
  <si>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</si>
  <si>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</si>
  <si>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</si>
  <si>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</si>
  <si>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</si>
  <si>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</si>
  <si>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</si>
  <si>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</si>
  <si>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</si>
  <si>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</si>
  <si>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</si>
  <si>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</si>
  <si>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</si>
  <si>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</si>
  <si>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</si>
  <si>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</si>
  <si>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</si>
  <si>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</si>
  <si>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</si>
  <si>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</si>
  <si>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</si>
  <si>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</si>
  <si>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</si>
  <si>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</si>
  <si>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</si>
  <si>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</si>
  <si>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</si>
  <si>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</si>
  <si>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</si>
  <si>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</si>
  <si>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</si>
  <si>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</si>
  <si>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</si>
  <si>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</si>
  <si>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</si>
  <si>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</si>
  <si>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</si>
  <si>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</si>
  <si>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</si>
  <si>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</si>
  <si>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</si>
  <si>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</si>
  <si>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</si>
  <si>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</si>
  <si>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</si>
  <si>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</si>
  <si>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</si>
  <si>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</si>
  <si>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</si>
  <si>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</si>
  <si>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</si>
  <si>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</si>
  <si>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</si>
  <si>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</si>
  <si>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</si>
  <si>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</si>
  <si>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</si>
  <si>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</si>
  <si>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</si>
  <si>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</si>
  <si>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</si>
  <si>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</si>
  <si>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</si>
  <si>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</si>
  <si>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</si>
  <si>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</si>
  <si>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</si>
  <si>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</si>
  <si>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</si>
  <si>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</si>
  <si>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</si>
  <si>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</si>
  <si>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</si>
  <si>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</si>
  <si>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</si>
  <si>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</si>
  <si>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</si>
  <si>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</si>
  <si>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</si>
  <si>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</si>
  <si>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</si>
  <si>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</si>
  <si>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</si>
  <si>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</si>
  <si>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</si>
  <si>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</si>
  <si>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</si>
  <si>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</si>
  <si>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</si>
  <si>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</si>
  <si>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</si>
  <si>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</si>
  <si>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</si>
  <si>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</si>
  <si>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</si>
  <si>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</si>
  <si>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</si>
  <si>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</si>
  <si>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</si>
  <si>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</si>
  <si>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</si>
  <si>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</si>
  <si>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</si>
  <si>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</si>
  <si>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</si>
  <si>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</si>
  <si>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</si>
  <si>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</si>
  <si>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</si>
  <si>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</si>
  <si>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</si>
  <si>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</si>
  <si>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</si>
  <si>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</si>
  <si>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</si>
  <si>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</si>
  <si>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</si>
  <si>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</si>
  <si>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</si>
  <si>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</si>
  <si>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</si>
  <si>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</si>
  <si>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</si>
  <si>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</si>
  <si>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</si>
  <si>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</si>
  <si>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</si>
  <si>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</si>
  <si>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</si>
  <si>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</si>
  <si>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</si>
  <si>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</si>
  <si>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</si>
  <si>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</si>
  <si>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</si>
  <si>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</si>
  <si>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</si>
  <si>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</si>
  <si>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</si>
  <si>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</si>
  <si>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</si>
  <si>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</si>
  <si>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</si>
  <si>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</si>
  <si>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</si>
  <si>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</si>
  <si>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</si>
  <si>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</si>
  <si>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</si>
  <si>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</si>
  <si>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</si>
  <si>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</si>
  <si>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</si>
  <si>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</si>
  <si>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</si>
  <si>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</si>
  <si>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</si>
  <si>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</si>
  <si>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</si>
  <si>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</si>
  <si>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</si>
  <si>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</si>
  <si>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</si>
  <si>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</si>
  <si>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</si>
  <si>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</si>
  <si>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</si>
  <si>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</si>
  <si>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</si>
  <si>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</si>
  <si>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</si>
  <si>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</si>
  <si>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</si>
  <si>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</si>
  <si>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</si>
  <si>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</si>
  <si>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</si>
  <si>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</si>
  <si>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</si>
  <si>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</si>
  <si>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</si>
  <si>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</si>
  <si>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</si>
  <si>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</si>
  <si>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</si>
  <si>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</si>
  <si>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</si>
  <si>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</si>
  <si>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</si>
  <si>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</si>
  <si>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</si>
  <si>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</si>
  <si>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</si>
  <si>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</si>
  <si>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</si>
  <si>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</si>
  <si>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</si>
  <si>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</si>
  <si>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</si>
  <si>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</si>
  <si>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</si>
  <si>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</si>
  <si>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</si>
  <si>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</si>
  <si>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</si>
  <si>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</si>
  <si>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</si>
  <si>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</si>
  <si>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</si>
  <si>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</si>
  <si>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</si>
  <si>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</si>
  <si>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</si>
  <si>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</si>
  <si>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</si>
  <si>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</si>
  <si>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</si>
  <si>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</si>
  <si>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</si>
  <si>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</si>
  <si>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</si>
  <si>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</si>
  <si>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</si>
  <si>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</si>
  <si>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</si>
  <si>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</si>
  <si>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</si>
  <si>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</si>
  <si>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</si>
  <si>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</si>
  <si>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</si>
  <si>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</si>
  <si>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</si>
  <si>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</si>
  <si>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</si>
  <si>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</si>
  <si>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</si>
  <si>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</si>
  <si>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</si>
  <si>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</si>
  <si>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</si>
  <si>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</si>
  <si>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</si>
  <si>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</si>
  <si>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</si>
  <si>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</si>
  <si>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</si>
  <si>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</si>
  <si>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</si>
  <si>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</si>
  <si>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</si>
  <si>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</si>
  <si>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</si>
  <si>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</si>
  <si>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</si>
  <si>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</si>
  <si>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</si>
  <si>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</si>
  <si>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</si>
  <si>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</si>
  <si>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</si>
  <si>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</si>
  <si>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</si>
  <si>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</si>
  <si>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</si>
  <si>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</si>
  <si>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</si>
  <si>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</si>
  <si>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</si>
  <si>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</si>
  <si>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</si>
  <si>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</si>
  <si>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</si>
  <si>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</si>
  <si>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</si>
  <si>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</si>
  <si>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</si>
  <si>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</si>
  <si>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</si>
  <si>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</si>
  <si>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</si>
  <si>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</si>
  <si>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</si>
  <si>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</si>
  <si>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</si>
  <si>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</si>
  <si>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</si>
  <si>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</si>
  <si>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</si>
  <si>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</si>
  <si>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</si>
  <si>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</si>
  <si>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</si>
  <si>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</si>
  <si>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</si>
  <si>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</si>
  <si>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</si>
  <si>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</si>
  <si>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</si>
  <si>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</si>
  <si>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</si>
  <si>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</si>
  <si>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</si>
  <si>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</si>
  <si>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</si>
  <si>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</si>
  <si>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</si>
  <si>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</si>
  <si>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</si>
  <si>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</si>
  <si>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</si>
  <si>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</si>
  <si>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</si>
  <si>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</si>
  <si>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</si>
  <si>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</si>
  <si>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</si>
  <si>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</si>
  <si>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</si>
  <si>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</si>
  <si>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</si>
  <si>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</si>
  <si>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</si>
  <si>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</si>
  <si>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</si>
  <si>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</si>
  <si>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</si>
  <si>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</si>
  <si>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</si>
  <si>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</si>
  <si>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</si>
  <si>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</si>
  <si>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</si>
  <si>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</si>
  <si>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</si>
  <si>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</si>
  <si>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</si>
  <si>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</si>
  <si>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</si>
  <si>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</si>
  <si>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</si>
  <si>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</si>
  <si>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</si>
  <si>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</si>
  <si>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</si>
  <si>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</si>
  <si>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</si>
  <si>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</si>
  <si>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</si>
  <si>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</si>
  <si>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</si>
  <si>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</si>
  <si>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</si>
  <si>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</si>
  <si>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</si>
  <si>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</si>
  <si>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</si>
  <si>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</si>
  <si>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</si>
  <si>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</si>
  <si>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</si>
  <si>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</si>
  <si>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</si>
  <si>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</si>
  <si>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</si>
  <si>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</si>
  <si>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</si>
  <si>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</si>
  <si>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</si>
  <si>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</si>
  <si>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</si>
  <si>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</si>
  <si>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</si>
  <si>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</si>
  <si>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</si>
  <si>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</si>
  <si>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</si>
  <si>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</si>
  <si>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</si>
  <si>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</si>
  <si>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</si>
  <si>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</si>
  <si>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</si>
  <si>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</si>
  <si>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</si>
  <si>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</si>
  <si>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</si>
  <si>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</si>
  <si>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</si>
  <si>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</si>
  <si>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</si>
  <si>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</si>
  <si>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</si>
  <si>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</si>
  <si>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</si>
  <si>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</si>
  <si>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</si>
  <si>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</si>
  <si>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</si>
  <si>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</si>
  <si>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</si>
  <si>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</si>
  <si>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</si>
  <si>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</si>
  <si>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</si>
  <si>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</si>
  <si>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</si>
  <si>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</si>
  <si>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</si>
  <si>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</si>
  <si>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</si>
  <si>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</si>
  <si>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</si>
  <si>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</si>
  <si>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</si>
  <si>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</si>
  <si>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</si>
  <si>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</si>
  <si>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</si>
  <si>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</si>
  <si>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</si>
  <si>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</si>
  <si>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</si>
  <si>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</si>
  <si>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</si>
  <si>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</si>
  <si>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</si>
  <si>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</si>
  <si>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</si>
  <si>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</si>
  <si>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</si>
  <si>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</si>
  <si>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</si>
  <si>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</si>
  <si>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</si>
  <si>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</si>
  <si>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</si>
  <si>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</si>
  <si>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</si>
  <si>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</si>
  <si>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</si>
  <si>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</si>
  <si>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</si>
  <si>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</si>
  <si>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</si>
  <si>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</si>
  <si>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</si>
  <si>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</si>
  <si>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</si>
  <si>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</si>
  <si>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</si>
  <si>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</si>
  <si>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</si>
  <si>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</si>
  <si>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</si>
  <si>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</si>
  <si>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</si>
  <si>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</si>
  <si>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</si>
  <si>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</si>
  <si>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</si>
  <si>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</si>
  <si>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</si>
  <si>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</si>
  <si>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</si>
  <si>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</si>
  <si>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</si>
  <si>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</si>
  <si>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</si>
  <si>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</si>
  <si>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</si>
  <si>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</si>
  <si>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</si>
  <si>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</si>
  <si>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</si>
  <si>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</si>
  <si>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</si>
  <si>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</si>
  <si>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</si>
  <si>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</si>
  <si>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</si>
  <si>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</si>
  <si>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</si>
  <si>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</si>
  <si>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</si>
  <si>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</si>
  <si>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</si>
  <si>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</si>
  <si>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</si>
  <si>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</si>
  <si>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</si>
  <si>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</si>
  <si>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</si>
  <si>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</si>
  <si>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</si>
  <si>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</si>
  <si>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</si>
  <si>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</si>
  <si>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</si>
  <si>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</si>
  <si>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</si>
  <si>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</si>
  <si>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</si>
  <si>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</si>
  <si>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</si>
  <si>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</si>
  <si>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</si>
  <si>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</si>
  <si>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</si>
  <si>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</si>
  <si>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</si>
  <si>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</si>
  <si>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</si>
  <si>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</si>
  <si>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</si>
  <si>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</si>
  <si>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</si>
  <si>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</si>
  <si>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</si>
  <si>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</si>
  <si>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</si>
  <si>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</si>
  <si>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</si>
  <si>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</si>
  <si>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</si>
  <si>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</si>
  <si>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</si>
  <si>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</si>
  <si>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</si>
  <si>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</si>
  <si>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</si>
  <si>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</si>
  <si>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</si>
  <si>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</si>
  <si>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</si>
  <si>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</si>
  <si>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</si>
  <si>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</si>
  <si>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</si>
  <si>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</si>
  <si>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</si>
  <si>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</si>
  <si>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</si>
  <si>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</si>
  <si>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</si>
  <si>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</si>
  <si>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</si>
  <si>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</si>
  <si>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</si>
  <si>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</si>
  <si>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</si>
  <si>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</si>
  <si>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</si>
  <si>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</si>
  <si>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</si>
  <si>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</si>
  <si>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</si>
  <si>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</si>
  <si>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</si>
  <si>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</si>
  <si>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</si>
  <si>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</si>
  <si>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</si>
  <si>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</si>
  <si>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</si>
  <si>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</si>
  <si>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</si>
  <si>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</si>
  <si>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</si>
  <si>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</si>
  <si>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</si>
  <si>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</si>
  <si>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</si>
  <si>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</si>
  <si>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</si>
  <si>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</si>
  <si>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</si>
  <si>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</si>
  <si>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</si>
  <si>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</si>
  <si>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</si>
  <si>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</si>
  <si>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</si>
  <si>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</si>
  <si>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</si>
  <si>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</si>
  <si>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</si>
  <si>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</si>
  <si>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</si>
  <si>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</si>
  <si>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</si>
  <si>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</si>
  <si>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</si>
  <si>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</si>
  <si>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</si>
  <si>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</si>
  <si>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</si>
  <si>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</si>
  <si>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</si>
  <si>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</si>
  <si>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</si>
  <si>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</si>
  <si>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</si>
  <si>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</si>
  <si>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</si>
  <si>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</si>
  <si>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</si>
  <si>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</si>
  <si>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</si>
  <si>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</si>
  <si>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</si>
  <si>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</si>
  <si>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</si>
  <si>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</si>
  <si>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</si>
  <si>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</si>
  <si>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</si>
  <si>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</si>
  <si>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</si>
  <si>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</si>
  <si>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</si>
  <si>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</si>
  <si>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</si>
  <si>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</si>
  <si>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</si>
  <si>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</si>
  <si>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</si>
  <si>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</si>
  <si>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</si>
  <si>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</si>
  <si>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</si>
  <si>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</si>
  <si>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</si>
  <si>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</si>
  <si>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</si>
  <si>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</si>
  <si>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</si>
  <si>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</si>
  <si>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</si>
  <si>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</si>
  <si>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</si>
  <si>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</si>
  <si>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</si>
  <si>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</si>
  <si>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</si>
  <si>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</si>
  <si>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</si>
  <si>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</si>
  <si>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</si>
  <si>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</si>
  <si>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</si>
  <si>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</si>
  <si>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</si>
  <si>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</si>
  <si>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</si>
  <si>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</si>
  <si>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</si>
  <si>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</si>
  <si>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</si>
  <si>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</si>
  <si>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</si>
  <si>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</si>
  <si>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</si>
  <si>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</si>
  <si>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</si>
  <si>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</si>
  <si>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</si>
  <si>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</si>
  <si>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</si>
  <si>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</si>
  <si>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</si>
  <si>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</si>
  <si>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</si>
  <si>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</si>
  <si>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</si>
  <si>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</si>
  <si>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</si>
  <si>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</si>
  <si>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</si>
  <si>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</si>
  <si>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</si>
  <si>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</si>
  <si>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</si>
  <si>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</si>
  <si>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</si>
  <si>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</si>
  <si>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</si>
  <si>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</si>
  <si>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</si>
  <si>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</si>
  <si>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</si>
  <si>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</si>
  <si>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</si>
  <si>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</si>
  <si>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</si>
  <si>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</si>
  <si>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</si>
  <si>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</si>
  <si>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</si>
  <si>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</si>
  <si>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</si>
  <si>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</si>
  <si>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</si>
  <si>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</si>
  <si>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</si>
  <si>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</si>
  <si>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</si>
  <si>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</si>
  <si>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</si>
  <si>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</si>
  <si>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</si>
  <si>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</si>
  <si>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</si>
  <si>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</si>
  <si>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</si>
  <si>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</si>
  <si>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</si>
  <si>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</si>
  <si>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</si>
  <si>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</si>
  <si>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</si>
  <si>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</si>
  <si>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</si>
  <si>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</si>
  <si>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</si>
  <si>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</si>
  <si>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</si>
  <si>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</si>
  <si>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</si>
  <si>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</si>
  <si>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</si>
  <si>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</si>
  <si>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</si>
  <si>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</si>
  <si>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</si>
  <si>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</si>
  <si>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</si>
  <si>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</si>
  <si>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</si>
  <si>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</si>
  <si>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</si>
  <si>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</si>
  <si>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</si>
  <si>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</si>
  <si>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</si>
  <si>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</si>
  <si>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</si>
  <si>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</si>
  <si>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</si>
  <si>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</si>
  <si>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</si>
  <si>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</si>
  <si>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</si>
  <si>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</si>
  <si>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</si>
  <si>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</si>
  <si>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</si>
  <si>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</si>
  <si>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</si>
  <si>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</si>
  <si>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</si>
  <si>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</si>
  <si>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</si>
  <si>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</si>
  <si>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</si>
  <si>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700 Schoenbeck Road</t>
  </si>
  <si>
    <t xml:space="preserve">Prospect Heights </t>
  </si>
  <si>
    <t>Evans, Marshall and Pease, PC</t>
  </si>
  <si>
    <t>Jeffery M. Rollefson, CPA</t>
  </si>
  <si>
    <t>1875 Hicks Road</t>
  </si>
  <si>
    <t>Rolling Meadows</t>
  </si>
  <si>
    <t>Illinois</t>
  </si>
  <si>
    <t>847-221-5700</t>
  </si>
  <si>
    <t>847-221-5701</t>
  </si>
  <si>
    <t>060-003973</t>
  </si>
  <si>
    <t>jeff@empcpa.com</t>
  </si>
  <si>
    <t>School Bond</t>
  </si>
  <si>
    <t>Capital lease - DeLage</t>
  </si>
  <si>
    <t>Capital lease - IPAD</t>
  </si>
  <si>
    <t>Capital lease - band instruments</t>
  </si>
  <si>
    <t>EBC</t>
  </si>
  <si>
    <t>SD 300 and 20</t>
  </si>
  <si>
    <t>SD 25</t>
  </si>
  <si>
    <t>NSSEO</t>
  </si>
  <si>
    <t>NSSEO, SD 21,25,26,57,59,211,214</t>
  </si>
  <si>
    <t>SD 21</t>
  </si>
  <si>
    <r>
      <t>The accompanying Schedule of Expenditures of Federal Awards includes the federal grant activity of Prospect Heights SD No. 23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</si>
  <si>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</si>
  <si>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The following amounts were expended in the form of non-cash assistance by Prospect Heights SD 23 and is</t>
    </r>
    <r>
      <rPr>
        <sz val="9"/>
        <rFont val="Calibri"/>
        <family val="2"/>
        <scheme val="minor"/>
      </rPr>
      <t xml:space="preserve"> included in the Schedule of Expenditures of Federal Awards:</t>
    </r>
  </si>
  <si>
    <t>no</t>
  </si>
  <si>
    <t>US DEPARTMENT OF EDUCATION</t>
  </si>
  <si>
    <t>PASSED THROUGH THE ILLINOIS STATE BOARD OF EDUCATION</t>
  </si>
  <si>
    <t>TITLE I - LOW INCOME (M)</t>
  </si>
  <si>
    <t>17-4300-00</t>
  </si>
  <si>
    <t>proj end 8/31</t>
  </si>
  <si>
    <t>TITLE II - TEACHER QUALITY (M)</t>
  </si>
  <si>
    <t>18-4300-00</t>
  </si>
  <si>
    <t>17-4932-00</t>
  </si>
  <si>
    <t>18-4932-00</t>
  </si>
  <si>
    <t>TITLE III - LANG INST PROG - LIPLEP</t>
  </si>
  <si>
    <t>17-4909-00</t>
  </si>
  <si>
    <t>18-4909-00</t>
  </si>
  <si>
    <t>PASSED THROUGH THE NORTHWEST SPECIAL EDUCATION ORGANIZATION</t>
  </si>
  <si>
    <t>IDEA SPECIAL EDUCATION PRESCHOOL</t>
  </si>
  <si>
    <t>IDEA SPECIAL EDUCATION FLOW THROUGH</t>
  </si>
  <si>
    <t>17-4600-00</t>
  </si>
  <si>
    <t>18-4600-00</t>
  </si>
  <si>
    <t>17-4620-00</t>
  </si>
  <si>
    <t>18-4620-00</t>
  </si>
  <si>
    <t>N/A</t>
  </si>
  <si>
    <t xml:space="preserve">   TOTAL US DEPARTMENT OF EDUCATION</t>
  </si>
  <si>
    <t>US DEPARTMENT OF AGRICULTURE</t>
  </si>
  <si>
    <t>NATIONAL SCHOOL LUNCH</t>
  </si>
  <si>
    <t>17-4210-00</t>
  </si>
  <si>
    <t>18-4210-00</t>
  </si>
  <si>
    <t>PROJ END 9/30</t>
  </si>
  <si>
    <t>FY18</t>
  </si>
  <si>
    <t>COMMODITIES (NON-CASH)</t>
  </si>
  <si>
    <t>DoD FRESH FRUITS AND VEGETABLES</t>
  </si>
  <si>
    <t>SCHOOL BREAKFAST</t>
  </si>
  <si>
    <t>17-4220-00</t>
  </si>
  <si>
    <t>18-4220-00</t>
  </si>
  <si>
    <t>CHILD &amp; ADULT CARE FOOD PROGRAM</t>
  </si>
  <si>
    <t>18-4226-00</t>
  </si>
  <si>
    <t xml:space="preserve">   TOTAL US DEPARTMENT OF AGRICULTURE</t>
  </si>
  <si>
    <t xml:space="preserve">      TOTAL FEDERAL AWARDS</t>
  </si>
  <si>
    <t>X</t>
  </si>
  <si>
    <t>Unmodifed</t>
  </si>
  <si>
    <t>Title I low income</t>
  </si>
  <si>
    <t>Title II teacher quality</t>
  </si>
  <si>
    <t>Long term debt error is proceeds form capital lease.</t>
  </si>
  <si>
    <t>SSCIP, ICRMT</t>
  </si>
  <si>
    <t>SD 21, NSSEO, 25,26,214</t>
  </si>
  <si>
    <t>First Student</t>
  </si>
  <si>
    <t>Arlington Heights SD 25</t>
  </si>
  <si>
    <t>Apple Computer</t>
  </si>
  <si>
    <t>Honeywell</t>
  </si>
  <si>
    <t>Constellation Energy</t>
  </si>
  <si>
    <t>IL Counties Risk Mgmt</t>
  </si>
  <si>
    <t>De Lage Landen</t>
  </si>
  <si>
    <t>Graham C Stores</t>
  </si>
  <si>
    <t>Warehouse Direct</t>
  </si>
  <si>
    <t>Suburban School Coop</t>
  </si>
  <si>
    <t>AppleLease</t>
  </si>
  <si>
    <t>City of Prospect Heights</t>
  </si>
  <si>
    <t>WOW Business</t>
  </si>
  <si>
    <t>Milieu Design</t>
  </si>
  <si>
    <t>ECRA Group</t>
  </si>
  <si>
    <t>Constellation NewEnergy</t>
  </si>
  <si>
    <t>Tyler Tech</t>
  </si>
  <si>
    <t>ATT</t>
  </si>
  <si>
    <t>40-2550-300</t>
  </si>
  <si>
    <t>10-2560-300</t>
  </si>
  <si>
    <t>TR-Pupil transportation- purchased service</t>
  </si>
  <si>
    <t>ED-Food Service-purchased service</t>
  </si>
  <si>
    <t>20-2540-400</t>
  </si>
  <si>
    <t>ED-Educational Media-supplies and materials</t>
  </si>
  <si>
    <t>TF-workers compensation-purchased services</t>
  </si>
  <si>
    <t>10-2570-300</t>
  </si>
  <si>
    <t>ED-Internal Services-purchased services</t>
  </si>
  <si>
    <t>40-2550-400</t>
  </si>
  <si>
    <t>TR-Pupil transportation- supplies and materials</t>
  </si>
  <si>
    <t>ED-Instructional-supplies and materials</t>
  </si>
  <si>
    <t>TF-Insurance-purchased services</t>
  </si>
  <si>
    <t>ED-Other support-purchased services</t>
  </si>
  <si>
    <t>10-2630-300</t>
  </si>
  <si>
    <t>Ed-Informational services-purchased services</t>
  </si>
  <si>
    <t>20-2540-300</t>
  </si>
  <si>
    <t>OM-Operations and Maintenance-purchased services</t>
  </si>
  <si>
    <t>OM-Operations and Maintenance-supplies and mat</t>
  </si>
  <si>
    <t>All-Ways Tranportation</t>
  </si>
  <si>
    <t>Apple Inc</t>
  </si>
  <si>
    <t>OM-Operations and Maint-supplies and mat</t>
  </si>
  <si>
    <t>10-2520-300</t>
  </si>
  <si>
    <t>ED-Fiscal Services-purchased services</t>
  </si>
  <si>
    <t>Prospect Heights SD 23</t>
  </si>
  <si>
    <t>10-2200-400</t>
  </si>
  <si>
    <t>80-2300-300</t>
  </si>
  <si>
    <t>10-1000-400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</si>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</sst>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86" fillId="0" borderId="22" xfId="3" applyNumberFormat="1" applyFont="1" applyBorder="1" applyAlignment="1" applyProtection="1">
      <alignment horizontal="left" vertical="center" wrapText="1"/>
      <protection locked="0"/>
    </xf>
    <xf numFmtId="3" fontId="86" fillId="0" borderId="22" xfId="3" applyNumberFormat="1"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510887</xdr:colOff>
          <xdr:row>4</xdr:row>
          <xdr:rowOff>129886</xdr:rowOff>
        </xdr:from>
        <xdr:to>
          <xdr:col>5</xdr:col>
          <xdr:colOff>209550</xdr:colOff>
          <xdr:row>9</xdr:row>
          <xdr:rowOff>3463</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xdr:row>
          <xdr:rowOff>147204</xdr:rowOff>
        </xdr:from>
        <xdr:to>
          <xdr:col>7</xdr:col>
          <xdr:colOff>79663</xdr:colOff>
          <xdr:row>9</xdr:row>
          <xdr:rowOff>20781</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2075</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2075</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5016023002</v>
      </c>
      <c r="B13" s="2042"/>
      <c r="C13" s="2042"/>
      <c r="D13" s="2042"/>
      <c r="E13" s="2042"/>
      <c r="F13" s="2042"/>
      <c r="G13" s="2042"/>
      <c r="H13" s="2043"/>
      <c r="I13" s="31"/>
      <c r="J13" s="30"/>
      <c r="K13" s="28"/>
      <c r="L13" s="30"/>
      <c r="M13" s="30"/>
      <c r="N13" s="30"/>
      <c r="O13" s="30"/>
      <c r="P13" s="30"/>
      <c r="Q13" s="30"/>
      <c r="R13" s="30"/>
      <c r="S13" s="30"/>
      <c r="T13" s="2046" t="s">
        <v>2079</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2076</v>
      </c>
      <c r="B15" s="2044"/>
      <c r="C15" s="2044"/>
      <c r="D15" s="2044"/>
      <c r="E15" s="2044"/>
      <c r="F15" s="2044"/>
      <c r="G15" s="2044"/>
      <c r="H15" s="2045"/>
      <c r="T15" s="2050" t="s">
        <v>2080</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2187</v>
      </c>
      <c r="B17" s="2001"/>
      <c r="C17" s="2001"/>
      <c r="D17" s="2001"/>
      <c r="E17" s="2001"/>
      <c r="F17" s="2001"/>
      <c r="G17" s="2001"/>
      <c r="H17" s="2026"/>
      <c r="T17" s="2057" t="s">
        <v>2081</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2077</v>
      </c>
      <c r="B19" s="1986"/>
      <c r="C19" s="1986"/>
      <c r="D19" s="1986"/>
      <c r="E19" s="1986"/>
      <c r="F19" s="1986"/>
      <c r="G19" s="1986"/>
      <c r="H19" s="1966"/>
      <c r="I19" s="30"/>
      <c r="J19" s="99"/>
      <c r="K19" s="40"/>
      <c r="L19" s="38"/>
      <c r="M19" s="112" t="s">
        <v>333</v>
      </c>
      <c r="P19" s="27"/>
      <c r="Q19" s="27"/>
      <c r="R19" s="27"/>
      <c r="S19" s="31"/>
      <c r="T19" s="2040" t="s">
        <v>2082</v>
      </c>
      <c r="U19" s="1965"/>
      <c r="V19" s="1965"/>
      <c r="W19" s="1966"/>
      <c r="X19" s="2055" t="s">
        <v>2083</v>
      </c>
      <c r="Y19" s="2056"/>
      <c r="Z19" s="2053">
        <v>60008</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2078</v>
      </c>
      <c r="B21" s="1965"/>
      <c r="C21" s="1965"/>
      <c r="D21" s="1965"/>
      <c r="E21" s="1965"/>
      <c r="F21" s="1965"/>
      <c r="G21" s="1965"/>
      <c r="H21" s="1966"/>
      <c r="I21" s="2020" t="s">
        <v>699</v>
      </c>
      <c r="J21" s="2015"/>
      <c r="K21" s="2015"/>
      <c r="L21" s="2015"/>
      <c r="M21" s="2015"/>
      <c r="N21" s="2015"/>
      <c r="O21" s="2015"/>
      <c r="P21" s="2015"/>
      <c r="Q21" s="2015"/>
      <c r="R21" s="2015"/>
      <c r="S21" s="2021"/>
      <c r="T21" s="2064" t="s">
        <v>2084</v>
      </c>
      <c r="U21" s="2065"/>
      <c r="V21" s="2065"/>
      <c r="W21" s="2065"/>
      <c r="X21" s="2070" t="s">
        <v>2085</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c r="B23" s="2018"/>
      <c r="C23" s="2018"/>
      <c r="D23" s="2018"/>
      <c r="E23" s="2018"/>
      <c r="F23" s="2018"/>
      <c r="G23" s="2018"/>
      <c r="H23" s="2019"/>
      <c r="T23" s="2000" t="s">
        <v>2086</v>
      </c>
      <c r="U23" s="2063"/>
      <c r="V23" s="2063"/>
      <c r="W23" s="2063"/>
      <c r="X23" s="2067">
        <v>43466</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60070</v>
      </c>
      <c r="B25" s="1965"/>
      <c r="C25" s="1965"/>
      <c r="D25" s="1965"/>
      <c r="E25" s="1965"/>
      <c r="F25" s="1965"/>
      <c r="G25" s="1965"/>
      <c r="H25" s="1966"/>
      <c r="I25" s="113"/>
      <c r="J25" s="1989"/>
      <c r="K25" s="1989"/>
      <c r="L25" s="1989"/>
      <c r="M25" s="1989"/>
      <c r="N25" s="1989"/>
      <c r="O25" s="1989"/>
      <c r="P25" s="1989"/>
      <c r="Q25" s="1989"/>
      <c r="R25" s="1989"/>
      <c r="S25" s="1990"/>
      <c r="T25" s="2060" t="s">
        <v>2087</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2075</v>
      </c>
      <c r="C29" s="124" t="s">
        <v>874</v>
      </c>
      <c r="D29" s="114"/>
      <c r="E29" s="136"/>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c r="B42" s="1984"/>
      <c r="C42" s="1985"/>
      <c r="D42" s="1983"/>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1" sqref="E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6" t="s">
        <v>1903</v>
      </c>
      <c r="B2" s="1550" t="s">
        <v>2035</v>
      </c>
      <c r="C2" s="715" t="s">
        <v>1908</v>
      </c>
      <c r="D2" s="715" t="s">
        <v>1909</v>
      </c>
      <c r="E2" s="715" t="s">
        <v>1910</v>
      </c>
      <c r="F2" s="715" t="s">
        <v>1911</v>
      </c>
    </row>
    <row r="3" spans="1:6" ht="12" customHeight="1" x14ac:dyDescent="0.2">
      <c r="A3" s="2207"/>
      <c r="B3" s="1547"/>
      <c r="C3" s="1548"/>
      <c r="D3" s="1549" t="s">
        <v>274</v>
      </c>
      <c r="E3" s="1548"/>
      <c r="F3" s="1549" t="s">
        <v>275</v>
      </c>
    </row>
    <row r="4" spans="1:6" ht="13.7" customHeight="1" x14ac:dyDescent="0.2">
      <c r="A4" s="716" t="s">
        <v>1217</v>
      </c>
      <c r="B4" s="1771">
        <f>'Revenues 9-14'!C5</f>
        <v>13933498</v>
      </c>
      <c r="C4" s="1546">
        <v>7422872</v>
      </c>
      <c r="D4" s="1774">
        <f>B4-C4</f>
        <v>6510626</v>
      </c>
      <c r="E4" s="1546">
        <v>14184037</v>
      </c>
      <c r="F4" s="1774">
        <f>E4-C4</f>
        <v>6761165</v>
      </c>
    </row>
    <row r="5" spans="1:6" ht="13.7" customHeight="1" x14ac:dyDescent="0.2">
      <c r="A5" s="716" t="s">
        <v>925</v>
      </c>
      <c r="B5" s="1772">
        <f>'Revenues 9-14'!D5</f>
        <v>1558141</v>
      </c>
      <c r="C5" s="585">
        <v>851938</v>
      </c>
      <c r="D5" s="1775">
        <f t="shared" ref="D5:D18" si="0">B5-C5</f>
        <v>706203</v>
      </c>
      <c r="E5" s="585">
        <v>1627931</v>
      </c>
      <c r="F5" s="1775">
        <f>E5-C5</f>
        <v>775993</v>
      </c>
    </row>
    <row r="6" spans="1:6" ht="13.7" customHeight="1" x14ac:dyDescent="0.2">
      <c r="A6" s="716" t="s">
        <v>431</v>
      </c>
      <c r="B6" s="1772">
        <f>'Revenues 9-14'!E5</f>
        <v>1187985</v>
      </c>
      <c r="C6" s="585">
        <v>642431</v>
      </c>
      <c r="D6" s="1775">
        <f t="shared" si="0"/>
        <v>545554</v>
      </c>
      <c r="E6" s="585">
        <v>1227593</v>
      </c>
      <c r="F6" s="1775">
        <f t="shared" ref="F6:F18" si="1">E6-C6</f>
        <v>585162</v>
      </c>
    </row>
    <row r="7" spans="1:6" ht="13.7" customHeight="1" x14ac:dyDescent="0.2">
      <c r="A7" s="716" t="s">
        <v>157</v>
      </c>
      <c r="B7" s="1772">
        <f>'Revenues 9-14'!F5</f>
        <v>1120551</v>
      </c>
      <c r="C7" s="585">
        <v>673726</v>
      </c>
      <c r="D7" s="1775">
        <f t="shared" si="0"/>
        <v>446825</v>
      </c>
      <c r="E7" s="585">
        <v>1287394</v>
      </c>
      <c r="F7" s="1775">
        <f t="shared" si="1"/>
        <v>613668</v>
      </c>
    </row>
    <row r="8" spans="1:6" ht="13.7" customHeight="1" x14ac:dyDescent="0.2">
      <c r="A8" s="716" t="s">
        <v>1241</v>
      </c>
      <c r="B8" s="1772">
        <f>'Revenues 9-14'!G5</f>
        <v>293747</v>
      </c>
      <c r="C8" s="585">
        <v>189803</v>
      </c>
      <c r="D8" s="1775">
        <f t="shared" si="0"/>
        <v>103944</v>
      </c>
      <c r="E8" s="585">
        <v>362685</v>
      </c>
      <c r="F8" s="1775">
        <f t="shared" si="1"/>
        <v>172882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204635</v>
      </c>
      <c r="C11" s="585">
        <v>110404</v>
      </c>
      <c r="D11" s="1775">
        <f t="shared" si="0"/>
        <v>94231</v>
      </c>
      <c r="E11" s="585">
        <v>210967</v>
      </c>
      <c r="F11" s="1775">
        <f t="shared" si="1"/>
        <v>100563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293747</v>
      </c>
      <c r="C16" s="585">
        <v>189803</v>
      </c>
      <c r="D16" s="1775">
        <f t="shared" si="0"/>
        <v>103944</v>
      </c>
      <c r="E16" s="585">
        <v>362685</v>
      </c>
      <c r="F16" s="1775">
        <f t="shared" si="1"/>
        <v>172882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18592304</v>
      </c>
      <c r="C19" s="1773">
        <f>SUM(C4:C18)</f>
        <v>10080977</v>
      </c>
      <c r="D19" s="1773">
        <f>SUM(D4:D18)</f>
        <v>8511327</v>
      </c>
      <c r="E19" s="1773">
        <f>SUM(E4:E18)</f>
        <v>19263292</v>
      </c>
      <c r="F19" s="1773">
        <f>SUM(F4:F18)</f>
        <v>9182315</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36" sqref="H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1903</v>
      </c>
      <c r="B2" s="2234"/>
      <c r="C2" s="1908" t="s">
        <v>2036</v>
      </c>
      <c r="D2" s="724" t="s">
        <v>2043</v>
      </c>
      <c r="E2" s="724" t="s">
        <v>2044</v>
      </c>
      <c r="F2" s="1908" t="s">
        <v>2037</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7">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9" t="s">
        <v>652</v>
      </c>
      <c r="B15" s="2220"/>
      <c r="C15" s="1777">
        <f>SUM(C6:C14)</f>
        <v>0</v>
      </c>
      <c r="D15" s="1777">
        <f>SUM(D6:D14)</f>
        <v>0</v>
      </c>
      <c r="E15" s="1777">
        <f>SUM(E6:E14)</f>
        <v>0</v>
      </c>
      <c r="F15" s="1777">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7">
        <f>SUM(C17+D17)-E17</f>
        <v>0</v>
      </c>
    </row>
    <row r="18" spans="1:11" ht="12.75" customHeight="1" thickTop="1" thickBot="1" x14ac:dyDescent="0.25">
      <c r="A18" s="2214" t="s">
        <v>6</v>
      </c>
      <c r="B18" s="2215"/>
      <c r="C18" s="727"/>
      <c r="D18" s="585"/>
      <c r="E18" s="727"/>
      <c r="F18" s="1777">
        <f>SUM(C18+D18)-E18</f>
        <v>0</v>
      </c>
    </row>
    <row r="19" spans="1:11" ht="12.75" customHeight="1" thickTop="1" thickBot="1" x14ac:dyDescent="0.25">
      <c r="A19" s="2214" t="s">
        <v>406</v>
      </c>
      <c r="B19" s="2215"/>
      <c r="C19" s="727"/>
      <c r="D19" s="585"/>
      <c r="E19" s="727"/>
      <c r="F19" s="1777">
        <f>SUM(C19+D19)-E19</f>
        <v>0</v>
      </c>
    </row>
    <row r="20" spans="1:11" ht="12.75" customHeight="1" thickTop="1" thickBot="1" x14ac:dyDescent="0.25">
      <c r="A20" s="2214" t="s">
        <v>468</v>
      </c>
      <c r="B20" s="2215"/>
      <c r="C20" s="727"/>
      <c r="D20" s="585"/>
      <c r="E20" s="727"/>
      <c r="F20" s="1777">
        <f>SUM(C20+D20)-E20</f>
        <v>0</v>
      </c>
    </row>
    <row r="21" spans="1:11" ht="14.25" thickTop="1" thickBot="1" x14ac:dyDescent="0.25">
      <c r="A21" s="2219" t="s">
        <v>653</v>
      </c>
      <c r="B21" s="2220"/>
      <c r="C21" s="1777">
        <f>SUM(C17:C20)</f>
        <v>0</v>
      </c>
      <c r="D21" s="1777">
        <f>SUM(D17:D20)</f>
        <v>0</v>
      </c>
      <c r="E21" s="1777">
        <f>SUM(E17:E20)</f>
        <v>0</v>
      </c>
      <c r="F21" s="1777">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7">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7">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7">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2088</v>
      </c>
      <c r="B31" s="734">
        <v>41309</v>
      </c>
      <c r="C31" s="735">
        <v>7950000</v>
      </c>
      <c r="D31" s="736">
        <v>1</v>
      </c>
      <c r="E31" s="735">
        <v>6240000</v>
      </c>
      <c r="F31" s="735"/>
      <c r="G31" s="735"/>
      <c r="H31" s="735">
        <v>840000</v>
      </c>
      <c r="I31" s="1778">
        <f>((E31+F31)-H31)+G31</f>
        <v>5400000</v>
      </c>
      <c r="J31" s="735">
        <v>4910970</v>
      </c>
      <c r="K31" s="737"/>
    </row>
    <row r="32" spans="1:11" ht="12" customHeight="1" x14ac:dyDescent="0.2">
      <c r="A32" s="733" t="s">
        <v>2088</v>
      </c>
      <c r="B32" s="734">
        <v>41667</v>
      </c>
      <c r="C32" s="735">
        <v>2140000</v>
      </c>
      <c r="D32" s="736">
        <v>1</v>
      </c>
      <c r="E32" s="735">
        <v>2140000</v>
      </c>
      <c r="F32" s="735"/>
      <c r="G32" s="735"/>
      <c r="H32" s="735"/>
      <c r="I32" s="1778">
        <f>((E32+F32)-H32)+G32</f>
        <v>2140000</v>
      </c>
      <c r="J32" s="735">
        <v>2140000</v>
      </c>
      <c r="K32" s="737"/>
    </row>
    <row r="33" spans="1:11" ht="12" customHeight="1" x14ac:dyDescent="0.2">
      <c r="A33" s="733" t="s">
        <v>2089</v>
      </c>
      <c r="B33" s="734">
        <v>42139</v>
      </c>
      <c r="C33" s="735">
        <v>227757</v>
      </c>
      <c r="D33" s="736">
        <v>7</v>
      </c>
      <c r="E33" s="735">
        <v>142191</v>
      </c>
      <c r="F33" s="735"/>
      <c r="G33" s="735"/>
      <c r="H33" s="735">
        <v>45475</v>
      </c>
      <c r="I33" s="1778">
        <f t="shared" ref="I33:I48" si="1">((E33+F33)-H33)+G33</f>
        <v>96716</v>
      </c>
      <c r="J33" s="735">
        <v>96716</v>
      </c>
      <c r="K33" s="737"/>
    </row>
    <row r="34" spans="1:11" ht="12" customHeight="1" x14ac:dyDescent="0.2">
      <c r="A34" s="733" t="s">
        <v>2090</v>
      </c>
      <c r="B34" s="734">
        <v>42102</v>
      </c>
      <c r="C34" s="735">
        <v>246480</v>
      </c>
      <c r="D34" s="736">
        <v>7</v>
      </c>
      <c r="E34" s="735">
        <f>82527-53509</f>
        <v>29018</v>
      </c>
      <c r="F34" s="735"/>
      <c r="G34" s="735"/>
      <c r="H34" s="735">
        <v>29018</v>
      </c>
      <c r="I34" s="1778">
        <f t="shared" si="1"/>
        <v>0</v>
      </c>
      <c r="J34" s="735">
        <v>0</v>
      </c>
      <c r="K34" s="738"/>
    </row>
    <row r="35" spans="1:11" ht="12" customHeight="1" x14ac:dyDescent="0.2">
      <c r="A35" s="733" t="s">
        <v>2090</v>
      </c>
      <c r="B35" s="734">
        <v>42566</v>
      </c>
      <c r="C35" s="739">
        <v>163555</v>
      </c>
      <c r="D35" s="736">
        <v>7</v>
      </c>
      <c r="E35" s="739">
        <v>108238</v>
      </c>
      <c r="F35" s="739"/>
      <c r="G35" s="739"/>
      <c r="H35" s="739">
        <v>53610</v>
      </c>
      <c r="I35" s="1778">
        <f t="shared" si="1"/>
        <v>54628</v>
      </c>
      <c r="J35" s="739">
        <v>54628</v>
      </c>
      <c r="K35" s="738"/>
    </row>
    <row r="36" spans="1:11" ht="12" customHeight="1" x14ac:dyDescent="0.2">
      <c r="A36" s="733" t="s">
        <v>2091</v>
      </c>
      <c r="B36" s="734">
        <v>42948</v>
      </c>
      <c r="C36" s="735">
        <v>19498</v>
      </c>
      <c r="D36" s="736">
        <v>7</v>
      </c>
      <c r="E36" s="735"/>
      <c r="F36" s="735">
        <v>19498</v>
      </c>
      <c r="G36" s="735"/>
      <c r="H36" s="735">
        <v>4334</v>
      </c>
      <c r="I36" s="1778">
        <f t="shared" si="1"/>
        <v>15164</v>
      </c>
      <c r="J36" s="735">
        <v>15164</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10747290</v>
      </c>
      <c r="D49" s="746"/>
      <c r="E49" s="1778">
        <f t="shared" ref="E49:J49" si="2">SUM(E31:E48)</f>
        <v>8659447</v>
      </c>
      <c r="F49" s="1778">
        <f t="shared" si="2"/>
        <v>19498</v>
      </c>
      <c r="G49" s="1778">
        <f t="shared" si="2"/>
        <v>0</v>
      </c>
      <c r="H49" s="1778">
        <f t="shared" si="2"/>
        <v>972437</v>
      </c>
      <c r="I49" s="1778">
        <f t="shared" si="2"/>
        <v>7706508</v>
      </c>
      <c r="J49" s="1778">
        <f t="shared" si="2"/>
        <v>7217478</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2"/>
      <c r="I1" s="761"/>
      <c r="J1" s="433"/>
    </row>
    <row r="2" spans="1:11" ht="26.25" x14ac:dyDescent="0.2">
      <c r="A2" s="2256" t="s">
        <v>1776</v>
      </c>
      <c r="B2" s="2257"/>
      <c r="C2" s="2257"/>
      <c r="D2" s="2257"/>
      <c r="E2" s="2258"/>
      <c r="F2" s="762" t="s">
        <v>960</v>
      </c>
      <c r="G2" s="763" t="s">
        <v>1773</v>
      </c>
      <c r="H2" s="763" t="s">
        <v>430</v>
      </c>
      <c r="I2" s="763" t="s">
        <v>1220</v>
      </c>
      <c r="J2" s="763" t="s">
        <v>1917</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0" t="s">
        <v>1918</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9"/>
      <c r="G12" s="1780">
        <f>SUM(G5:G11)</f>
        <v>0</v>
      </c>
      <c r="H12" s="1780">
        <f>SUM(H5:H11)</f>
        <v>0</v>
      </c>
      <c r="I12" s="1780">
        <f>SUM(I5:I11)</f>
        <v>0</v>
      </c>
      <c r="J12" s="1780">
        <f>SUM(J5:J11)</f>
        <v>0</v>
      </c>
      <c r="K12" s="1780">
        <f>SUM(K5:K11)</f>
        <v>0</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c r="I14" s="772"/>
      <c r="J14" s="774"/>
      <c r="K14" s="766"/>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1914</v>
      </c>
      <c r="B19" s="2249"/>
      <c r="C19" s="2249"/>
      <c r="D19" s="2249"/>
      <c r="E19" s="2250"/>
      <c r="F19" s="790" t="s">
        <v>990</v>
      </c>
      <c r="G19" s="783"/>
      <c r="H19" s="783"/>
      <c r="I19" s="783"/>
      <c r="J19" s="766"/>
      <c r="K19" s="796"/>
    </row>
    <row r="20" spans="1:11" x14ac:dyDescent="0.2">
      <c r="A20" s="2251" t="s">
        <v>1919</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1"/>
      <c r="G21" s="793"/>
      <c r="H21" s="797"/>
      <c r="I21" s="797"/>
      <c r="J21" s="1782">
        <f>SUM(J18:J20)</f>
        <v>0</v>
      </c>
      <c r="K21" s="794"/>
    </row>
    <row r="22" spans="1:11" ht="13.5" thickTop="1" x14ac:dyDescent="0.2">
      <c r="A22" s="2241" t="s">
        <v>1920</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3"/>
      <c r="G23" s="1780">
        <f>SUM(G14:G16,G21,G22)</f>
        <v>0</v>
      </c>
      <c r="H23" s="1780">
        <f>SUM(H14:H16,H21,H22)</f>
        <v>0</v>
      </c>
      <c r="I23" s="1780">
        <f>SUM(I14:I16,I21,I22)</f>
        <v>0</v>
      </c>
      <c r="J23" s="1780">
        <f>SUM(J14:J16,J21,J22)</f>
        <v>0</v>
      </c>
      <c r="K23" s="1780">
        <f>SUM(K14:K16,K21,K22)</f>
        <v>0</v>
      </c>
    </row>
    <row r="24" spans="1:11" ht="14.25" thickTop="1" thickBot="1" x14ac:dyDescent="0.25">
      <c r="A24" s="2271" t="s">
        <v>2024</v>
      </c>
      <c r="B24" s="2270"/>
      <c r="C24" s="2270"/>
      <c r="D24" s="2270"/>
      <c r="E24" s="227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3" sqref="H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2033</v>
      </c>
      <c r="B1" s="2277"/>
      <c r="C1" s="2278"/>
      <c r="D1" s="827"/>
      <c r="E1" s="828"/>
      <c r="F1" s="828"/>
      <c r="G1" s="829"/>
      <c r="H1" s="830"/>
      <c r="I1" s="831"/>
      <c r="J1" s="2274"/>
      <c r="K1" s="2275"/>
      <c r="L1" s="2275"/>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405938</v>
      </c>
      <c r="D5" s="842"/>
      <c r="E5" s="842"/>
      <c r="F5" s="1782">
        <f>(C5+D5)-E5</f>
        <v>405938</v>
      </c>
      <c r="G5" s="838"/>
      <c r="H5" s="843"/>
      <c r="I5" s="843"/>
      <c r="J5" s="843"/>
      <c r="K5" s="794"/>
      <c r="L5" s="1791">
        <f>F5-K5</f>
        <v>405938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19524608</v>
      </c>
      <c r="D8" s="845">
        <v>44072</v>
      </c>
      <c r="E8" s="845"/>
      <c r="F8" s="1782">
        <f>(C8+D8)-E8</f>
        <v>19568680</v>
      </c>
      <c r="G8" s="844">
        <v>50</v>
      </c>
      <c r="H8" s="766">
        <v>3777392</v>
      </c>
      <c r="I8" s="766">
        <v>644659</v>
      </c>
      <c r="J8" s="766"/>
      <c r="K8" s="1791">
        <f>(H8+I8)-J8</f>
        <v>4422051</v>
      </c>
      <c r="L8" s="1791">
        <f>F8-K8</f>
        <v>15146629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756817</v>
      </c>
      <c r="D10" s="847">
        <v>31904</v>
      </c>
      <c r="E10" s="847"/>
      <c r="F10" s="1786">
        <f>(C10+D10)-E10</f>
        <v>788721</v>
      </c>
      <c r="G10" s="844">
        <v>20</v>
      </c>
      <c r="H10" s="848">
        <v>349354</v>
      </c>
      <c r="I10" s="848">
        <v>22905</v>
      </c>
      <c r="J10" s="848"/>
      <c r="K10" s="1791">
        <f>(H10+I10)-J10</f>
        <v>372259</v>
      </c>
      <c r="L10" s="1791">
        <f>F10-K10</f>
        <v>416462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2078956</v>
      </c>
      <c r="D12" s="845">
        <v>178850</v>
      </c>
      <c r="E12" s="845">
        <v>146495</v>
      </c>
      <c r="F12" s="1782">
        <f>(C12+D12)-E12</f>
        <v>2111311</v>
      </c>
      <c r="G12" s="844">
        <v>10</v>
      </c>
      <c r="H12" s="766">
        <v>1501449</v>
      </c>
      <c r="I12" s="766">
        <v>120777</v>
      </c>
      <c r="J12" s="766">
        <v>146495</v>
      </c>
      <c r="K12" s="1791">
        <f>(H12+I12)-J12</f>
        <v>1475731</v>
      </c>
      <c r="L12" s="1791">
        <f>F12-K12</f>
        <v>635580</v>
      </c>
    </row>
    <row r="13" spans="1:14" ht="14.25" thickTop="1" thickBot="1" x14ac:dyDescent="0.25">
      <c r="A13" s="849" t="s">
        <v>1184</v>
      </c>
      <c r="B13" s="841">
        <v>252</v>
      </c>
      <c r="C13" s="845">
        <v>88962</v>
      </c>
      <c r="D13" s="845"/>
      <c r="E13" s="845"/>
      <c r="F13" s="1782">
        <f>(C13+D13)-E13</f>
        <v>88962</v>
      </c>
      <c r="G13" s="844">
        <v>5</v>
      </c>
      <c r="H13" s="766">
        <v>52700</v>
      </c>
      <c r="I13" s="766">
        <v>7995</v>
      </c>
      <c r="J13" s="766"/>
      <c r="K13" s="1791">
        <f>(H13+I13)-J13</f>
        <v>60695</v>
      </c>
      <c r="L13" s="1791">
        <f>F13-K13</f>
        <v>28267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22855281</v>
      </c>
      <c r="D16" s="1782">
        <f>SUM(D3,D5:D6,D8:D10,D12:D15)</f>
        <v>254826</v>
      </c>
      <c r="E16" s="1782">
        <f>SUM(E3,E5:E6,E8:E10,E12:E15)</f>
        <v>146495</v>
      </c>
      <c r="F16" s="1782">
        <f>SUM(F3,F5:F6,F8:F10,F12:F15)</f>
        <v>22963612</v>
      </c>
      <c r="G16" s="844"/>
      <c r="H16" s="1782">
        <f>SUM(H3,H6,H8:H10,H12:H14,)</f>
        <v>5680895</v>
      </c>
      <c r="I16" s="1782">
        <f>SUM(I3,I6,I8:I10,I12:I14,)</f>
        <v>796336</v>
      </c>
      <c r="J16" s="1782">
        <f>SUM(J3,J6,J8:J10,J12:J14,)</f>
        <v>146495</v>
      </c>
      <c r="K16" s="1782">
        <f>(H16+I16)-J16</f>
        <v>6330736</v>
      </c>
      <c r="L16" s="1782">
        <f>F16-K16</f>
        <v>16632876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796336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17761809</v>
      </c>
      <c r="G8" s="866"/>
    </row>
    <row r="9" spans="1:7" x14ac:dyDescent="0.2">
      <c r="A9" s="870" t="s">
        <v>480</v>
      </c>
      <c r="B9" s="871" t="s">
        <v>1987</v>
      </c>
      <c r="C9" s="872"/>
      <c r="D9" s="870" t="s">
        <v>522</v>
      </c>
      <c r="E9" s="869"/>
      <c r="F9" s="1934">
        <f>'Expenditures 15-22'!K151</f>
        <v>1422763</v>
      </c>
      <c r="G9" s="873"/>
    </row>
    <row r="10" spans="1:7" x14ac:dyDescent="0.2">
      <c r="A10" s="870" t="s">
        <v>520</v>
      </c>
      <c r="B10" s="871" t="s">
        <v>1988</v>
      </c>
      <c r="C10" s="872"/>
      <c r="D10" s="870" t="s">
        <v>522</v>
      </c>
      <c r="E10" s="869"/>
      <c r="F10" s="1934">
        <f>'Expenditures 15-22'!K174</f>
        <v>1299393</v>
      </c>
      <c r="G10" s="873"/>
    </row>
    <row r="11" spans="1:7" x14ac:dyDescent="0.2">
      <c r="A11" s="870" t="s">
        <v>481</v>
      </c>
      <c r="B11" s="871" t="s">
        <v>1989</v>
      </c>
      <c r="C11" s="872"/>
      <c r="D11" s="870" t="s">
        <v>522</v>
      </c>
      <c r="E11" s="869"/>
      <c r="F11" s="1934">
        <f>'Expenditures 15-22'!K210</f>
        <v>1436575</v>
      </c>
      <c r="G11" s="873"/>
    </row>
    <row r="12" spans="1:7" x14ac:dyDescent="0.2">
      <c r="A12" s="870" t="s">
        <v>482</v>
      </c>
      <c r="B12" s="871" t="s">
        <v>1990</v>
      </c>
      <c r="C12" s="872"/>
      <c r="D12" s="870" t="s">
        <v>522</v>
      </c>
      <c r="E12" s="869"/>
      <c r="F12" s="1934">
        <f>'Expenditures 15-22'!K295</f>
        <v>670571</v>
      </c>
      <c r="G12" s="873"/>
    </row>
    <row r="13" spans="1:7" x14ac:dyDescent="0.2">
      <c r="A13" s="870" t="s">
        <v>108</v>
      </c>
      <c r="B13" s="871" t="s">
        <v>1991</v>
      </c>
      <c r="C13" s="872"/>
      <c r="D13" s="870" t="s">
        <v>522</v>
      </c>
      <c r="E13" s="869"/>
      <c r="F13" s="1934">
        <f>'Expenditures 15-22'!K342</f>
        <v>157702</v>
      </c>
      <c r="G13" s="874"/>
    </row>
    <row r="14" spans="1:7" ht="12" customHeight="1" thickBot="1" x14ac:dyDescent="0.25">
      <c r="A14" s="1792"/>
      <c r="B14" s="1793"/>
      <c r="C14" s="1794"/>
      <c r="D14" s="1795" t="s">
        <v>522</v>
      </c>
      <c r="E14" s="1796" t="s">
        <v>1015</v>
      </c>
      <c r="F14" s="1797">
        <f>SUM(F8:F13)</f>
        <v>22748813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219223</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80065</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193554</v>
      </c>
      <c r="G52" s="866"/>
    </row>
    <row r="53" spans="1:7" x14ac:dyDescent="0.2">
      <c r="A53" s="870" t="s">
        <v>479</v>
      </c>
      <c r="B53" s="870" t="s">
        <v>1551</v>
      </c>
      <c r="C53" s="890">
        <f>'Expenditures 15-22'!B102</f>
        <v>4000</v>
      </c>
      <c r="D53" s="889" t="str">
        <f>'Expenditures 15-22'!A102</f>
        <v>Total Payments to Other Govt Units</v>
      </c>
      <c r="E53" s="869"/>
      <c r="F53" s="1938">
        <f>'Expenditures 15-22'!K102</f>
        <v>552440</v>
      </c>
      <c r="G53" s="866"/>
    </row>
    <row r="54" spans="1:7" x14ac:dyDescent="0.2">
      <c r="A54" s="870" t="s">
        <v>479</v>
      </c>
      <c r="B54" s="870" t="s">
        <v>1552</v>
      </c>
      <c r="C54" s="890" t="s">
        <v>1039</v>
      </c>
      <c r="D54" s="886" t="s">
        <v>1157</v>
      </c>
      <c r="E54" s="869"/>
      <c r="F54" s="1938">
        <f>'Expenditures 15-22'!G114</f>
        <v>173869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8">
        <f>'Expenditures 15-22'!K139</f>
        <v>0</v>
      </c>
      <c r="G57" s="866"/>
    </row>
    <row r="58" spans="1:7" x14ac:dyDescent="0.2">
      <c r="A58" s="870" t="s">
        <v>480</v>
      </c>
      <c r="B58" s="870" t="s">
        <v>1993</v>
      </c>
      <c r="C58" s="887" t="s">
        <v>1039</v>
      </c>
      <c r="D58" s="886" t="s">
        <v>1157</v>
      </c>
      <c r="E58" s="869"/>
      <c r="F58" s="1940">
        <f>'Expenditures 15-22'!G151</f>
        <v>80957</v>
      </c>
      <c r="G58" s="866"/>
    </row>
    <row r="59" spans="1:7" x14ac:dyDescent="0.2">
      <c r="A59" s="894" t="s">
        <v>480</v>
      </c>
      <c r="B59" s="857" t="s">
        <v>1994</v>
      </c>
      <c r="C59" s="895" t="s">
        <v>1039</v>
      </c>
      <c r="D59" s="857" t="s">
        <v>309</v>
      </c>
      <c r="F59" s="1941">
        <f>'Expenditures 15-22'!I151</f>
        <v>0</v>
      </c>
      <c r="G59" s="866"/>
    </row>
    <row r="60" spans="1:7" x14ac:dyDescent="0.2">
      <c r="A60" s="894" t="s">
        <v>520</v>
      </c>
      <c r="B60" s="857" t="s">
        <v>1995</v>
      </c>
      <c r="C60" s="895">
        <v>4000</v>
      </c>
      <c r="D60" s="857" t="s">
        <v>330</v>
      </c>
      <c r="F60" s="1939">
        <f>'Expenditures 15-22'!K160</f>
        <v>0</v>
      </c>
      <c r="G60" s="866"/>
    </row>
    <row r="61" spans="1:7" x14ac:dyDescent="0.2">
      <c r="A61" s="896" t="s">
        <v>520</v>
      </c>
      <c r="B61" s="896" t="s">
        <v>1996</v>
      </c>
      <c r="C61" s="897" t="str">
        <f>'Expenditures 15-22'!B170</f>
        <v>5300</v>
      </c>
      <c r="D61" s="898" t="s">
        <v>329</v>
      </c>
      <c r="E61" s="880"/>
      <c r="F61" s="1938">
        <f>'Expenditures 15-22'!K170</f>
        <v>972437</v>
      </c>
      <c r="G61" s="866"/>
    </row>
    <row r="62" spans="1:7" x14ac:dyDescent="0.2">
      <c r="A62" s="870" t="s">
        <v>481</v>
      </c>
      <c r="B62" s="870" t="s">
        <v>1997</v>
      </c>
      <c r="C62" s="887">
        <f>'Expenditures 15-22'!B185</f>
        <v>3000</v>
      </c>
      <c r="D62" s="877" t="s">
        <v>469</v>
      </c>
      <c r="E62" s="869"/>
      <c r="F62" s="1938">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8">
        <f>'Expenditures 15-22'!K196</f>
        <v>66645</v>
      </c>
      <c r="G63" s="866"/>
    </row>
    <row r="64" spans="1:7" x14ac:dyDescent="0.2">
      <c r="A64" s="896" t="s">
        <v>481</v>
      </c>
      <c r="B64" s="896" t="s">
        <v>1999</v>
      </c>
      <c r="C64" s="897" t="str">
        <f>'Expenditures 15-22'!B206</f>
        <v>5300</v>
      </c>
      <c r="D64" s="893" t="s">
        <v>329</v>
      </c>
      <c r="E64" s="869"/>
      <c r="F64" s="1938">
        <f>'Expenditures 15-22'!K206</f>
        <v>0</v>
      </c>
      <c r="G64" s="866"/>
    </row>
    <row r="65" spans="1:8" x14ac:dyDescent="0.2">
      <c r="A65" s="870" t="s">
        <v>481</v>
      </c>
      <c r="B65" s="870" t="s">
        <v>2000</v>
      </c>
      <c r="C65" s="887" t="s">
        <v>1039</v>
      </c>
      <c r="D65" s="886" t="s">
        <v>1157</v>
      </c>
      <c r="E65" s="869"/>
      <c r="F65" s="1938">
        <f>'Expenditures 15-22'!G210</f>
        <v>0</v>
      </c>
      <c r="G65" s="866"/>
    </row>
    <row r="66" spans="1:8" x14ac:dyDescent="0.2">
      <c r="A66" s="870" t="s">
        <v>481</v>
      </c>
      <c r="B66" s="870" t="s">
        <v>2001</v>
      </c>
      <c r="C66" s="887" t="s">
        <v>1039</v>
      </c>
      <c r="D66" s="886" t="s">
        <v>309</v>
      </c>
      <c r="E66" s="869"/>
      <c r="F66" s="1938">
        <f>'Expenditures 15-22'!I210</f>
        <v>0</v>
      </c>
      <c r="G66" s="866"/>
    </row>
    <row r="67" spans="1:8" x14ac:dyDescent="0.2">
      <c r="A67" s="870" t="s">
        <v>482</v>
      </c>
      <c r="B67" s="870" t="s">
        <v>2002</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2004</v>
      </c>
      <c r="C70" s="887">
        <f>'Expenditures 15-22'!B221</f>
        <v>1300</v>
      </c>
      <c r="D70" s="888" t="str">
        <f>'Expenditures 15-22'!A221</f>
        <v>Adult/Continuing Education Programs</v>
      </c>
      <c r="E70" s="869"/>
      <c r="F70" s="1938">
        <f>'Expenditures 15-22'!K221</f>
        <v>0</v>
      </c>
      <c r="G70" s="866"/>
    </row>
    <row r="71" spans="1:8" x14ac:dyDescent="0.2">
      <c r="A71" s="870" t="s">
        <v>482</v>
      </c>
      <c r="B71" s="870" t="s">
        <v>2005</v>
      </c>
      <c r="C71" s="887">
        <f>'Expenditures 15-22'!B224</f>
        <v>1600</v>
      </c>
      <c r="D71" s="888" t="str">
        <f>'Expenditures 15-22'!A224</f>
        <v>Summer School Programs</v>
      </c>
      <c r="E71" s="869"/>
      <c r="F71" s="1938">
        <f>'Expenditures 15-22'!K224</f>
        <v>5584</v>
      </c>
      <c r="G71" s="866"/>
    </row>
    <row r="72" spans="1:8" x14ac:dyDescent="0.2">
      <c r="A72" s="870" t="s">
        <v>482</v>
      </c>
      <c r="B72" s="870" t="s">
        <v>2006</v>
      </c>
      <c r="C72" s="887">
        <f>'Expenditures 15-22'!B280</f>
        <v>3000</v>
      </c>
      <c r="D72" s="877" t="s">
        <v>469</v>
      </c>
      <c r="E72" s="869"/>
      <c r="F72" s="1938">
        <f>'Expenditures 15-22'!K280</f>
        <v>14833</v>
      </c>
      <c r="G72" s="866"/>
    </row>
    <row r="73" spans="1:8" x14ac:dyDescent="0.2">
      <c r="A73" s="870" t="s">
        <v>482</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2008</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2359607</v>
      </c>
      <c r="G76" s="866"/>
    </row>
    <row r="77" spans="1:8" s="894" customFormat="1" ht="12" customHeight="1" thickTop="1" thickBot="1" x14ac:dyDescent="0.25">
      <c r="A77" s="1801"/>
      <c r="B77" s="1798"/>
      <c r="C77" s="1794"/>
      <c r="D77" s="1799" t="s">
        <v>2010</v>
      </c>
      <c r="E77" s="1796"/>
      <c r="F77" s="1802">
        <f>(F14-F76)</f>
        <v>20389206</v>
      </c>
      <c r="G77" s="870"/>
    </row>
    <row r="78" spans="1:8" s="894" customFormat="1" ht="12" customHeight="1" thickTop="1" x14ac:dyDescent="0.2">
      <c r="A78" s="1803"/>
      <c r="B78" s="1798"/>
      <c r="C78" s="1794"/>
      <c r="D78" s="1799" t="s">
        <v>2057</v>
      </c>
      <c r="E78" s="1796"/>
      <c r="F78" s="899">
        <v>1425.47</v>
      </c>
      <c r="G78" s="900"/>
      <c r="H78" s="870"/>
    </row>
    <row r="79" spans="1:8" s="894" customFormat="1" ht="12" customHeight="1" thickBot="1" x14ac:dyDescent="0.25">
      <c r="A79" s="1804"/>
      <c r="B79" s="1798"/>
      <c r="C79" s="1794"/>
      <c r="D79" s="1799" t="s">
        <v>2011</v>
      </c>
      <c r="E79" s="1796" t="s">
        <v>1015</v>
      </c>
      <c r="F79" s="1805">
        <f>IF(F78&gt;0,F77/F78," Complete Line 78")</f>
        <v>14303.497092187137</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177998</v>
      </c>
      <c r="G94" s="913"/>
    </row>
    <row r="95" spans="1:7" x14ac:dyDescent="0.2">
      <c r="A95" s="909" t="s">
        <v>142</v>
      </c>
      <c r="B95" s="909" t="s">
        <v>177</v>
      </c>
      <c r="C95" s="911">
        <v>1700</v>
      </c>
      <c r="D95" s="919" t="str">
        <f>'Revenues 9-14'!A82</f>
        <v>Total District/School Activity Income</v>
      </c>
      <c r="E95" s="907"/>
      <c r="F95" s="1811">
        <f>SUM('Revenues 9-14'!C82,'Revenues 9-14'!D82)</f>
        <v>36057</v>
      </c>
      <c r="G95" s="913"/>
    </row>
    <row r="96" spans="1:7" x14ac:dyDescent="0.2">
      <c r="A96" s="909" t="s">
        <v>479</v>
      </c>
      <c r="B96" s="909" t="s">
        <v>178</v>
      </c>
      <c r="C96" s="911">
        <f>'Revenues 9-14'!B84</f>
        <v>1811</v>
      </c>
      <c r="D96" s="912" t="str">
        <f>'Revenues 9-14'!A84</f>
        <v>Rentals - Regular Textbooks</v>
      </c>
      <c r="E96" s="907"/>
      <c r="F96" s="1811">
        <f>'Revenues 9-14'!C84</f>
        <v>78972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111872</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266276</v>
      </c>
      <c r="G104" s="913"/>
    </row>
    <row r="105" spans="1:7" x14ac:dyDescent="0.2">
      <c r="A105" s="909" t="s">
        <v>524</v>
      </c>
      <c r="B105" s="909" t="s">
        <v>842</v>
      </c>
      <c r="C105" s="914">
        <v>3100</v>
      </c>
      <c r="D105" s="920" t="str">
        <f>'Revenues 9-14'!A131</f>
        <v>Total Special Education</v>
      </c>
      <c r="E105" s="907"/>
      <c r="F105" s="1811">
        <f>SUM('Revenues 9-14'!C131:D131,'Revenues 9-14'!F131)</f>
        <v>351004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129057</v>
      </c>
      <c r="G107" s="913"/>
    </row>
    <row r="108" spans="1:7" x14ac:dyDescent="0.2">
      <c r="A108" s="909" t="s">
        <v>479</v>
      </c>
      <c r="B108" s="909" t="s">
        <v>844</v>
      </c>
      <c r="C108" s="921">
        <f>'Revenues 9-14'!B145</f>
        <v>3360</v>
      </c>
      <c r="D108" s="912" t="str">
        <f>'Revenues 9-14'!A145</f>
        <v>State Free Lunch &amp; Breakfast</v>
      </c>
      <c r="E108" s="907"/>
      <c r="F108" s="1811">
        <f>'Revenues 9-14'!C145</f>
        <v>2624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502183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3252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214259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192082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490119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42057</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15877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61477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2675166</v>
      </c>
    </row>
    <row r="179" spans="1:7" ht="12" customHeight="1" x14ac:dyDescent="0.2">
      <c r="A179" s="1792"/>
      <c r="B179" s="1806"/>
      <c r="C179" s="1807"/>
      <c r="D179" s="1808" t="s">
        <v>2013</v>
      </c>
      <c r="E179" s="1809"/>
      <c r="F179" s="1811">
        <f>'PCTC-OEPP 27-28'!F77-F178</f>
        <v>17714040</v>
      </c>
    </row>
    <row r="180" spans="1:7" ht="12" customHeight="1" x14ac:dyDescent="0.2">
      <c r="A180" s="1792"/>
      <c r="B180" s="1806"/>
      <c r="C180" s="1807"/>
      <c r="D180" s="1808" t="s">
        <v>1922</v>
      </c>
      <c r="E180" s="1809"/>
      <c r="F180" s="1811">
        <f>'Cap Outlay Deprec 26'!I18</f>
        <v>796336</v>
      </c>
    </row>
    <row r="181" spans="1:7" ht="12" customHeight="1" x14ac:dyDescent="0.2">
      <c r="A181" s="1792"/>
      <c r="B181" s="1806"/>
      <c r="C181" s="1807"/>
      <c r="D181" s="1808" t="s">
        <v>2014</v>
      </c>
      <c r="E181" s="1809"/>
      <c r="F181" s="1811">
        <f>F179+F180</f>
        <v>18510376</v>
      </c>
    </row>
    <row r="182" spans="1:7" ht="12" customHeight="1" x14ac:dyDescent="0.2">
      <c r="A182" s="1792"/>
      <c r="B182" s="1812"/>
      <c r="C182" s="1807"/>
      <c r="D182" s="1808" t="str">
        <f>D78</f>
        <v>9 Month ADA from District Average Daily Attendance/Prior General State Aid Inquiry 2017-2018</v>
      </c>
      <c r="E182" s="1809"/>
      <c r="F182" s="1813">
        <f>'PCTC-OEPP 27-28'!F78</f>
        <v>1425.47</v>
      </c>
      <c r="G182" s="931"/>
    </row>
    <row r="183" spans="1:7" ht="12" customHeight="1" thickBot="1" x14ac:dyDescent="0.25">
      <c r="A183" s="1792"/>
      <c r="B183" s="1812"/>
      <c r="C183" s="1807"/>
      <c r="D183" s="1808" t="s">
        <v>2015</v>
      </c>
      <c r="E183" s="1809" t="s">
        <v>1626</v>
      </c>
      <c r="F183" s="1814">
        <f>F181/F182</f>
        <v>12985.454621984327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5" activePane="bottomLeft" state="frozen"/>
      <selection pane="bottomLeft" activeCell="B37" sqref="B3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1923</v>
      </c>
      <c r="B4" s="2294"/>
      <c r="C4" s="2294"/>
      <c r="D4" s="2294"/>
      <c r="E4" s="2294"/>
      <c r="F4" s="2294"/>
      <c r="G4" s="2295"/>
    </row>
    <row r="5" spans="1:7" x14ac:dyDescent="0.25">
      <c r="A5" s="2296"/>
      <c r="B5" s="2297"/>
      <c r="C5" s="2297"/>
      <c r="D5" s="2297"/>
      <c r="E5" s="2297"/>
      <c r="F5" s="2297"/>
      <c r="G5" s="2298"/>
    </row>
    <row r="6" spans="1:7" ht="18.75" x14ac:dyDescent="0.25">
      <c r="A6" s="1556" t="s">
        <v>1924</v>
      </c>
      <c r="B6" s="1557"/>
      <c r="C6" s="1557"/>
      <c r="D6" s="1557"/>
      <c r="E6" s="1557"/>
      <c r="F6" s="1557"/>
      <c r="G6" s="1558"/>
    </row>
    <row r="7" spans="1:7" ht="30.75" customHeight="1" x14ac:dyDescent="0.25">
      <c r="A7" s="2299" t="s">
        <v>2073</v>
      </c>
      <c r="B7" s="2300"/>
      <c r="C7" s="2300"/>
      <c r="D7" s="2300"/>
      <c r="E7" s="2300"/>
      <c r="F7" s="2300"/>
      <c r="G7" s="2301"/>
    </row>
    <row r="8" spans="1:7" ht="15.75" customHeight="1" x14ac:dyDescent="0.25">
      <c r="A8" s="2302" t="s">
        <v>2022</v>
      </c>
      <c r="B8" s="2303"/>
      <c r="C8" s="2303"/>
      <c r="D8" s="2303"/>
      <c r="E8" s="2303"/>
      <c r="F8" s="2303"/>
      <c r="G8" s="2304"/>
    </row>
    <row r="9" spans="1:7" ht="35.25" customHeight="1" x14ac:dyDescent="0.25">
      <c r="A9" s="2299" t="s">
        <v>2021</v>
      </c>
      <c r="B9" s="2300"/>
      <c r="C9" s="2300"/>
      <c r="D9" s="2300"/>
      <c r="E9" s="2300"/>
      <c r="F9" s="2300"/>
      <c r="G9" s="2301"/>
    </row>
    <row r="10" spans="1:7" ht="15" customHeight="1" x14ac:dyDescent="0.25">
      <c r="A10" s="1559" t="s">
        <v>1925</v>
      </c>
      <c r="B10" s="1560"/>
      <c r="C10" s="1560"/>
      <c r="D10" s="1560"/>
      <c r="E10" s="1560"/>
      <c r="F10" s="1560"/>
      <c r="G10" s="1561"/>
    </row>
    <row r="11" spans="1:7" ht="17.25" customHeight="1" x14ac:dyDescent="0.25">
      <c r="A11" s="2299" t="s">
        <v>1939</v>
      </c>
      <c r="B11" s="2300"/>
      <c r="C11" s="2300"/>
      <c r="D11" s="2300"/>
      <c r="E11" s="2300"/>
      <c r="F11" s="2300"/>
      <c r="G11" s="2301"/>
    </row>
    <row r="12" spans="1:7" ht="15" customHeight="1" x14ac:dyDescent="0.25">
      <c r="A12" s="1559" t="s">
        <v>1930</v>
      </c>
      <c r="B12" s="1560"/>
      <c r="C12" s="1560"/>
      <c r="D12" s="1560"/>
      <c r="E12" s="1560"/>
      <c r="F12" s="1560"/>
      <c r="G12" s="1561"/>
    </row>
    <row r="13" spans="1:7" ht="32.25" customHeight="1" x14ac:dyDescent="0.25">
      <c r="A13" s="2290" t="s">
        <v>1931</v>
      </c>
      <c r="B13" s="2291"/>
      <c r="C13" s="2291"/>
      <c r="D13" s="2291"/>
      <c r="E13" s="2291"/>
      <c r="F13" s="2291"/>
      <c r="G13" s="2292"/>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2165</v>
      </c>
      <c r="B17" s="1961" t="s">
        <v>2163</v>
      </c>
      <c r="C17" s="1960" t="s">
        <v>2145</v>
      </c>
      <c r="D17" s="1867">
        <v>1237670</v>
      </c>
      <c r="E17" s="1562">
        <f t="shared" ref="E17:E141" si="1">IF(D17&lt;=25000,D17,IF(D17&gt;25000,25000,0))</f>
        <v>25000</v>
      </c>
      <c r="F17" s="1815">
        <f t="shared" si="0"/>
        <v>25000</v>
      </c>
      <c r="G17" s="1816">
        <f>IF(F17=0,0,D17-F17)</f>
        <v>1212670</v>
      </c>
      <c r="H17" s="1669"/>
    </row>
    <row r="18" spans="1:8" x14ac:dyDescent="0.25">
      <c r="A18" s="1960" t="s">
        <v>2166</v>
      </c>
      <c r="B18" s="1961" t="s">
        <v>2164</v>
      </c>
      <c r="C18" s="1960" t="s">
        <v>2146</v>
      </c>
      <c r="D18" s="1867">
        <v>420385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395385</v>
      </c>
    </row>
    <row r="19" spans="1:8" x14ac:dyDescent="0.25">
      <c r="A19" s="1960" t="s">
        <v>2168</v>
      </c>
      <c r="B19" s="1962" t="s">
        <v>2188</v>
      </c>
      <c r="C19" s="1960" t="s">
        <v>2147</v>
      </c>
      <c r="D19" s="1867">
        <v>172522</v>
      </c>
      <c r="E19" s="1562">
        <f t="shared" si="2"/>
        <v>25000</v>
      </c>
      <c r="F19" s="1815">
        <f t="shared" si="3"/>
        <v>25000</v>
      </c>
      <c r="G19" s="1816">
        <f t="shared" si="4"/>
        <v>147522</v>
      </c>
    </row>
    <row r="20" spans="1:8" x14ac:dyDescent="0.25">
      <c r="A20" s="1963" t="s">
        <v>2181</v>
      </c>
      <c r="B20" s="1961" t="s">
        <v>2167</v>
      </c>
      <c r="C20" s="1960" t="s">
        <v>2148</v>
      </c>
      <c r="D20" s="1867">
        <v>111177</v>
      </c>
      <c r="E20" s="1562">
        <f t="shared" si="2"/>
        <v>25000</v>
      </c>
      <c r="F20" s="1815">
        <f t="shared" si="3"/>
        <v>25000</v>
      </c>
      <c r="G20" s="1816">
        <f t="shared" si="4"/>
        <v>86177</v>
      </c>
    </row>
    <row r="21" spans="1:8" x14ac:dyDescent="0.25">
      <c r="A21" s="1963" t="s">
        <v>2181</v>
      </c>
      <c r="B21" s="1961" t="s">
        <v>2167</v>
      </c>
      <c r="C21" s="1960" t="s">
        <v>2149</v>
      </c>
      <c r="D21" s="1867">
        <v>108275</v>
      </c>
      <c r="E21" s="1562">
        <f t="shared" si="2"/>
        <v>25000</v>
      </c>
      <c r="F21" s="1815">
        <f t="shared" si="3"/>
        <v>25000</v>
      </c>
      <c r="G21" s="1816">
        <f t="shared" si="4"/>
        <v>83275</v>
      </c>
    </row>
    <row r="22" spans="1:8" x14ac:dyDescent="0.25">
      <c r="A22" s="1960" t="s">
        <v>2169</v>
      </c>
      <c r="B22" s="1962" t="s">
        <v>2189</v>
      </c>
      <c r="C22" s="1960" t="s">
        <v>2150</v>
      </c>
      <c r="D22" s="1867">
        <v>99441</v>
      </c>
      <c r="E22" s="1562">
        <f t="shared" si="2"/>
        <v>25000</v>
      </c>
      <c r="F22" s="1815">
        <f t="shared" si="3"/>
        <v>25000</v>
      </c>
      <c r="G22" s="1816">
        <f t="shared" si="4"/>
        <v>74441</v>
      </c>
    </row>
    <row r="23" spans="1:8" x14ac:dyDescent="0.25">
      <c r="A23" s="1960"/>
      <c r="B23" s="1868"/>
      <c r="C23" s="1960"/>
      <c r="D23" s="1867"/>
      <c r="E23" s="1562">
        <f t="shared" si="2"/>
        <v>0</v>
      </c>
      <c r="F23" s="1815">
        <f t="shared" si="3"/>
        <v>0</v>
      </c>
      <c r="G23" s="1816">
        <f t="shared" si="4"/>
        <v>0</v>
      </c>
    </row>
    <row r="24" spans="1:8" x14ac:dyDescent="0.25">
      <c r="A24" s="1960" t="s">
        <v>2171</v>
      </c>
      <c r="B24" s="1961" t="s">
        <v>2170</v>
      </c>
      <c r="C24" s="1960" t="s">
        <v>2151</v>
      </c>
      <c r="D24" s="1867">
        <v>82413</v>
      </c>
      <c r="E24" s="1562">
        <f t="shared" si="2"/>
        <v>25000</v>
      </c>
      <c r="F24" s="1815">
        <f t="shared" si="3"/>
        <v>25000</v>
      </c>
      <c r="G24" s="1816">
        <f t="shared" si="4"/>
        <v>57413</v>
      </c>
    </row>
    <row r="25" spans="1:8" x14ac:dyDescent="0.25">
      <c r="A25" s="1960" t="s">
        <v>2173</v>
      </c>
      <c r="B25" s="1961" t="s">
        <v>2172</v>
      </c>
      <c r="C25" s="1960" t="s">
        <v>2152</v>
      </c>
      <c r="D25" s="1867">
        <v>71616</v>
      </c>
      <c r="E25" s="1562">
        <f t="shared" si="2"/>
        <v>25000</v>
      </c>
      <c r="F25" s="1815">
        <f t="shared" si="3"/>
        <v>25000</v>
      </c>
      <c r="G25" s="1816">
        <f t="shared" si="4"/>
        <v>46616</v>
      </c>
    </row>
    <row r="26" spans="1:8" x14ac:dyDescent="0.25">
      <c r="A26" s="1960" t="s">
        <v>2174</v>
      </c>
      <c r="B26" s="1962" t="s">
        <v>2190</v>
      </c>
      <c r="C26" s="1960" t="s">
        <v>2153</v>
      </c>
      <c r="D26" s="1867">
        <v>58843</v>
      </c>
      <c r="E26" s="1562">
        <f t="shared" si="2"/>
        <v>25000</v>
      </c>
      <c r="F26" s="1815">
        <f t="shared" si="3"/>
        <v>25000</v>
      </c>
      <c r="G26" s="1816">
        <f t="shared" si="4"/>
        <v>33843</v>
      </c>
    </row>
    <row r="27" spans="1:8" x14ac:dyDescent="0.25">
      <c r="A27" s="1960" t="s">
        <v>2175</v>
      </c>
      <c r="B27" s="1962" t="s">
        <v>2189</v>
      </c>
      <c r="C27" s="1960" t="s">
        <v>2154</v>
      </c>
      <c r="D27" s="1867">
        <v>57771</v>
      </c>
      <c r="E27" s="1562">
        <f t="shared" si="2"/>
        <v>25000</v>
      </c>
      <c r="F27" s="1815">
        <f t="shared" si="3"/>
        <v>25000</v>
      </c>
      <c r="G27" s="1816">
        <f t="shared" si="4"/>
        <v>32771</v>
      </c>
    </row>
    <row r="28" spans="1:8" x14ac:dyDescent="0.25">
      <c r="A28" s="1960" t="s">
        <v>2168</v>
      </c>
      <c r="B28" s="1962" t="s">
        <v>2188</v>
      </c>
      <c r="C28" s="1960" t="s">
        <v>2155</v>
      </c>
      <c r="D28" s="1867">
        <v>55666</v>
      </c>
      <c r="E28" s="1562">
        <f t="shared" si="2"/>
        <v>25000</v>
      </c>
      <c r="F28" s="1815">
        <f t="shared" si="3"/>
        <v>25000</v>
      </c>
      <c r="G28" s="1816">
        <f t="shared" si="4"/>
        <v>30666</v>
      </c>
    </row>
    <row r="29" spans="1:8" x14ac:dyDescent="0.25">
      <c r="A29" s="1963" t="s">
        <v>2176</v>
      </c>
      <c r="B29" s="1962" t="s">
        <v>2191</v>
      </c>
      <c r="C29" s="1960" t="s">
        <v>2156</v>
      </c>
      <c r="D29" s="1867">
        <v>52063</v>
      </c>
      <c r="E29" s="1562">
        <f t="shared" si="2"/>
        <v>25000</v>
      </c>
      <c r="F29" s="1815">
        <f t="shared" si="3"/>
        <v>25000</v>
      </c>
      <c r="G29" s="1816">
        <f t="shared" si="4"/>
        <v>27063</v>
      </c>
    </row>
    <row r="30" spans="1:8" x14ac:dyDescent="0.25">
      <c r="A30" s="1963" t="s">
        <v>2178</v>
      </c>
      <c r="B30" s="1962" t="s">
        <v>2177</v>
      </c>
      <c r="C30" s="1960" t="s">
        <v>2157</v>
      </c>
      <c r="D30" s="1867">
        <v>48876</v>
      </c>
      <c r="E30" s="1562">
        <f t="shared" si="2"/>
        <v>25000</v>
      </c>
      <c r="F30" s="1815">
        <f t="shared" si="3"/>
        <v>25000</v>
      </c>
      <c r="G30" s="1816">
        <f t="shared" si="4"/>
        <v>23876</v>
      </c>
    </row>
    <row r="31" spans="1:8" x14ac:dyDescent="0.25">
      <c r="A31" s="1963" t="s">
        <v>2180</v>
      </c>
      <c r="B31" s="1962" t="s">
        <v>2179</v>
      </c>
      <c r="C31" s="1960" t="s">
        <v>2158</v>
      </c>
      <c r="D31" s="1867">
        <v>45750</v>
      </c>
      <c r="E31" s="1562">
        <f t="shared" si="2"/>
        <v>25000</v>
      </c>
      <c r="F31" s="1815">
        <f t="shared" si="3"/>
        <v>25000</v>
      </c>
      <c r="G31" s="1816">
        <f t="shared" si="4"/>
        <v>20750</v>
      </c>
    </row>
    <row r="32" spans="1:8" x14ac:dyDescent="0.25">
      <c r="A32" s="1963" t="s">
        <v>2178</v>
      </c>
      <c r="B32" s="1962" t="s">
        <v>2177</v>
      </c>
      <c r="C32" s="1960" t="s">
        <v>2159</v>
      </c>
      <c r="D32" s="1867">
        <v>43987</v>
      </c>
      <c r="E32" s="1562">
        <f t="shared" si="2"/>
        <v>25000</v>
      </c>
      <c r="F32" s="1815">
        <f t="shared" si="3"/>
        <v>25000</v>
      </c>
      <c r="G32" s="1816">
        <f t="shared" si="4"/>
        <v>18987</v>
      </c>
    </row>
    <row r="33" spans="1:7" x14ac:dyDescent="0.25">
      <c r="A33" s="1960" t="s">
        <v>2173</v>
      </c>
      <c r="B33" s="1962" t="s">
        <v>2163</v>
      </c>
      <c r="C33" s="1963" t="s">
        <v>2182</v>
      </c>
      <c r="D33" s="1867">
        <v>39961</v>
      </c>
      <c r="E33" s="1562">
        <f t="shared" si="2"/>
        <v>25000</v>
      </c>
      <c r="F33" s="1815">
        <f t="shared" si="3"/>
        <v>25000</v>
      </c>
      <c r="G33" s="1816">
        <f t="shared" si="4"/>
        <v>14961</v>
      </c>
    </row>
    <row r="34" spans="1:7" x14ac:dyDescent="0.25">
      <c r="A34" s="1963" t="s">
        <v>2168</v>
      </c>
      <c r="B34" s="1962" t="s">
        <v>2188</v>
      </c>
      <c r="C34" s="1963" t="s">
        <v>2183</v>
      </c>
      <c r="D34" s="1867">
        <v>29018</v>
      </c>
      <c r="E34" s="1562">
        <f t="shared" si="2"/>
        <v>25000</v>
      </c>
      <c r="F34" s="1815">
        <f t="shared" si="3"/>
        <v>25000</v>
      </c>
      <c r="G34" s="1816">
        <f t="shared" si="4"/>
        <v>4018</v>
      </c>
    </row>
    <row r="35" spans="1:7" x14ac:dyDescent="0.25">
      <c r="A35" s="1963" t="s">
        <v>2184</v>
      </c>
      <c r="B35" s="1962" t="s">
        <v>2167</v>
      </c>
      <c r="C35" s="1960" t="s">
        <v>2160</v>
      </c>
      <c r="D35" s="1867">
        <v>27714</v>
      </c>
      <c r="E35" s="1562">
        <f t="shared" si="2"/>
        <v>25000</v>
      </c>
      <c r="F35" s="1815">
        <f t="shared" si="3"/>
        <v>25000</v>
      </c>
      <c r="G35" s="1816">
        <f t="shared" si="4"/>
        <v>2714</v>
      </c>
    </row>
    <row r="36" spans="1:7" x14ac:dyDescent="0.25">
      <c r="A36" s="1963" t="s">
        <v>2186</v>
      </c>
      <c r="B36" s="1962" t="s">
        <v>2185</v>
      </c>
      <c r="C36" s="1960" t="s">
        <v>2161</v>
      </c>
      <c r="D36" s="1867">
        <v>26285</v>
      </c>
      <c r="E36" s="1562">
        <f t="shared" si="2"/>
        <v>25000</v>
      </c>
      <c r="F36" s="1815">
        <f t="shared" si="3"/>
        <v>25000</v>
      </c>
      <c r="G36" s="1816">
        <f t="shared" si="4"/>
        <v>1285</v>
      </c>
    </row>
    <row r="37" spans="1:7" x14ac:dyDescent="0.25">
      <c r="A37" s="1963" t="s">
        <v>2178</v>
      </c>
      <c r="B37" s="1962" t="s">
        <v>2177</v>
      </c>
      <c r="C37" s="1960" t="s">
        <v>2162</v>
      </c>
      <c r="D37" s="1867">
        <v>25672</v>
      </c>
      <c r="E37" s="1562">
        <f t="shared" si="2"/>
        <v>25000</v>
      </c>
      <c r="F37" s="1815">
        <f t="shared" si="3"/>
        <v>25000</v>
      </c>
      <c r="G37" s="1816">
        <f t="shared" si="4"/>
        <v>672</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2815105</v>
      </c>
      <c r="E141" s="1563">
        <f t="shared" si="1"/>
        <v>25000</v>
      </c>
      <c r="F141" s="1817">
        <f>SUM(F17:F140)</f>
        <v>500000</v>
      </c>
      <c r="G141" s="1818">
        <f>SUM(G17:G140)</f>
        <v>2315105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37" sqref="A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386122</v>
      </c>
      <c r="F10" s="975"/>
      <c r="G10" s="976"/>
      <c r="H10" s="162"/>
      <c r="I10" s="162"/>
    </row>
    <row r="11" spans="1:9" s="669" customFormat="1" ht="22.5" customHeight="1" x14ac:dyDescent="0.2">
      <c r="A11" s="2310" t="s">
        <v>1943</v>
      </c>
      <c r="B11" s="2311"/>
      <c r="C11" s="2311"/>
      <c r="D11" s="2312"/>
      <c r="E11" s="978">
        <v>34620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11164249</v>
      </c>
      <c r="F19" s="1822"/>
      <c r="G19" s="1824">
        <f>'Expenditures 15-22'!K33-SUM('Expenditures 15-22'!G33,'Expenditures 15-22'!I33)+'Expenditures 15-22'!D229</f>
        <v>11164249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1838438</v>
      </c>
      <c r="F21" s="1825"/>
      <c r="G21" s="1828">
        <f>'Expenditures 15-22'!K42-SUM('Expenditures 15-22'!G42,'Expenditures 15-22'!I42)+'Expenditures 15-22'!K120-SUM('Expenditures 15-22'!G120,'Expenditures 15-22'!I120)+'Expenditures 15-22'!K180-SUM('Expenditures 15-22'!G180,'Expenditures 15-22'!I180)+'Expenditures 15-22'!D238</f>
        <v>1838438</v>
      </c>
      <c r="H21" s="988"/>
      <c r="I21" s="162"/>
    </row>
    <row r="22" spans="1:9" s="669" customFormat="1" ht="12" customHeight="1" x14ac:dyDescent="0.2">
      <c r="A22" s="995" t="s">
        <v>585</v>
      </c>
      <c r="B22" s="996"/>
      <c r="C22" s="994">
        <v>2200</v>
      </c>
      <c r="D22" s="1825"/>
      <c r="E22" s="1827">
        <f>'Expenditures 15-22'!K47-SUM('Expenditures 15-22'!G47,'Expenditures 15-22'!I47)+'Expenditures 15-22'!D243</f>
        <v>1489863</v>
      </c>
      <c r="F22" s="1825"/>
      <c r="G22" s="1828">
        <f>'Expenditures 15-22'!K47-SUM('Expenditures 15-22'!G47,'Expenditures 15-22'!I47)+'Expenditures 15-22'!D243</f>
        <v>1489863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651035</v>
      </c>
      <c r="F23" s="1825"/>
      <c r="G23" s="1827">
        <f>'Expenditures 15-22'!K53-SUM('Expenditures 15-22'!G53,'Expenditures 15-22'!I53)+'Expenditures 15-22'!D257+'Expenditures 15-22'!K330-SUM('Expenditures 15-22'!G330,'Expenditures 15-22'!I330)</f>
        <v>651035</v>
      </c>
      <c r="H23" s="988"/>
      <c r="I23" s="162"/>
    </row>
    <row r="24" spans="1:9" s="669" customFormat="1" ht="12" customHeight="1" x14ac:dyDescent="0.2">
      <c r="A24" s="995" t="s">
        <v>587</v>
      </c>
      <c r="B24" s="996"/>
      <c r="C24" s="994">
        <v>2400</v>
      </c>
      <c r="D24" s="1825"/>
      <c r="E24" s="1827">
        <f>'Expenditures 15-22'!K57-SUM('Expenditures 15-22'!G57,'Expenditures 15-22'!I57)+'Expenditures 15-22'!D261</f>
        <v>1186460</v>
      </c>
      <c r="F24" s="1825"/>
      <c r="G24" s="1828">
        <f>'Expenditures 15-22'!K57-SUM('Expenditures 15-22'!G57,'Expenditures 15-22'!I57)+'Expenditures 15-22'!D261</f>
        <v>1186460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150830</v>
      </c>
      <c r="E26" s="1827">
        <f>'Expenditures 15-22'!K122-SUM('Expenditures 15-22'!G122,'Expenditures 15-22'!I122)+E7</f>
        <v>0</v>
      </c>
      <c r="F26" s="1827">
        <f>'Expenditures 15-22'!K59-SUM('Expenditures 15-22'!G59,'Expenditures 15-22'!I59)+'Expenditures 15-22'!D263-E7</f>
        <v>150830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193105</v>
      </c>
      <c r="E27" s="1827">
        <f>E8</f>
        <v>0</v>
      </c>
      <c r="F27" s="1827">
        <f>'Expenditures 15-22'!K60-SUM('Expenditures 15-22'!G60,'Expenditures 15-22'!I60)+'Expenditures 15-22'!D264-E8</f>
        <v>193105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1470124</v>
      </c>
      <c r="F28" s="1829">
        <f>'Expenditures 15-22'!K61-SUM('Expenditures 15-22'!G61,'Expenditures 15-22'!I61)+'Expenditures 15-22'!K124-SUM('Expenditures 15-22'!G124,'Expenditures 15-22'!I124)+'Expenditures 15-22'!D266-E9</f>
        <v>1470124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1370944</v>
      </c>
      <c r="F29" s="1825"/>
      <c r="G29" s="1828">
        <f>'Expenditures 15-22'!K62-SUM('Expenditures 15-22'!G62,'Expenditures 15-22'!I62)+'Expenditures 15-22'!K125-SUM('Expenditures 15-22'!G125,'Expenditures 15-22'!I125)+'Expenditures 15-22'!K182-SUM('Expenditures 15-22'!G182,'Expenditures 15-22'!I182)+'Expenditures 15-22'!D267</f>
        <v>1370944</v>
      </c>
      <c r="H29" s="986"/>
    </row>
    <row r="30" spans="1:9" ht="12" customHeight="1" x14ac:dyDescent="0.2">
      <c r="A30" s="995" t="s">
        <v>102</v>
      </c>
      <c r="B30" s="998"/>
      <c r="C30" s="994">
        <v>2560</v>
      </c>
      <c r="D30" s="1825"/>
      <c r="E30" s="1827">
        <f>'Expenditures 15-22'!K63-SUM('Expenditures 15-22'!G63,'Expenditures 15-22'!I63)+'Expenditures 15-22'!D268-E10</f>
        <v>82141</v>
      </c>
      <c r="F30" s="1825"/>
      <c r="G30" s="1827">
        <f>'Expenditures 15-22'!K63-SUM('Expenditures 15-22'!G63,'Expenditures 15-22'!I63)+'Expenditures 15-22'!D268-E10</f>
        <v>82141</v>
      </c>
    </row>
    <row r="31" spans="1:9" ht="12" customHeight="1" x14ac:dyDescent="0.2">
      <c r="A31" s="995" t="s">
        <v>103</v>
      </c>
      <c r="B31" s="998"/>
      <c r="C31" s="994">
        <v>2570</v>
      </c>
      <c r="D31" s="1827">
        <f>'Expenditures 15-22'!K64-SUM('Expenditures 15-22'!G64,'Expenditures 15-22'!I64)+'Expenditures 15-22'!D269-E12</f>
        <v>31968</v>
      </c>
      <c r="E31" s="1827">
        <f>E12</f>
        <v>0</v>
      </c>
      <c r="F31" s="1827">
        <f>'Expenditures 15-22'!K64-SUM('Expenditures 15-22'!G64,'Expenditures 15-22'!I64)+'Expenditures 15-22'!D269-E12</f>
        <v>31968</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44612</v>
      </c>
      <c r="F34" s="1825"/>
      <c r="G34" s="1827">
        <f>'Expenditures 15-22'!K68-SUM('Expenditures 15-22'!G68,'Expenditures 15-22'!I68)+'Expenditures 15-22'!D273</f>
        <v>44612</v>
      </c>
    </row>
    <row r="35" spans="1:7" ht="12" customHeight="1" x14ac:dyDescent="0.2">
      <c r="A35" s="995" t="s">
        <v>1121</v>
      </c>
      <c r="B35" s="998"/>
      <c r="C35" s="994">
        <v>2630</v>
      </c>
      <c r="D35" s="1825"/>
      <c r="E35" s="1827">
        <f>'Expenditures 15-22'!K69-SUM('Expenditures 15-22'!G69,'Expenditures 15-22'!I69)+'Expenditures 15-22'!D274</f>
        <v>100157</v>
      </c>
      <c r="F35" s="1825"/>
      <c r="G35" s="1827">
        <f>'Expenditures 15-22'!K69-SUM('Expenditures 15-22'!G69,'Expenditures 15-22'!I69)+'Expenditures 15-22'!D274</f>
        <v>100157</v>
      </c>
    </row>
    <row r="36" spans="1:7" ht="12" customHeight="1" x14ac:dyDescent="0.2">
      <c r="A36" s="995" t="s">
        <v>423</v>
      </c>
      <c r="B36" s="998"/>
      <c r="C36" s="994">
        <v>2640</v>
      </c>
      <c r="D36" s="1827">
        <f>'Expenditures 15-22'!K70-SUM('Expenditures 15-22'!G70,'Expenditures 15-22'!I70)+'Expenditures 15-22'!D275-E13</f>
        <v>169849</v>
      </c>
      <c r="E36" s="1827">
        <f>E13</f>
        <v>0</v>
      </c>
      <c r="F36" s="1827">
        <f>'Expenditures 15-22'!K70-SUM('Expenditures 15-22'!G70,'Expenditures 15-22'!I70)+'Expenditures 15-22'!D275-E13</f>
        <v>169849</v>
      </c>
      <c r="G36" s="1827">
        <f>E13</f>
        <v>0</v>
      </c>
    </row>
    <row r="37" spans="1:7" ht="12" customHeight="1" x14ac:dyDescent="0.2">
      <c r="A37" s="995" t="s">
        <v>424</v>
      </c>
      <c r="B37" s="998"/>
      <c r="C37" s="994">
        <v>2660</v>
      </c>
      <c r="D37" s="1827">
        <f>'Expenditures 15-22'!K71-SUM('Expenditures 15-22'!G71,'Expenditures 15-22'!I71)+'Expenditures 15-22'!D276-E14</f>
        <v>30340</v>
      </c>
      <c r="E37" s="1827">
        <f>E14</f>
        <v>0</v>
      </c>
      <c r="F37" s="1827">
        <f>'Expenditures 15-22'!K71-SUM('Expenditures 15-22'!G71,'Expenditures 15-22'!I71)+'Expenditures 15-22'!D276-E14</f>
        <v>30340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6885</v>
      </c>
      <c r="F38" s="1825"/>
      <c r="G38" s="1827">
        <f>'Expenditures 15-22'!K73-SUM('Expenditures 15-22'!G73,'Expenditures 15-22'!I73)+'Expenditures 15-22'!K128-SUM('Expenditures 15-22'!G128,'Expenditures 15-22'!I128)+'Expenditures 15-22'!K183-SUM('Expenditures 15-22'!G183,'Expenditures 15-22'!I183)+'Expenditures 15-22'!D278</f>
        <v>6885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208387</v>
      </c>
      <c r="F39" s="1825"/>
      <c r="G39" s="1827">
        <f>'Expenditures 15-22'!K75-SUM('Expenditures 15-22'!G75,'Expenditures 15-22'!I75)+'Expenditures 15-22'!K130-SUM('Expenditures 15-22'!G130,'Expenditures 15-22'!I130)+'Expenditures 15-22'!K185-SUM('Expenditures 15-22'!G185,'Expenditures 15-22'!I185)+'Expenditures 15-22'!D280</f>
        <v>208387</v>
      </c>
    </row>
    <row r="40" spans="1:7" ht="12" customHeight="1" x14ac:dyDescent="0.2">
      <c r="A40" s="991" t="s">
        <v>1928</v>
      </c>
      <c r="B40" s="992"/>
      <c r="C40" s="994"/>
      <c r="D40" s="1825"/>
      <c r="E40" s="1829">
        <f>-'Contracts Paid in CY 29'!G141</f>
        <v>-2315105</v>
      </c>
      <c r="F40" s="1825"/>
      <c r="G40" s="1829">
        <f>-'Contracts Paid in CY 29'!G141</f>
        <v>-2315105</v>
      </c>
    </row>
    <row r="41" spans="1:7" ht="12" customHeight="1" x14ac:dyDescent="0.2">
      <c r="A41" s="999" t="s">
        <v>158</v>
      </c>
      <c r="B41" s="1000"/>
      <c r="C41" s="1001"/>
      <c r="D41" s="1829">
        <f>SUM(D19:D39)</f>
        <v>576092</v>
      </c>
      <c r="E41" s="1829">
        <f>SUM(E19:E40)</f>
        <v>17298190</v>
      </c>
      <c r="F41" s="1829">
        <f>SUM(F19:F39)</f>
        <v>2046216</v>
      </c>
      <c r="G41" s="1829">
        <f>SUM(G19:G40)</f>
        <v>15828066</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576092</v>
      </c>
      <c r="F43" s="1830" t="s">
        <v>495</v>
      </c>
      <c r="G43" s="1831">
        <f>F41</f>
        <v>2046216</v>
      </c>
    </row>
    <row r="44" spans="1:7" ht="12" customHeight="1" x14ac:dyDescent="0.2">
      <c r="A44" s="988"/>
      <c r="B44" s="162"/>
      <c r="C44" s="1002"/>
      <c r="D44" s="1830" t="s">
        <v>494</v>
      </c>
      <c r="E44" s="1831">
        <f>E41</f>
        <v>17298190</v>
      </c>
      <c r="F44" s="1830" t="s">
        <v>494</v>
      </c>
      <c r="G44" s="1831">
        <f>G41</f>
        <v>15828066</v>
      </c>
    </row>
    <row r="45" spans="1:7" ht="12" customHeight="1" x14ac:dyDescent="0.2">
      <c r="A45" s="988"/>
      <c r="B45" s="162"/>
      <c r="C45" s="162"/>
      <c r="D45" s="1832" t="s">
        <v>1063</v>
      </c>
      <c r="E45" s="1833">
        <f>(E43/E44)</f>
        <v>3.3303599972020197E-2</v>
      </c>
      <c r="F45" s="1832" t="s">
        <v>1063</v>
      </c>
      <c r="G45" s="1833">
        <f>(G43/G44)</f>
        <v>0.12927770202626146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7" t="s">
        <v>1446</v>
      </c>
      <c r="B1" s="2327"/>
      <c r="C1" s="2327"/>
      <c r="D1" s="2327"/>
      <c r="E1" s="2327"/>
      <c r="F1" s="2327"/>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8" t="s">
        <v>1627</v>
      </c>
      <c r="B5" s="2329"/>
      <c r="C5" s="2330"/>
      <c r="D5" s="2330"/>
      <c r="E5" s="2330"/>
      <c r="F5" s="2330"/>
    </row>
    <row r="6" spans="1:10" ht="12" customHeight="1" x14ac:dyDescent="0.25">
      <c r="A6" s="1874"/>
      <c r="B6" s="1875"/>
      <c r="C6" s="2331" t="str">
        <f>COVER!A17</f>
        <v>Prospect Heights SD 23</v>
      </c>
      <c r="D6" s="2331"/>
      <c r="E6" s="2331"/>
      <c r="F6" s="1876"/>
    </row>
    <row r="7" spans="1:10" ht="11.25" customHeight="1" thickBot="1" x14ac:dyDescent="0.3">
      <c r="A7" s="1874"/>
      <c r="B7" s="1875"/>
      <c r="C7" s="2332">
        <f>COVER!A13</f>
        <v>5016023002</v>
      </c>
      <c r="D7" s="2332"/>
      <c r="E7" s="2332"/>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2075</v>
      </c>
      <c r="D14" s="1889" t="s">
        <v>2075</v>
      </c>
      <c r="E14" s="1892"/>
      <c r="F14" s="1891" t="s">
        <v>2092</v>
      </c>
      <c r="H14" s="1902">
        <f t="shared" si="0"/>
        <v>5</v>
      </c>
      <c r="I14" s="1902">
        <f t="shared" si="1"/>
        <v>5</v>
      </c>
      <c r="J14" s="1902">
        <f t="shared" si="2"/>
        <v>0</v>
      </c>
    </row>
    <row r="15" spans="1:10" ht="12" customHeight="1" x14ac:dyDescent="0.2">
      <c r="A15" s="1887" t="s">
        <v>1454</v>
      </c>
      <c r="B15" s="1888"/>
      <c r="C15" s="1889" t="s">
        <v>2075</v>
      </c>
      <c r="D15" s="1889" t="s">
        <v>2075</v>
      </c>
      <c r="E15" s="1892"/>
      <c r="F15" s="1891" t="s">
        <v>2093</v>
      </c>
      <c r="H15" s="1902">
        <f t="shared" si="0"/>
        <v>5</v>
      </c>
      <c r="I15" s="1902">
        <f t="shared" si="1"/>
        <v>5</v>
      </c>
      <c r="J15" s="1902">
        <f t="shared" si="2"/>
        <v>0</v>
      </c>
    </row>
    <row r="16" spans="1:10" ht="12" customHeight="1" x14ac:dyDescent="0.2">
      <c r="A16" s="1887" t="s">
        <v>1455</v>
      </c>
      <c r="B16" s="1888"/>
      <c r="C16" s="1889" t="s">
        <v>2075</v>
      </c>
      <c r="D16" s="1889" t="s">
        <v>2075</v>
      </c>
      <c r="E16" s="1892"/>
      <c r="F16" s="1891" t="s">
        <v>2094</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2075</v>
      </c>
      <c r="D19" s="1889" t="s">
        <v>2075</v>
      </c>
      <c r="E19" s="1892"/>
      <c r="F19" s="1891" t="s">
        <v>2143</v>
      </c>
      <c r="H19" s="1902">
        <f t="shared" si="0"/>
        <v>5</v>
      </c>
      <c r="I19" s="1902">
        <f t="shared" si="1"/>
        <v>5</v>
      </c>
      <c r="J19" s="1902">
        <f t="shared" si="2"/>
        <v>0</v>
      </c>
    </row>
    <row r="20" spans="1:12" ht="12" customHeight="1" x14ac:dyDescent="0.2">
      <c r="A20" s="1887" t="s">
        <v>1609</v>
      </c>
      <c r="B20" s="1888"/>
      <c r="C20" s="1889" t="s">
        <v>2075</v>
      </c>
      <c r="D20" s="1889" t="s">
        <v>2075</v>
      </c>
      <c r="E20" s="1892"/>
      <c r="F20" s="1891" t="s">
        <v>2144</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t="s">
        <v>2075</v>
      </c>
      <c r="D23" s="1889" t="s">
        <v>2075</v>
      </c>
      <c r="E23" s="1892"/>
      <c r="F23" s="1891" t="s">
        <v>2095</v>
      </c>
      <c r="H23" s="1902">
        <f t="shared" si="0"/>
        <v>5</v>
      </c>
      <c r="I23" s="1902">
        <f t="shared" si="1"/>
        <v>5</v>
      </c>
      <c r="J23" s="1902">
        <f t="shared" si="2"/>
        <v>0</v>
      </c>
    </row>
    <row r="24" spans="1:12" ht="12" customHeight="1" x14ac:dyDescent="0.2">
      <c r="A24" s="1887" t="s">
        <v>1613</v>
      </c>
      <c r="B24" s="1888"/>
      <c r="C24" s="1889" t="s">
        <v>2075</v>
      </c>
      <c r="D24" s="1889" t="s">
        <v>2075</v>
      </c>
      <c r="E24" s="1892"/>
      <c r="F24" s="1891" t="s">
        <v>2095</v>
      </c>
      <c r="H24" s="1902">
        <f t="shared" si="0"/>
        <v>5</v>
      </c>
      <c r="I24" s="1902">
        <f t="shared" si="1"/>
        <v>5</v>
      </c>
      <c r="J24" s="1902">
        <f t="shared" si="2"/>
        <v>0</v>
      </c>
    </row>
    <row r="25" spans="1:12" ht="12" customHeight="1" x14ac:dyDescent="0.2">
      <c r="A25" s="1887" t="s">
        <v>1614</v>
      </c>
      <c r="B25" s="1888"/>
      <c r="C25" s="1889" t="s">
        <v>2075</v>
      </c>
      <c r="D25" s="1889" t="s">
        <v>2075</v>
      </c>
      <c r="E25" s="1892"/>
      <c r="F25" s="1891" t="s">
        <v>2096</v>
      </c>
      <c r="H25" s="1902">
        <f t="shared" si="0"/>
        <v>5</v>
      </c>
      <c r="I25" s="1902">
        <f t="shared" si="1"/>
        <v>5</v>
      </c>
      <c r="J25" s="1902">
        <f t="shared" si="2"/>
        <v>0</v>
      </c>
    </row>
    <row r="26" spans="1:12" ht="12" customHeight="1" x14ac:dyDescent="0.2">
      <c r="A26" s="1887" t="s">
        <v>1615</v>
      </c>
      <c r="B26" s="1888"/>
      <c r="C26" s="1889" t="s">
        <v>2075</v>
      </c>
      <c r="D26" s="1889" t="s">
        <v>2075</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2075</v>
      </c>
      <c r="D30" s="1889" t="s">
        <v>2075</v>
      </c>
      <c r="E30" s="1892"/>
      <c r="F30" s="1891" t="s">
        <v>2097</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50</v>
      </c>
      <c r="I34" s="1902">
        <f>SUM(I11:I32)</f>
        <v>50</v>
      </c>
      <c r="J34" s="1902">
        <f>SUM(J11:J32)</f>
        <v>0</v>
      </c>
      <c r="K34" s="1902">
        <f>SUM(H34:J34)</f>
        <v>100</v>
      </c>
    </row>
    <row r="35" spans="1:11" ht="12" customHeight="1" x14ac:dyDescent="0.2">
      <c r="A35" s="1895" t="s">
        <v>1459</v>
      </c>
      <c r="B35" s="1896"/>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7"/>
      <c r="B39" s="1897"/>
      <c r="C39" s="1897"/>
      <c r="D39" s="1897"/>
      <c r="E39" s="1897"/>
      <c r="F39" s="1897"/>
    </row>
    <row r="40" spans="1:11" s="1894" customFormat="1" ht="12" customHeight="1" x14ac:dyDescent="0.25">
      <c r="A40" s="1898" t="s">
        <v>1458</v>
      </c>
      <c r="B40" s="1899"/>
      <c r="C40" s="2322"/>
      <c r="D40" s="2322"/>
      <c r="E40" s="2322"/>
      <c r="F40" s="2323"/>
      <c r="H40" s="1903"/>
      <c r="I40" s="1903"/>
      <c r="J40" s="1903"/>
      <c r="K40" s="1903"/>
    </row>
    <row r="41" spans="1:11" s="1894" customFormat="1" ht="12" customHeight="1" x14ac:dyDescent="0.25">
      <c r="A41" s="2324"/>
      <c r="B41" s="2325"/>
      <c r="C41" s="2325"/>
      <c r="D41" s="2325"/>
      <c r="E41" s="2325"/>
      <c r="F41" s="2326"/>
      <c r="H41" s="1903"/>
      <c r="I41" s="1903"/>
      <c r="J41" s="1903"/>
      <c r="K41" s="1903"/>
    </row>
    <row r="42" spans="1:11" s="1894" customFormat="1" ht="12" customHeight="1" x14ac:dyDescent="0.25">
      <c r="A42" s="2324"/>
      <c r="B42" s="2325"/>
      <c r="C42" s="2325"/>
      <c r="D42" s="2325"/>
      <c r="E42" s="2325"/>
      <c r="F42" s="2326"/>
      <c r="H42" s="1903"/>
      <c r="I42" s="1903"/>
      <c r="J42" s="1903"/>
      <c r="K42" s="1903"/>
    </row>
    <row r="43" spans="1:11" s="1894" customFormat="1" ht="15" x14ac:dyDescent="0.25">
      <c r="A43" s="2313"/>
      <c r="B43" s="2314"/>
      <c r="C43" s="2314"/>
      <c r="D43" s="2314"/>
      <c r="E43" s="2314"/>
      <c r="F43" s="2315"/>
      <c r="H43" s="1903"/>
      <c r="I43" s="1903"/>
      <c r="J43" s="1903"/>
      <c r="K43" s="1903"/>
    </row>
    <row r="44" spans="1:11" s="1894" customFormat="1" ht="12" hidden="1" customHeight="1" x14ac:dyDescent="0.25">
      <c r="A44" s="2313"/>
      <c r="B44" s="2314"/>
      <c r="C44" s="2314"/>
      <c r="D44" s="2314"/>
      <c r="E44" s="2314"/>
      <c r="F44" s="231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0" t="str">
        <f>COVER!A17</f>
        <v>Prospect Heights SD 23</v>
      </c>
      <c r="J6" s="2341"/>
      <c r="Q6" s="1686"/>
    </row>
    <row r="7" spans="1:17" x14ac:dyDescent="0.2">
      <c r="A7" s="2342" t="s">
        <v>924</v>
      </c>
      <c r="B7" s="2343"/>
      <c r="C7" s="2343"/>
      <c r="D7" s="2343"/>
      <c r="E7" s="2344"/>
      <c r="F7" s="1018"/>
      <c r="G7" s="1010"/>
      <c r="H7" s="1017" t="s">
        <v>390</v>
      </c>
      <c r="I7" s="2345">
        <f>COVER!A13</f>
        <v>5016023002</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396937</v>
      </c>
      <c r="F12" s="1040"/>
      <c r="G12" s="1834">
        <f t="shared" ref="G12:G18" si="0">SUM(E12:F12)</f>
        <v>396937</v>
      </c>
      <c r="H12" s="1041">
        <v>350139</v>
      </c>
      <c r="I12" s="1040"/>
      <c r="J12" s="1834">
        <f t="shared" ref="J12:J18" si="1">SUM(H12:I12)</f>
        <v>350139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148968</v>
      </c>
      <c r="F15" s="1834">
        <f>'Expenditures 15-22'!K122</f>
        <v>0</v>
      </c>
      <c r="G15" s="1834">
        <f t="shared" si="0"/>
        <v>148968</v>
      </c>
      <c r="H15" s="1041">
        <v>166449</v>
      </c>
      <c r="I15" s="1041"/>
      <c r="J15" s="1834">
        <f t="shared" si="1"/>
        <v>166449</v>
      </c>
    </row>
    <row r="16" spans="1:17" ht="15" customHeight="1" x14ac:dyDescent="0.2">
      <c r="A16" s="1036">
        <v>5</v>
      </c>
      <c r="B16" s="1037" t="s">
        <v>103</v>
      </c>
      <c r="C16" s="1038"/>
      <c r="D16" s="1039">
        <v>2570</v>
      </c>
      <c r="E16" s="1834">
        <f>'Expenditures 15-22'!K64</f>
        <v>31968</v>
      </c>
      <c r="F16" s="1040"/>
      <c r="G16" s="1834">
        <f t="shared" si="0"/>
        <v>31968</v>
      </c>
      <c r="H16" s="1041">
        <v>35750</v>
      </c>
      <c r="I16" s="1040"/>
      <c r="J16" s="1834">
        <f t="shared" si="1"/>
        <v>35750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577873</v>
      </c>
      <c r="F19" s="1836">
        <f t="shared" si="2"/>
        <v>0</v>
      </c>
      <c r="G19" s="1836">
        <f t="shared" si="2"/>
        <v>577873</v>
      </c>
      <c r="H19" s="1836">
        <f t="shared" si="2"/>
        <v>552338</v>
      </c>
      <c r="I19" s="1836">
        <f t="shared" si="2"/>
        <v>0</v>
      </c>
      <c r="J19" s="1836">
        <f t="shared" si="2"/>
        <v>552338</v>
      </c>
    </row>
    <row r="20" spans="1:10" ht="13.5" thickTop="1" x14ac:dyDescent="0.2">
      <c r="A20" s="1036">
        <v>9</v>
      </c>
      <c r="B20" s="2352" t="s">
        <v>1703</v>
      </c>
      <c r="C20" s="2352"/>
      <c r="D20" s="2353"/>
      <c r="E20" s="1047"/>
      <c r="F20" s="1047"/>
      <c r="G20" s="1047"/>
      <c r="H20" s="1047"/>
      <c r="I20" s="1047"/>
      <c r="J20" s="1837">
        <f>IF(AND(G19&gt;0,J19&gt;0),(((J19-G19)/G19)),"Enter Budget Data")</f>
        <v>-4.4187909800250225E-2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1942</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7" sqref="B2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2142</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Prospect Heights SD 23</v>
      </c>
    </row>
    <row r="65" spans="2:2" x14ac:dyDescent="0.2">
      <c r="B65" s="1071">
        <f>COVER!A13</f>
        <v>5016023002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X26" sqref="X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9" t="s">
        <v>1709</v>
      </c>
    </row>
    <row r="23" spans="1:5" x14ac:dyDescent="0.2">
      <c r="A23" s="168"/>
      <c r="B23" s="162" t="s">
        <v>1967</v>
      </c>
      <c r="D23" s="167" t="s">
        <v>658</v>
      </c>
      <c r="E23" s="1859"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514350</xdr:colOff>
                <xdr:row>4</xdr:row>
                <xdr:rowOff>133350</xdr:rowOff>
              </from>
              <to>
                <xdr:col>5</xdr:col>
                <xdr:colOff>209550</xdr:colOff>
                <xdr:row>9</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5</xdr:col>
                <xdr:colOff>381000</xdr:colOff>
                <xdr:row>4</xdr:row>
                <xdr:rowOff>142875</xdr:rowOff>
              </from>
              <to>
                <xdr:col>7</xdr:col>
                <xdr:colOff>76200</xdr:colOff>
                <xdr:row>9</xdr:row>
                <xdr:rowOff>19050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2054</v>
      </c>
      <c r="B4" s="2380"/>
      <c r="C4" s="2380"/>
      <c r="D4" s="2380"/>
      <c r="E4" s="2380"/>
      <c r="F4" s="2381"/>
      <c r="G4" s="1075"/>
      <c r="H4" s="1075"/>
    </row>
    <row r="5" spans="1:8" ht="14.25" customHeight="1" x14ac:dyDescent="0.2">
      <c r="A5" s="2382" t="s">
        <v>2055</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18100006</v>
      </c>
      <c r="C8" s="1838">
        <f>'Acct Summary 7-8'!D8</f>
        <v>1700385</v>
      </c>
      <c r="D8" s="1838">
        <f>'Acct Summary 7-8'!F8</f>
        <v>1650504</v>
      </c>
      <c r="E8" s="1838">
        <f>'Acct Summary 7-8'!I8</f>
        <v>45</v>
      </c>
      <c r="F8" s="1838">
        <f>SUM(B8:E8)</f>
        <v>21450940</v>
      </c>
    </row>
    <row r="9" spans="1:8" s="1080" customFormat="1" ht="14.25" customHeight="1" thickBot="1" x14ac:dyDescent="0.25">
      <c r="A9" s="1079" t="s">
        <v>1436</v>
      </c>
      <c r="B9" s="1839">
        <f>'Acct Summary 7-8'!C17</f>
        <v>17761809</v>
      </c>
      <c r="C9" s="1839">
        <f>'Acct Summary 7-8'!D17</f>
        <v>1422763</v>
      </c>
      <c r="D9" s="1839">
        <f>'Acct Summary 7-8'!F17</f>
        <v>1436575</v>
      </c>
      <c r="E9" s="1838"/>
      <c r="F9" s="1838">
        <f>SUM(B9:E9)</f>
        <v>20621147</v>
      </c>
    </row>
    <row r="10" spans="1:8" s="1080" customFormat="1" ht="14.25" thickTop="1" thickBot="1" x14ac:dyDescent="0.25">
      <c r="A10" s="1081" t="s">
        <v>1437</v>
      </c>
      <c r="B10" s="1840">
        <f>(B8-B9)</f>
        <v>338197</v>
      </c>
      <c r="C10" s="1840">
        <f>(C8-C9)</f>
        <v>277622</v>
      </c>
      <c r="D10" s="1840">
        <f>(D8-D9)</f>
        <v>213929</v>
      </c>
      <c r="E10" s="1839">
        <f>(E8-E9)</f>
        <v>45</v>
      </c>
      <c r="F10" s="1841">
        <f>SUM(F8-F9)</f>
        <v>829793</v>
      </c>
    </row>
    <row r="11" spans="1:8" s="1080" customFormat="1" ht="14.25" thickTop="1" thickBot="1" x14ac:dyDescent="0.25">
      <c r="A11" s="1082" t="s">
        <v>1785</v>
      </c>
      <c r="B11" s="1842">
        <f>'Acct Summary 7-8'!C81</f>
        <v>6056537</v>
      </c>
      <c r="C11" s="1842">
        <f>'Acct Summary 7-8'!D81</f>
        <v>881072</v>
      </c>
      <c r="D11" s="1842">
        <f>'Acct Summary 7-8'!F81</f>
        <v>851353</v>
      </c>
      <c r="E11" s="1842">
        <f>'Acct Summary 7-8'!I81</f>
        <v>3978</v>
      </c>
      <c r="F11" s="1843">
        <f>SUM(B11:E11)</f>
        <v>7792940</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5016023002</v>
      </c>
    </row>
    <row r="3" spans="1:2" x14ac:dyDescent="0.2">
      <c r="A3" t="s">
        <v>1013</v>
      </c>
      <c r="B3" s="138" t="str">
        <f>COVER!A15</f>
        <v>Cook</v>
      </c>
    </row>
    <row r="4" spans="1:2" x14ac:dyDescent="0.2">
      <c r="A4" t="s">
        <v>1064</v>
      </c>
      <c r="B4" s="138" t="str">
        <f>COVER!A17</f>
        <v>Prospect Heights SD 23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6192660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136123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136123</v>
      </c>
      <c r="C91" s="2" t="s">
        <v>594</v>
      </c>
      <c r="D91" s="2" t="str">
        <f t="shared" si="0"/>
        <v>Error?</v>
      </c>
    </row>
    <row r="92" spans="1:4" x14ac:dyDescent="0.2">
      <c r="A92" s="5">
        <v>31</v>
      </c>
      <c r="B92" s="138">
        <f>'Assets-Liab 5-6'!C39</f>
        <v>6056537</v>
      </c>
      <c r="D92" s="2" t="str">
        <f t="shared" si="0"/>
        <v>Error?</v>
      </c>
    </row>
    <row r="93" spans="1:4" x14ac:dyDescent="0.2">
      <c r="A93" s="5">
        <v>32</v>
      </c>
      <c r="B93" s="138">
        <f>'Assets-Liab 5-6'!C41</f>
        <v>6192660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878199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-2873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-2873</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878199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489030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489030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851389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851389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32131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32131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220945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220945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405938</v>
      </c>
      <c r="D273" s="2" t="str">
        <f t="shared" si="3"/>
        <v>Error?</v>
      </c>
    </row>
    <row r="274" spans="1:4" x14ac:dyDescent="0.2">
      <c r="A274" s="5">
        <v>213</v>
      </c>
      <c r="B274" s="138">
        <f>'Assets-Liab 5-6'!M17</f>
        <v>19568680</v>
      </c>
      <c r="D274" s="2" t="str">
        <f t="shared" si="3"/>
        <v>Error?</v>
      </c>
    </row>
    <row r="275" spans="1:4" x14ac:dyDescent="0.2">
      <c r="A275" s="5">
        <v>214</v>
      </c>
      <c r="B275" s="138">
        <f>'Assets-Liab 5-6'!M18</f>
        <v>788721</v>
      </c>
      <c r="D275" s="2" t="str">
        <f t="shared" si="3"/>
        <v>Error?</v>
      </c>
    </row>
    <row r="276" spans="1:4" x14ac:dyDescent="0.2">
      <c r="A276" s="5">
        <v>215</v>
      </c>
      <c r="B276" s="138">
        <f>'Assets-Liab 5-6'!M19</f>
        <v>2200273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22963612</v>
      </c>
      <c r="C279" s="2" t="s">
        <v>594</v>
      </c>
      <c r="D279" s="2" t="str">
        <f t="shared" si="3"/>
        <v>Error?</v>
      </c>
    </row>
    <row r="280" spans="1:4" x14ac:dyDescent="0.2">
      <c r="A280" s="5">
        <v>219</v>
      </c>
      <c r="B280" s="138">
        <f>'Assets-Liab 5-6'!M40</f>
        <v>22963612</v>
      </c>
      <c r="D280" s="2" t="str">
        <f t="shared" si="3"/>
        <v>Error?</v>
      </c>
    </row>
    <row r="281" spans="1:4" x14ac:dyDescent="0.2">
      <c r="A281" s="5">
        <v>220</v>
      </c>
      <c r="B281" s="138">
        <f>'Assets-Liab 5-6'!M41</f>
        <v>22963612</v>
      </c>
      <c r="C281" s="2" t="s">
        <v>594</v>
      </c>
      <c r="D281" s="2" t="str">
        <f t="shared" si="3"/>
        <v>Error?</v>
      </c>
    </row>
    <row r="282" spans="1:4" x14ac:dyDescent="0.2">
      <c r="A282" s="5">
        <v>221</v>
      </c>
      <c r="B282" s="138">
        <f>'Assets-Liab 5-6'!N21</f>
        <v>489030</v>
      </c>
      <c r="D282" s="2" t="str">
        <f t="shared" si="3"/>
        <v>Error?</v>
      </c>
    </row>
    <row r="283" spans="1:4" x14ac:dyDescent="0.2">
      <c r="A283" s="5">
        <v>222</v>
      </c>
      <c r="B283" s="138">
        <f>'Assets-Liab 5-6'!N22</f>
        <v>7217478</v>
      </c>
      <c r="D283" s="2" t="str">
        <f t="shared" si="3"/>
        <v>Error?</v>
      </c>
    </row>
    <row r="284" spans="1:4" x14ac:dyDescent="0.2">
      <c r="A284" s="5">
        <v>223</v>
      </c>
      <c r="B284" s="138">
        <f>'Assets-Liab 5-6'!N23</f>
        <v>7706508</v>
      </c>
      <c r="C284" s="2" t="s">
        <v>594</v>
      </c>
      <c r="D284" s="2" t="str">
        <f t="shared" si="3"/>
        <v>Error?</v>
      </c>
    </row>
    <row r="285" spans="1:4" x14ac:dyDescent="0.2">
      <c r="A285" s="5">
        <v>224</v>
      </c>
      <c r="B285" s="138">
        <f>'Assets-Liab 5-6'!N36</f>
        <v>7706508</v>
      </c>
      <c r="D285" s="2" t="str">
        <f t="shared" si="3"/>
        <v>Error?</v>
      </c>
    </row>
    <row r="286" spans="1:4" x14ac:dyDescent="0.2">
      <c r="A286" s="10">
        <v>225</v>
      </c>
      <c r="D286" s="2" t="str">
        <f t="shared" si="3"/>
        <v>OK</v>
      </c>
    </row>
    <row r="287" spans="1:4" x14ac:dyDescent="0.2">
      <c r="A287" s="5">
        <v>226</v>
      </c>
      <c r="B287" s="138">
        <f>'Assets-Liab 5-6'!N37</f>
        <v>7706508</v>
      </c>
      <c r="C287" s="2" t="s">
        <v>594</v>
      </c>
      <c r="D287" s="2" t="str">
        <f t="shared" si="3"/>
        <v>Error?</v>
      </c>
    </row>
    <row r="288" spans="1:4" x14ac:dyDescent="0.2">
      <c r="A288" s="5">
        <v>227</v>
      </c>
      <c r="B288" s="138">
        <f>'Assets-Liab 5-6'!N41</f>
        <v>7706508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5825570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542144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93159</v>
      </c>
      <c r="D717" s="2" t="str">
        <f t="shared" si="10"/>
        <v>Error?</v>
      </c>
    </row>
    <row r="718" spans="1:4" x14ac:dyDescent="0.2">
      <c r="A718" s="5">
        <v>657</v>
      </c>
      <c r="B718" s="138">
        <f>'Expenditures 15-22'!C14</f>
        <v>135677</v>
      </c>
      <c r="D718" s="2" t="str">
        <f t="shared" si="10"/>
        <v>Error?</v>
      </c>
    </row>
    <row r="719" spans="1:4" x14ac:dyDescent="0.2">
      <c r="A719" s="5">
        <v>658</v>
      </c>
      <c r="B719" s="138">
        <f>'Expenditures 15-22'!C15</f>
        <v>76279</v>
      </c>
      <c r="D719" s="2" t="str">
        <f t="shared" si="10"/>
        <v>Error?</v>
      </c>
    </row>
    <row r="720" spans="1:4" x14ac:dyDescent="0.2">
      <c r="A720" s="5">
        <v>659</v>
      </c>
      <c r="B720" s="138">
        <f>'Expenditures 15-22'!C33</f>
        <v>8735683</v>
      </c>
      <c r="C720" s="2" t="s">
        <v>594</v>
      </c>
      <c r="D720" s="2" t="str">
        <f t="shared" si="10"/>
        <v>Error?</v>
      </c>
    </row>
    <row r="721" spans="1:4" x14ac:dyDescent="0.2">
      <c r="A721" s="5">
        <v>660</v>
      </c>
      <c r="B721" s="138">
        <f>'Expenditures 15-22'!C36</f>
        <v>296589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409970</v>
      </c>
      <c r="D723" s="2" t="str">
        <f t="shared" si="10"/>
        <v>Error?</v>
      </c>
    </row>
    <row r="724" spans="1:4" x14ac:dyDescent="0.2">
      <c r="A724" s="5">
        <v>663</v>
      </c>
      <c r="B724" s="138">
        <f>'Expenditures 15-22'!C39</f>
        <v>242398</v>
      </c>
      <c r="D724" s="2" t="str">
        <f t="shared" si="10"/>
        <v>Error?</v>
      </c>
    </row>
    <row r="725" spans="1:4" x14ac:dyDescent="0.2">
      <c r="A725" s="5">
        <v>664</v>
      </c>
      <c r="B725" s="138">
        <f>'Expenditures 15-22'!C40</f>
        <v>408022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1356979</v>
      </c>
      <c r="C727" s="2" t="s">
        <v>594</v>
      </c>
      <c r="D727" s="2" t="str">
        <f t="shared" si="10"/>
        <v>Error?</v>
      </c>
    </row>
    <row r="728" spans="1:4" x14ac:dyDescent="0.2">
      <c r="A728" s="5">
        <v>667</v>
      </c>
      <c r="B728" s="138">
        <f>'Expenditures 15-22'!C44</f>
        <v>154892</v>
      </c>
      <c r="D728" s="2" t="str">
        <f t="shared" si="10"/>
        <v>Error?</v>
      </c>
    </row>
    <row r="729" spans="1:4" x14ac:dyDescent="0.2">
      <c r="A729" s="5">
        <v>668</v>
      </c>
      <c r="B729" s="138">
        <f>'Expenditures 15-22'!C45</f>
        <v>787330</v>
      </c>
      <c r="D729" s="2" t="str">
        <f t="shared" si="10"/>
        <v>Error?</v>
      </c>
    </row>
    <row r="730" spans="1:4" x14ac:dyDescent="0.2">
      <c r="A730" s="5">
        <v>669</v>
      </c>
      <c r="B730" s="138">
        <f>'Expenditures 15-22'!C46</f>
        <v>13610</v>
      </c>
      <c r="D730" s="2" t="str">
        <f t="shared" si="10"/>
        <v>Error?</v>
      </c>
    </row>
    <row r="731" spans="1:4" x14ac:dyDescent="0.2">
      <c r="A731" s="5">
        <v>670</v>
      </c>
      <c r="B731" s="138">
        <f>'Expenditures 15-22'!C47</f>
        <v>955832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307327</v>
      </c>
      <c r="D733" s="2" t="str">
        <f t="shared" si="10"/>
        <v>Error?</v>
      </c>
    </row>
    <row r="734" spans="1:4" x14ac:dyDescent="0.2">
      <c r="A734" s="5">
        <v>673</v>
      </c>
      <c r="B734" s="138">
        <f>'Expenditures 15-22'!C53</f>
        <v>307327</v>
      </c>
      <c r="C734" s="2" t="s">
        <v>594</v>
      </c>
      <c r="D734" s="2" t="str">
        <f t="shared" si="10"/>
        <v>Error?</v>
      </c>
    </row>
    <row r="735" spans="1:4" x14ac:dyDescent="0.2">
      <c r="A735" s="5">
        <v>674</v>
      </c>
      <c r="B735" s="138">
        <f>'Expenditures 15-22'!C55</f>
        <v>855377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855377</v>
      </c>
      <c r="C737" s="2" t="s">
        <v>594</v>
      </c>
      <c r="D737" s="2" t="str">
        <f t="shared" si="10"/>
        <v>Error?</v>
      </c>
    </row>
    <row r="738" spans="1:4" x14ac:dyDescent="0.2">
      <c r="A738" s="5">
        <v>677</v>
      </c>
      <c r="B738" s="138">
        <f>'Expenditures 15-22'!C59</f>
        <v>128242</v>
      </c>
      <c r="D738" s="2" t="str">
        <f t="shared" si="10"/>
        <v>Error?</v>
      </c>
    </row>
    <row r="739" spans="1:4" x14ac:dyDescent="0.2">
      <c r="A739" s="5">
        <v>678</v>
      </c>
      <c r="B739" s="138">
        <f>'Expenditures 15-22'!C60</f>
        <v>105273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76652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310167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64846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64846</v>
      </c>
      <c r="C753" s="2" t="s">
        <v>594</v>
      </c>
      <c r="D753" s="2" t="str">
        <f t="shared" si="10"/>
        <v>Error?</v>
      </c>
    </row>
    <row r="754" spans="1:4" x14ac:dyDescent="0.2">
      <c r="A754" s="5">
        <v>693</v>
      </c>
      <c r="B754" s="138">
        <f>'Expenditures 15-22'!C73</f>
        <v>450</v>
      </c>
      <c r="D754" s="2" t="str">
        <f t="shared" si="10"/>
        <v>Error?</v>
      </c>
    </row>
    <row r="755" spans="1:4" x14ac:dyDescent="0.2">
      <c r="A755" s="5">
        <v>694</v>
      </c>
      <c r="B755" s="138">
        <f>'Expenditures 15-22'!C74</f>
        <v>3850978</v>
      </c>
      <c r="C755" s="2" t="s">
        <v>594</v>
      </c>
      <c r="D755" s="2" t="str">
        <f t="shared" si="10"/>
        <v>Error?</v>
      </c>
    </row>
    <row r="756" spans="1:4" x14ac:dyDescent="0.2">
      <c r="A756" s="5">
        <v>695</v>
      </c>
      <c r="B756" s="138">
        <f>'Expenditures 15-22'!C75</f>
        <v>135077</v>
      </c>
      <c r="D756" s="2" t="str">
        <f t="shared" si="10"/>
        <v>Error?</v>
      </c>
    </row>
    <row r="757" spans="1:4" x14ac:dyDescent="0.2">
      <c r="A757" s="5">
        <v>696</v>
      </c>
      <c r="B757" s="138">
        <f>'Expenditures 15-22'!C114</f>
        <v>12721738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1077968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88057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17833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1764896</v>
      </c>
      <c r="C778" s="2" t="s">
        <v>594</v>
      </c>
      <c r="D778" s="2" t="str">
        <f t="shared" si="11"/>
        <v>Error?</v>
      </c>
    </row>
    <row r="779" spans="1:4" x14ac:dyDescent="0.2">
      <c r="A779" s="5">
        <v>718</v>
      </c>
      <c r="B779" s="138">
        <f>'Expenditures 15-22'!D36</f>
        <v>46182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114555</v>
      </c>
      <c r="D781" s="2" t="str">
        <f t="shared" si="11"/>
        <v>Error?</v>
      </c>
    </row>
    <row r="782" spans="1:4" x14ac:dyDescent="0.2">
      <c r="A782" s="5">
        <v>721</v>
      </c>
      <c r="B782" s="138">
        <f>'Expenditures 15-22'!D39</f>
        <v>40201</v>
      </c>
      <c r="D782" s="2" t="str">
        <f t="shared" si="11"/>
        <v>Error?</v>
      </c>
    </row>
    <row r="783" spans="1:4" x14ac:dyDescent="0.2">
      <c r="A783" s="5">
        <v>722</v>
      </c>
      <c r="B783" s="138">
        <f>'Expenditures 15-22'!D40</f>
        <v>52301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253239</v>
      </c>
      <c r="C785" s="2" t="s">
        <v>594</v>
      </c>
      <c r="D785" s="2" t="str">
        <f t="shared" si="11"/>
        <v>Error?</v>
      </c>
    </row>
    <row r="786" spans="1:4" x14ac:dyDescent="0.2">
      <c r="A786" s="5">
        <v>725</v>
      </c>
      <c r="B786" s="138">
        <f>'Expenditures 15-22'!D44</f>
        <v>39593</v>
      </c>
      <c r="D786" s="2" t="str">
        <f t="shared" si="11"/>
        <v>Error?</v>
      </c>
    </row>
    <row r="787" spans="1:4" x14ac:dyDescent="0.2">
      <c r="A787" s="5">
        <v>726</v>
      </c>
      <c r="B787" s="138">
        <f>'Expenditures 15-22'!D45</f>
        <v>151735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191328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72373</v>
      </c>
      <c r="D791" s="2" t="str">
        <f t="shared" si="11"/>
        <v>Error?</v>
      </c>
    </row>
    <row r="792" spans="1:4" x14ac:dyDescent="0.2">
      <c r="A792" s="5">
        <v>731</v>
      </c>
      <c r="B792" s="138">
        <f>'Expenditures 15-22'!D53</f>
        <v>72373</v>
      </c>
      <c r="C792" s="2" t="s">
        <v>594</v>
      </c>
      <c r="D792" s="2" t="str">
        <f t="shared" si="11"/>
        <v>Error?</v>
      </c>
    </row>
    <row r="793" spans="1:4" x14ac:dyDescent="0.2">
      <c r="A793" s="5">
        <v>732</v>
      </c>
      <c r="B793" s="138">
        <f>'Expenditures 15-22'!D55</f>
        <v>247170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247170</v>
      </c>
      <c r="C795" s="2" t="s">
        <v>594</v>
      </c>
      <c r="D795" s="2" t="str">
        <f t="shared" si="11"/>
        <v>Error?</v>
      </c>
    </row>
    <row r="796" spans="1:4" x14ac:dyDescent="0.2">
      <c r="A796" s="5">
        <v>735</v>
      </c>
      <c r="B796" s="138">
        <f>'Expenditures 15-22'!D59</f>
        <v>16610</v>
      </c>
      <c r="D796" s="2" t="str">
        <f t="shared" si="11"/>
        <v>Error?</v>
      </c>
    </row>
    <row r="797" spans="1:4" x14ac:dyDescent="0.2">
      <c r="A797" s="5">
        <v>736</v>
      </c>
      <c r="B797" s="138">
        <f>'Expenditures 15-22'!D60</f>
        <v>44504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61114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48318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48318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873542</v>
      </c>
      <c r="C813" s="2" t="s">
        <v>594</v>
      </c>
      <c r="D813" s="2" t="str">
        <f t="shared" si="11"/>
        <v>Error?</v>
      </c>
    </row>
    <row r="814" spans="1:4" x14ac:dyDescent="0.2">
      <c r="A814" s="5">
        <v>753</v>
      </c>
      <c r="B814" s="138">
        <f>'Expenditures 15-22'!D75</f>
        <v>13734</v>
      </c>
      <c r="D814" s="2" t="str">
        <f t="shared" si="11"/>
        <v>Error?</v>
      </c>
    </row>
    <row r="815" spans="1:4" x14ac:dyDescent="0.2">
      <c r="A815" s="5">
        <v>754</v>
      </c>
      <c r="B815" s="138">
        <f>'Expenditures 15-22'!D114</f>
        <v>2652172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35260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1823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6667</v>
      </c>
      <c r="D834" s="2" t="str">
        <f t="shared" si="12"/>
        <v>Error?</v>
      </c>
    </row>
    <row r="835" spans="1:4" x14ac:dyDescent="0.2">
      <c r="A835" s="5">
        <v>774</v>
      </c>
      <c r="B835" s="138">
        <f>'Expenditures 15-22'!E15</f>
        <v>2700</v>
      </c>
      <c r="D835" s="2" t="str">
        <f t="shared" si="12"/>
        <v>Error?</v>
      </c>
    </row>
    <row r="836" spans="1:4" x14ac:dyDescent="0.2">
      <c r="A836" s="5">
        <v>775</v>
      </c>
      <c r="B836" s="138">
        <f>'Expenditures 15-22'!E33</f>
        <v>100353</v>
      </c>
      <c r="C836" s="2" t="s">
        <v>594</v>
      </c>
      <c r="D836" s="2" t="str">
        <f t="shared" si="12"/>
        <v>Error?</v>
      </c>
    </row>
    <row r="837" spans="1:4" x14ac:dyDescent="0.2">
      <c r="A837" s="5">
        <v>776</v>
      </c>
      <c r="B837" s="138">
        <f>'Expenditures 15-22'!E36</f>
        <v>15846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48644</v>
      </c>
      <c r="D839" s="2" t="str">
        <f t="shared" si="12"/>
        <v>Error?</v>
      </c>
    </row>
    <row r="840" spans="1:4" x14ac:dyDescent="0.2">
      <c r="A840" s="5">
        <v>779</v>
      </c>
      <c r="B840" s="138">
        <f>'Expenditures 15-22'!E39</f>
        <v>1047</v>
      </c>
      <c r="D840" s="2" t="str">
        <f t="shared" si="12"/>
        <v>Error?</v>
      </c>
    </row>
    <row r="841" spans="1:4" x14ac:dyDescent="0.2">
      <c r="A841" s="5">
        <v>780</v>
      </c>
      <c r="B841" s="138">
        <f>'Expenditures 15-22'!E40</f>
        <v>1694</v>
      </c>
      <c r="D841" s="2" t="str">
        <f t="shared" si="12"/>
        <v>Error?</v>
      </c>
    </row>
    <row r="842" spans="1:4" x14ac:dyDescent="0.2">
      <c r="A842" s="5">
        <v>781</v>
      </c>
      <c r="B842" s="138">
        <f>'Expenditures 15-22'!E41</f>
        <v>51596</v>
      </c>
      <c r="D842" s="2" t="str">
        <f t="shared" si="12"/>
        <v>Error?</v>
      </c>
    </row>
    <row r="843" spans="1:4" x14ac:dyDescent="0.2">
      <c r="A843" s="5">
        <v>782</v>
      </c>
      <c r="B843" s="138">
        <f>'Expenditures 15-22'!E42</f>
        <v>118827</v>
      </c>
      <c r="C843" s="2" t="s">
        <v>594</v>
      </c>
      <c r="D843" s="2" t="str">
        <f t="shared" si="12"/>
        <v>Error?</v>
      </c>
    </row>
    <row r="844" spans="1:4" x14ac:dyDescent="0.2">
      <c r="A844" s="5">
        <v>783</v>
      </c>
      <c r="B844" s="138">
        <f>'Expenditures 15-22'!E44</f>
        <v>11773</v>
      </c>
      <c r="D844" s="2" t="str">
        <f t="shared" si="12"/>
        <v>Error?</v>
      </c>
    </row>
    <row r="845" spans="1:4" x14ac:dyDescent="0.2">
      <c r="A845" s="5">
        <v>784</v>
      </c>
      <c r="B845" s="138">
        <f>'Expenditures 15-22'!E45</f>
        <v>80364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92137</v>
      </c>
      <c r="C847" s="2" t="s">
        <v>594</v>
      </c>
      <c r="D847" s="2" t="str">
        <f t="shared" si="12"/>
        <v>Error?</v>
      </c>
    </row>
    <row r="848" spans="1:4" x14ac:dyDescent="0.2">
      <c r="A848" s="5">
        <v>787</v>
      </c>
      <c r="B848" s="138">
        <f>'Expenditures 15-22'!E49</f>
        <v>28093</v>
      </c>
      <c r="D848" s="2" t="str">
        <f t="shared" si="12"/>
        <v>Error?</v>
      </c>
    </row>
    <row r="849" spans="1:4" x14ac:dyDescent="0.2">
      <c r="A849" s="5">
        <v>788</v>
      </c>
      <c r="B849" s="138">
        <f>'Expenditures 15-22'!E50</f>
        <v>8331</v>
      </c>
      <c r="D849" s="2" t="str">
        <f t="shared" si="12"/>
        <v>Error?</v>
      </c>
    </row>
    <row r="850" spans="1:4" x14ac:dyDescent="0.2">
      <c r="A850" s="5">
        <v>789</v>
      </c>
      <c r="B850" s="138">
        <f>'Expenditures 15-22'!E53</f>
        <v>58768</v>
      </c>
      <c r="C850" s="2" t="s">
        <v>594</v>
      </c>
      <c r="D850" s="2" t="str">
        <f t="shared" si="12"/>
        <v>Error?</v>
      </c>
    </row>
    <row r="851" spans="1:4" x14ac:dyDescent="0.2">
      <c r="A851" s="5">
        <v>790</v>
      </c>
      <c r="B851" s="138">
        <f>'Expenditures 15-22'!E55</f>
        <v>2674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2674</v>
      </c>
      <c r="C853" s="2" t="s">
        <v>594</v>
      </c>
      <c r="D853" s="2" t="str">
        <f t="shared" si="12"/>
        <v>Error?</v>
      </c>
    </row>
    <row r="854" spans="1:4" x14ac:dyDescent="0.2">
      <c r="A854" s="5">
        <v>793</v>
      </c>
      <c r="B854" s="138">
        <f>'Expenditures 15-22'!E59</f>
        <v>3557</v>
      </c>
      <c r="D854" s="2" t="str">
        <f t="shared" si="12"/>
        <v>Error?</v>
      </c>
    </row>
    <row r="855" spans="1:4" x14ac:dyDescent="0.2">
      <c r="A855" s="5">
        <v>794</v>
      </c>
      <c r="B855" s="138">
        <f>'Expenditures 15-22'!E60</f>
        <v>22247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382941</v>
      </c>
      <c r="D858" s="2" t="str">
        <f t="shared" si="12"/>
        <v>Error?</v>
      </c>
    </row>
    <row r="859" spans="1:4" x14ac:dyDescent="0.2">
      <c r="A859" s="5">
        <v>798</v>
      </c>
      <c r="B859" s="138">
        <f>'Expenditures 15-22'!E64</f>
        <v>31968</v>
      </c>
      <c r="D859" s="2" t="str">
        <f t="shared" si="12"/>
        <v>Error?</v>
      </c>
    </row>
    <row r="860" spans="1:4" x14ac:dyDescent="0.2">
      <c r="A860" s="10">
        <v>799</v>
      </c>
      <c r="D860" s="2" t="str">
        <f t="shared" si="12"/>
        <v>OK</v>
      </c>
    </row>
    <row r="861" spans="1:4" x14ac:dyDescent="0.2">
      <c r="A861" s="5">
        <v>800</v>
      </c>
      <c r="B861" s="138">
        <f>'Expenditures 15-22'!E65</f>
        <v>440713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44612</v>
      </c>
      <c r="D863" s="2" t="str">
        <f t="shared" si="12"/>
        <v>Error?</v>
      </c>
    </row>
    <row r="864" spans="1:4" x14ac:dyDescent="0.2">
      <c r="A864" s="5">
        <v>803</v>
      </c>
      <c r="B864" s="138">
        <f>'Expenditures 15-22'!E69</f>
        <v>98881</v>
      </c>
      <c r="D864" s="2" t="str">
        <f t="shared" si="12"/>
        <v>Error?</v>
      </c>
    </row>
    <row r="865" spans="1:4" x14ac:dyDescent="0.2">
      <c r="A865" s="5">
        <v>804</v>
      </c>
      <c r="B865" s="138">
        <f>'Expenditures 15-22'!E70</f>
        <v>30849</v>
      </c>
      <c r="D865" s="2" t="str">
        <f t="shared" si="12"/>
        <v>Error?</v>
      </c>
    </row>
    <row r="866" spans="1:4" x14ac:dyDescent="0.2">
      <c r="A866" s="10">
        <v>805</v>
      </c>
      <c r="D866" s="2" t="str">
        <f t="shared" si="12"/>
        <v>OK</v>
      </c>
    </row>
    <row r="867" spans="1:4" x14ac:dyDescent="0.2">
      <c r="A867" s="5">
        <v>806</v>
      </c>
      <c r="B867" s="138">
        <f>'Expenditures 15-22'!E71</f>
        <v>26117</v>
      </c>
      <c r="D867" s="2" t="str">
        <f t="shared" si="12"/>
        <v>Error?</v>
      </c>
    </row>
    <row r="868" spans="1:4" x14ac:dyDescent="0.2">
      <c r="A868" s="10">
        <v>807</v>
      </c>
      <c r="D868" s="2" t="str">
        <f t="shared" si="12"/>
        <v>OK</v>
      </c>
    </row>
    <row r="869" spans="1:4" x14ac:dyDescent="0.2">
      <c r="A869" s="5">
        <v>808</v>
      </c>
      <c r="B869" s="138">
        <f>'Expenditures 15-22'!E72</f>
        <v>200459</v>
      </c>
      <c r="C869" s="2" t="s">
        <v>594</v>
      </c>
      <c r="D869" s="2" t="str">
        <f t="shared" si="12"/>
        <v>Error?</v>
      </c>
    </row>
    <row r="870" spans="1:4" x14ac:dyDescent="0.2">
      <c r="A870" s="5">
        <v>809</v>
      </c>
      <c r="B870" s="138">
        <f>'Expenditures 15-22'!E73</f>
        <v>6126</v>
      </c>
      <c r="D870" s="2" t="str">
        <f t="shared" si="12"/>
        <v>Error?</v>
      </c>
    </row>
    <row r="871" spans="1:4" x14ac:dyDescent="0.2">
      <c r="A871" s="5">
        <v>810</v>
      </c>
      <c r="B871" s="138">
        <f>'Expenditures 15-22'!E74</f>
        <v>919704</v>
      </c>
      <c r="C871" s="2" t="s">
        <v>594</v>
      </c>
      <c r="D871" s="2" t="str">
        <f t="shared" si="12"/>
        <v>Error?</v>
      </c>
    </row>
    <row r="872" spans="1:4" x14ac:dyDescent="0.2">
      <c r="A872" s="5">
        <v>811</v>
      </c>
      <c r="B872" s="138">
        <f>'Expenditures 15-22'!E75</f>
        <v>39253</v>
      </c>
      <c r="D872" s="2" t="str">
        <f t="shared" si="12"/>
        <v>Error?</v>
      </c>
    </row>
    <row r="873" spans="1:4" x14ac:dyDescent="0.2">
      <c r="A873" s="5">
        <v>812</v>
      </c>
      <c r="B873" s="138">
        <f>'Expenditures 15-22'!E114</f>
        <v>1279777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240025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8667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7425</v>
      </c>
      <c r="D891" s="2" t="str">
        <f t="shared" si="12"/>
        <v>Error?</v>
      </c>
    </row>
    <row r="892" spans="1:4" x14ac:dyDescent="0.2">
      <c r="A892" s="5">
        <v>831</v>
      </c>
      <c r="B892" s="138">
        <f>'Expenditures 15-22'!F14</f>
        <v>900</v>
      </c>
      <c r="D892" s="2" t="str">
        <f t="shared" si="12"/>
        <v>Error?</v>
      </c>
    </row>
    <row r="893" spans="1:4" x14ac:dyDescent="0.2">
      <c r="A893" s="5">
        <v>832</v>
      </c>
      <c r="B893" s="138">
        <f>'Expenditures 15-22'!F15</f>
        <v>1086</v>
      </c>
      <c r="D893" s="2" t="str">
        <f t="shared" si="12"/>
        <v>Error?</v>
      </c>
    </row>
    <row r="894" spans="1:4" x14ac:dyDescent="0.2">
      <c r="A894" s="5">
        <v>833</v>
      </c>
      <c r="B894" s="138">
        <f>'Expenditures 15-22'!F33</f>
        <v>283039</v>
      </c>
      <c r="C894" s="2" t="s">
        <v>594</v>
      </c>
      <c r="D894" s="2" t="str">
        <f t="shared" si="12"/>
        <v>Error?</v>
      </c>
    </row>
    <row r="895" spans="1:4" x14ac:dyDescent="0.2">
      <c r="A895" s="5">
        <v>834</v>
      </c>
      <c r="B895" s="138">
        <f>'Expenditures 15-22'!F36</f>
        <v>1425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5585</v>
      </c>
      <c r="D897" s="2" t="str">
        <f t="shared" si="13"/>
        <v>Error?</v>
      </c>
    </row>
    <row r="898" spans="1:4" x14ac:dyDescent="0.2">
      <c r="A898" s="5">
        <v>837</v>
      </c>
      <c r="B898" s="138">
        <f>'Expenditures 15-22'!F39</f>
        <v>330</v>
      </c>
      <c r="D898" s="2" t="str">
        <f t="shared" si="13"/>
        <v>Error?</v>
      </c>
    </row>
    <row r="899" spans="1:4" x14ac:dyDescent="0.2">
      <c r="A899" s="5">
        <v>838</v>
      </c>
      <c r="B899" s="138">
        <f>'Expenditures 15-22'!F40</f>
        <v>12550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19890</v>
      </c>
      <c r="C901" s="2" t="s">
        <v>594</v>
      </c>
      <c r="D901" s="2" t="str">
        <f t="shared" si="13"/>
        <v>Error?</v>
      </c>
    </row>
    <row r="902" spans="1:4" x14ac:dyDescent="0.2">
      <c r="A902" s="5">
        <v>841</v>
      </c>
      <c r="B902" s="138">
        <f>'Expenditures 15-22'!F44</f>
        <v>703</v>
      </c>
      <c r="D902" s="2" t="str">
        <f t="shared" si="13"/>
        <v>Error?</v>
      </c>
    </row>
    <row r="903" spans="1:4" x14ac:dyDescent="0.2">
      <c r="A903" s="5">
        <v>842</v>
      </c>
      <c r="B903" s="138">
        <f>'Expenditures 15-22'!F45</f>
        <v>176187</v>
      </c>
      <c r="D903" s="2" t="str">
        <f t="shared" si="13"/>
        <v>Error?</v>
      </c>
    </row>
    <row r="904" spans="1:4" x14ac:dyDescent="0.2">
      <c r="A904" s="5">
        <v>843</v>
      </c>
      <c r="B904" s="138">
        <f>'Expenditures 15-22'!F46</f>
        <v>28464</v>
      </c>
      <c r="D904" s="2" t="str">
        <f t="shared" si="13"/>
        <v>Error?</v>
      </c>
    </row>
    <row r="905" spans="1:4" x14ac:dyDescent="0.2">
      <c r="A905" s="5">
        <v>844</v>
      </c>
      <c r="B905" s="138">
        <f>'Expenditures 15-22'!F47</f>
        <v>205354</v>
      </c>
      <c r="C905" s="2" t="s">
        <v>594</v>
      </c>
      <c r="D905" s="2" t="str">
        <f t="shared" si="13"/>
        <v>Error?</v>
      </c>
    </row>
    <row r="906" spans="1:4" x14ac:dyDescent="0.2">
      <c r="A906" s="5">
        <v>845</v>
      </c>
      <c r="B906" s="138">
        <f>'Expenditures 15-22'!F49</f>
        <v>20233</v>
      </c>
      <c r="D906" s="2" t="str">
        <f t="shared" si="13"/>
        <v>Error?</v>
      </c>
    </row>
    <row r="907" spans="1:4" x14ac:dyDescent="0.2">
      <c r="A907" s="5">
        <v>846</v>
      </c>
      <c r="B907" s="138">
        <f>'Expenditures 15-22'!F50</f>
        <v>5660</v>
      </c>
      <c r="D907" s="2" t="str">
        <f t="shared" si="13"/>
        <v>Error?</v>
      </c>
    </row>
    <row r="908" spans="1:4" x14ac:dyDescent="0.2">
      <c r="A908" s="5">
        <v>847</v>
      </c>
      <c r="B908" s="138">
        <f>'Expenditures 15-22'!F53</f>
        <v>25893</v>
      </c>
      <c r="C908" s="2" t="s">
        <v>594</v>
      </c>
      <c r="D908" s="2" t="str">
        <f t="shared" si="13"/>
        <v>Error?</v>
      </c>
    </row>
    <row r="909" spans="1:4" x14ac:dyDescent="0.2">
      <c r="A909" s="5">
        <v>848</v>
      </c>
      <c r="B909" s="138">
        <f>'Expenditures 15-22'!F55</f>
        <v>16645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16645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1781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1276</v>
      </c>
      <c r="D922" s="2" t="str">
        <f t="shared" si="13"/>
        <v>Error?</v>
      </c>
    </row>
    <row r="923" spans="1:4" x14ac:dyDescent="0.2">
      <c r="A923" s="5">
        <v>862</v>
      </c>
      <c r="B923" s="138">
        <f>'Expenditures 15-22'!F70</f>
        <v>13664</v>
      </c>
      <c r="D923" s="2" t="str">
        <f t="shared" si="13"/>
        <v>Error?</v>
      </c>
    </row>
    <row r="924" spans="1:4" x14ac:dyDescent="0.2">
      <c r="A924" s="10">
        <v>863</v>
      </c>
      <c r="D924" s="2" t="str">
        <f t="shared" si="13"/>
        <v>OK</v>
      </c>
    </row>
    <row r="925" spans="1:4" x14ac:dyDescent="0.2">
      <c r="A925" s="5">
        <v>864</v>
      </c>
      <c r="B925" s="138">
        <f>'Expenditures 15-22'!F71</f>
        <v>4223</v>
      </c>
      <c r="D925" s="2" t="str">
        <f t="shared" si="13"/>
        <v>Error?</v>
      </c>
    </row>
    <row r="926" spans="1:4" x14ac:dyDescent="0.2">
      <c r="A926" s="10">
        <v>865</v>
      </c>
      <c r="D926" s="2" t="str">
        <f t="shared" si="13"/>
        <v>OK</v>
      </c>
    </row>
    <row r="927" spans="1:4" x14ac:dyDescent="0.2">
      <c r="A927" s="5">
        <v>866</v>
      </c>
      <c r="B927" s="138">
        <f>'Expenditures 15-22'!F72</f>
        <v>19163</v>
      </c>
      <c r="C927" s="2" t="s">
        <v>594</v>
      </c>
      <c r="D927" s="2" t="str">
        <f t="shared" si="13"/>
        <v>Error?</v>
      </c>
    </row>
    <row r="928" spans="1:4" x14ac:dyDescent="0.2">
      <c r="A928" s="5">
        <v>867</v>
      </c>
      <c r="B928" s="138">
        <f>'Expenditures 15-22'!F73</f>
        <v>275</v>
      </c>
      <c r="D928" s="2" t="str">
        <f t="shared" si="13"/>
        <v>Error?</v>
      </c>
    </row>
    <row r="929" spans="1:4" x14ac:dyDescent="0.2">
      <c r="A929" s="5">
        <v>868</v>
      </c>
      <c r="B929" s="138">
        <f>'Expenditures 15-22'!F74</f>
        <v>292182</v>
      </c>
      <c r="C929" s="2" t="s">
        <v>594</v>
      </c>
      <c r="D929" s="2" t="str">
        <f t="shared" si="13"/>
        <v>Error?</v>
      </c>
    </row>
    <row r="930" spans="1:4" x14ac:dyDescent="0.2">
      <c r="A930" s="5">
        <v>869</v>
      </c>
      <c r="B930" s="138">
        <f>'Expenditures 15-22'!F75</f>
        <v>5490</v>
      </c>
      <c r="D930" s="2" t="str">
        <f t="shared" si="13"/>
        <v>Error?</v>
      </c>
    </row>
    <row r="931" spans="1:4" x14ac:dyDescent="0.2">
      <c r="A931" s="5">
        <v>870</v>
      </c>
      <c r="B931" s="138">
        <f>'Expenditures 15-22'!F114</f>
        <v>580711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46692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57395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2096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2096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108074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108074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1249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5055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6304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116474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173869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5558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100</v>
      </c>
      <c r="D1013" s="2" t="str">
        <f t="shared" si="14"/>
        <v>Error?</v>
      </c>
    </row>
    <row r="1014" spans="1:4" x14ac:dyDescent="0.2">
      <c r="A1014" s="5">
        <v>953</v>
      </c>
      <c r="B1014" s="138">
        <f>'Expenditures 15-22'!H39</f>
        <v>375</v>
      </c>
      <c r="D1014" s="2" t="str">
        <f t="shared" si="14"/>
        <v>Error?</v>
      </c>
    </row>
    <row r="1015" spans="1:4" x14ac:dyDescent="0.2">
      <c r="A1015" s="5">
        <v>954</v>
      </c>
      <c r="B1015" s="138">
        <f>'Expenditures 15-22'!H40</f>
        <v>200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675</v>
      </c>
      <c r="C1017" s="2" t="s">
        <v>594</v>
      </c>
      <c r="D1017" s="2" t="str">
        <f t="shared" si="14"/>
        <v>Error?</v>
      </c>
    </row>
    <row r="1018" spans="1:4" x14ac:dyDescent="0.2">
      <c r="A1018" s="5">
        <v>957</v>
      </c>
      <c r="B1018" s="138">
        <f>'Expenditures 15-22'!H44</f>
        <v>1334</v>
      </c>
      <c r="D1018" s="2" t="str">
        <f t="shared" si="14"/>
        <v>Error?</v>
      </c>
    </row>
    <row r="1019" spans="1:4" x14ac:dyDescent="0.2">
      <c r="A1019" s="5">
        <v>958</v>
      </c>
      <c r="B1019" s="138">
        <f>'Expenditures 15-22'!H45</f>
        <v>635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1969</v>
      </c>
      <c r="C1021" s="2" t="s">
        <v>594</v>
      </c>
      <c r="D1021" s="2" t="str">
        <f t="shared" si="14"/>
        <v>Error?</v>
      </c>
    </row>
    <row r="1022" spans="1:4" x14ac:dyDescent="0.2">
      <c r="A1022" s="5">
        <v>961</v>
      </c>
      <c r="B1022" s="138">
        <f>'Expenditures 15-22'!H49</f>
        <v>7717</v>
      </c>
      <c r="D1022" s="2" t="str">
        <f t="shared" si="14"/>
        <v>Error?</v>
      </c>
    </row>
    <row r="1023" spans="1:4" x14ac:dyDescent="0.2">
      <c r="A1023" s="5">
        <v>962</v>
      </c>
      <c r="B1023" s="138">
        <f>'Expenditures 15-22'!H50</f>
        <v>3246</v>
      </c>
      <c r="D1023" s="2" t="str">
        <f t="shared" ref="D1023:D1086" si="15">IF(ISBLANK(B1023),"OK",IF(A1023-B1023=0,"OK","Error?"))</f>
        <v>Error?</v>
      </c>
    </row>
    <row r="1024" spans="1:4" x14ac:dyDescent="0.2">
      <c r="A1024" s="5">
        <v>963</v>
      </c>
      <c r="B1024" s="138">
        <f>'Expenditures 15-22'!H53</f>
        <v>10963</v>
      </c>
      <c r="C1024" s="2" t="s">
        <v>594</v>
      </c>
      <c r="D1024" s="2" t="str">
        <f t="shared" si="15"/>
        <v>Error?</v>
      </c>
    </row>
    <row r="1025" spans="1:4" x14ac:dyDescent="0.2">
      <c r="A1025" s="5">
        <v>964</v>
      </c>
      <c r="B1025" s="138">
        <f>'Expenditures 15-22'!H55</f>
        <v>1142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1142</v>
      </c>
      <c r="C1027" s="2" t="s">
        <v>594</v>
      </c>
      <c r="D1027" s="2" t="str">
        <f t="shared" si="15"/>
        <v>Error?</v>
      </c>
    </row>
    <row r="1028" spans="1:4" x14ac:dyDescent="0.2">
      <c r="A1028" s="5">
        <v>967</v>
      </c>
      <c r="B1028" s="138">
        <f>'Expenditures 15-22'!H59</f>
        <v>559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559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703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703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16011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331973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353542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7228703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640691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118417</v>
      </c>
      <c r="C1105" s="2" t="s">
        <v>594</v>
      </c>
      <c r="D1105" s="2" t="str">
        <f t="shared" si="16"/>
        <v>Error?</v>
      </c>
    </row>
    <row r="1106" spans="1:4" x14ac:dyDescent="0.2">
      <c r="A1106" s="5">
        <v>1045</v>
      </c>
      <c r="B1106" s="138">
        <f>'Expenditures 15-22'!K14</f>
        <v>145254</v>
      </c>
      <c r="C1106" s="2" t="s">
        <v>594</v>
      </c>
      <c r="D1106" s="2" t="str">
        <f t="shared" si="16"/>
        <v>Error?</v>
      </c>
    </row>
    <row r="1107" spans="1:4" x14ac:dyDescent="0.2">
      <c r="A1107" s="5">
        <v>1046</v>
      </c>
      <c r="B1107" s="138">
        <f>'Expenditures 15-22'!K15</f>
        <v>80065</v>
      </c>
      <c r="C1107" s="2" t="s">
        <v>594</v>
      </c>
      <c r="D1107" s="2" t="str">
        <f t="shared" si="16"/>
        <v>Error?</v>
      </c>
    </row>
    <row r="1108" spans="1:4" x14ac:dyDescent="0.2">
      <c r="A1108" s="5">
        <v>1047</v>
      </c>
      <c r="B1108" s="138">
        <f>'Expenditures 15-22'!K33</f>
        <v>10946924</v>
      </c>
      <c r="C1108" s="2" t="s">
        <v>594</v>
      </c>
      <c r="D1108" s="2" t="str">
        <f t="shared" si="16"/>
        <v>Error?</v>
      </c>
    </row>
    <row r="1109" spans="1:4" x14ac:dyDescent="0.2">
      <c r="A1109" s="5">
        <v>1048</v>
      </c>
      <c r="B1109" s="138">
        <f>'Expenditures 15-22'!K36</f>
        <v>360042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580950</v>
      </c>
      <c r="C1111" s="2" t="s">
        <v>594</v>
      </c>
      <c r="D1111" s="2" t="str">
        <f t="shared" si="16"/>
        <v>Error?</v>
      </c>
    </row>
    <row r="1112" spans="1:4" x14ac:dyDescent="0.2">
      <c r="A1112" s="5">
        <v>1051</v>
      </c>
      <c r="B1112" s="138">
        <f>'Expenditures 15-22'!K39</f>
        <v>284351</v>
      </c>
      <c r="C1112" s="2" t="s">
        <v>594</v>
      </c>
      <c r="D1112" s="2" t="str">
        <f t="shared" si="16"/>
        <v>Error?</v>
      </c>
    </row>
    <row r="1113" spans="1:4" x14ac:dyDescent="0.2">
      <c r="A1113" s="5">
        <v>1052</v>
      </c>
      <c r="B1113" s="138">
        <f>'Expenditures 15-22'!K40</f>
        <v>474767</v>
      </c>
      <c r="C1113" s="2" t="s">
        <v>594</v>
      </c>
      <c r="D1113" s="2" t="str">
        <f t="shared" si="16"/>
        <v>Error?</v>
      </c>
    </row>
    <row r="1114" spans="1:4" x14ac:dyDescent="0.2">
      <c r="A1114" s="5">
        <v>1053</v>
      </c>
      <c r="B1114" s="138">
        <f>'Expenditures 15-22'!K41</f>
        <v>51596</v>
      </c>
      <c r="C1114" s="2" t="s">
        <v>594</v>
      </c>
      <c r="D1114" s="2" t="str">
        <f t="shared" si="16"/>
        <v>Error?</v>
      </c>
    </row>
    <row r="1115" spans="1:4" x14ac:dyDescent="0.2">
      <c r="A1115" s="5">
        <v>1054</v>
      </c>
      <c r="B1115" s="138">
        <f>'Expenditures 15-22'!K42</f>
        <v>1751706</v>
      </c>
      <c r="C1115" s="2" t="s">
        <v>594</v>
      </c>
      <c r="D1115" s="2" t="str">
        <f t="shared" si="16"/>
        <v>Error?</v>
      </c>
    </row>
    <row r="1116" spans="1:4" x14ac:dyDescent="0.2">
      <c r="A1116" s="5">
        <v>1055</v>
      </c>
      <c r="B1116" s="138">
        <f>'Expenditures 15-22'!K44</f>
        <v>208295</v>
      </c>
      <c r="C1116" s="2" t="s">
        <v>594</v>
      </c>
      <c r="D1116" s="2" t="str">
        <f t="shared" si="16"/>
        <v>Error?</v>
      </c>
    </row>
    <row r="1117" spans="1:4" x14ac:dyDescent="0.2">
      <c r="A1117" s="5">
        <v>1056</v>
      </c>
      <c r="B1117" s="138">
        <f>'Expenditures 15-22'!K45</f>
        <v>1304325</v>
      </c>
      <c r="C1117" s="2" t="s">
        <v>594</v>
      </c>
      <c r="D1117" s="2" t="str">
        <f t="shared" si="16"/>
        <v>Error?</v>
      </c>
    </row>
    <row r="1118" spans="1:4" x14ac:dyDescent="0.2">
      <c r="A1118" s="5">
        <v>1057</v>
      </c>
      <c r="B1118" s="138">
        <f>'Expenditures 15-22'!K46</f>
        <v>42074</v>
      </c>
      <c r="C1118" s="2" t="s">
        <v>594</v>
      </c>
      <c r="D1118" s="2" t="str">
        <f t="shared" si="16"/>
        <v>Error?</v>
      </c>
    </row>
    <row r="1119" spans="1:4" x14ac:dyDescent="0.2">
      <c r="A1119" s="5">
        <v>1058</v>
      </c>
      <c r="B1119" s="138">
        <f>'Expenditures 15-22'!K47</f>
        <v>1554694</v>
      </c>
      <c r="C1119" s="2" t="s">
        <v>594</v>
      </c>
      <c r="D1119" s="2" t="str">
        <f t="shared" si="16"/>
        <v>Error?</v>
      </c>
    </row>
    <row r="1120" spans="1:4" x14ac:dyDescent="0.2">
      <c r="A1120" s="5">
        <v>1059</v>
      </c>
      <c r="B1120" s="138">
        <f>'Expenditures 15-22'!K49</f>
        <v>56043</v>
      </c>
      <c r="C1120" s="2" t="s">
        <v>594</v>
      </c>
      <c r="D1120" s="2" t="str">
        <f t="shared" si="16"/>
        <v>Error?</v>
      </c>
    </row>
    <row r="1121" spans="1:4" x14ac:dyDescent="0.2">
      <c r="A1121" s="5">
        <v>1060</v>
      </c>
      <c r="B1121" s="138">
        <f>'Expenditures 15-22'!K50</f>
        <v>396937</v>
      </c>
      <c r="C1121" s="2" t="s">
        <v>594</v>
      </c>
      <c r="D1121" s="2" t="str">
        <f t="shared" si="16"/>
        <v>Error?</v>
      </c>
    </row>
    <row r="1122" spans="1:4" x14ac:dyDescent="0.2">
      <c r="A1122" s="5">
        <v>1061</v>
      </c>
      <c r="B1122" s="138">
        <f>'Expenditures 15-22'!K53</f>
        <v>475324</v>
      </c>
      <c r="C1122" s="2" t="s">
        <v>594</v>
      </c>
      <c r="D1122" s="2" t="str">
        <f t="shared" si="16"/>
        <v>Error?</v>
      </c>
    </row>
    <row r="1123" spans="1:4" x14ac:dyDescent="0.2">
      <c r="A1123" s="5">
        <v>1062</v>
      </c>
      <c r="B1123" s="138">
        <f>'Expenditures 15-22'!K55</f>
        <v>1123008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1123008</v>
      </c>
      <c r="C1125" s="2" t="s">
        <v>594</v>
      </c>
      <c r="D1125" s="2" t="str">
        <f t="shared" si="16"/>
        <v>Error?</v>
      </c>
    </row>
    <row r="1126" spans="1:4" x14ac:dyDescent="0.2">
      <c r="A1126" s="5">
        <v>1065</v>
      </c>
      <c r="B1126" s="138">
        <f>'Expenditures 15-22'!K59</f>
        <v>148968</v>
      </c>
      <c r="C1126" s="2" t="s">
        <v>594</v>
      </c>
      <c r="D1126" s="2" t="str">
        <f t="shared" si="16"/>
        <v>Error?</v>
      </c>
    </row>
    <row r="1127" spans="1:4" x14ac:dyDescent="0.2">
      <c r="A1127" s="5">
        <v>1066</v>
      </c>
      <c r="B1127" s="138">
        <f>'Expenditures 15-22'!K60</f>
        <v>175054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467829</v>
      </c>
      <c r="C1130" s="2" t="s">
        <v>594</v>
      </c>
      <c r="D1130" s="2" t="str">
        <f t="shared" si="16"/>
        <v>Error?</v>
      </c>
    </row>
    <row r="1131" spans="1:4" x14ac:dyDescent="0.2">
      <c r="A1131" s="5">
        <v>1070</v>
      </c>
      <c r="B1131" s="138">
        <f>'Expenditures 15-22'!K64</f>
        <v>31968</v>
      </c>
      <c r="C1131" s="2" t="s">
        <v>594</v>
      </c>
      <c r="D1131" s="2" t="str">
        <f t="shared" si="16"/>
        <v>Error?</v>
      </c>
    </row>
    <row r="1132" spans="1:4" x14ac:dyDescent="0.2">
      <c r="A1132" s="10">
        <v>1071</v>
      </c>
      <c r="D1132" s="2" t="str">
        <f t="shared" si="16"/>
        <v>OK</v>
      </c>
    </row>
    <row r="1133" spans="1:4" x14ac:dyDescent="0.2">
      <c r="A1133" s="5">
        <v>1072</v>
      </c>
      <c r="B1133" s="138">
        <f>'Expenditures 15-22'!K65</f>
        <v>823819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44612</v>
      </c>
      <c r="C1135" s="2" t="s">
        <v>594</v>
      </c>
      <c r="D1135" s="2" t="str">
        <f t="shared" si="16"/>
        <v>Error?</v>
      </c>
    </row>
    <row r="1136" spans="1:4" x14ac:dyDescent="0.2">
      <c r="A1136" s="5">
        <v>1075</v>
      </c>
      <c r="B1136" s="138">
        <f>'Expenditures 15-22'!K69</f>
        <v>100157</v>
      </c>
      <c r="C1136" s="2" t="s">
        <v>594</v>
      </c>
      <c r="D1136" s="2" t="str">
        <f t="shared" si="16"/>
        <v>Error?</v>
      </c>
    </row>
    <row r="1137" spans="1:4" x14ac:dyDescent="0.2">
      <c r="A1137" s="5">
        <v>1076</v>
      </c>
      <c r="B1137" s="138">
        <f>'Expenditures 15-22'!K70</f>
        <v>158380</v>
      </c>
      <c r="C1137" s="2" t="s">
        <v>594</v>
      </c>
      <c r="D1137" s="2" t="str">
        <f t="shared" si="16"/>
        <v>Error?</v>
      </c>
    </row>
    <row r="1138" spans="1:4" x14ac:dyDescent="0.2">
      <c r="A1138" s="10">
        <v>1077</v>
      </c>
      <c r="D1138" s="2" t="str">
        <f t="shared" si="16"/>
        <v>OK</v>
      </c>
    </row>
    <row r="1139" spans="1:4" x14ac:dyDescent="0.2">
      <c r="A1139" s="5">
        <v>1078</v>
      </c>
      <c r="B1139" s="138">
        <f>'Expenditures 15-22'!K71</f>
        <v>30340</v>
      </c>
      <c r="C1139" s="2" t="s">
        <v>594</v>
      </c>
      <c r="D1139" s="2" t="str">
        <f t="shared" si="16"/>
        <v>Error?</v>
      </c>
    </row>
    <row r="1140" spans="1:4" x14ac:dyDescent="0.2">
      <c r="A1140" s="10">
        <v>1079</v>
      </c>
      <c r="D1140" s="2" t="str">
        <f t="shared" si="16"/>
        <v>OK</v>
      </c>
    </row>
    <row r="1141" spans="1:4" x14ac:dyDescent="0.2">
      <c r="A1141" s="5">
        <v>1080</v>
      </c>
      <c r="B1141" s="138">
        <f>'Expenditures 15-22'!K72</f>
        <v>333489</v>
      </c>
      <c r="C1141" s="2" t="s">
        <v>594</v>
      </c>
      <c r="D1141" s="2" t="str">
        <f t="shared" si="16"/>
        <v>Error?</v>
      </c>
    </row>
    <row r="1142" spans="1:4" x14ac:dyDescent="0.2">
      <c r="A1142" s="5">
        <v>1081</v>
      </c>
      <c r="B1142" s="138">
        <f>'Expenditures 15-22'!K73</f>
        <v>6851</v>
      </c>
      <c r="C1142" s="2" t="s">
        <v>594</v>
      </c>
      <c r="D1142" s="2" t="str">
        <f t="shared" si="16"/>
        <v>Error?</v>
      </c>
    </row>
    <row r="1143" spans="1:4" x14ac:dyDescent="0.2">
      <c r="A1143" s="5">
        <v>1082</v>
      </c>
      <c r="B1143" s="138">
        <f>'Expenditures 15-22'!K74</f>
        <v>6068891</v>
      </c>
      <c r="C1143" s="2" t="s">
        <v>594</v>
      </c>
      <c r="D1143" s="2" t="str">
        <f t="shared" si="16"/>
        <v>Error?</v>
      </c>
    </row>
    <row r="1144" spans="1:4" x14ac:dyDescent="0.2">
      <c r="A1144" s="5">
        <v>1083</v>
      </c>
      <c r="B1144" s="138">
        <f>'Expenditures 15-22'!K75</f>
        <v>193554</v>
      </c>
      <c r="C1144" s="2" t="s">
        <v>594</v>
      </c>
      <c r="D1144" s="2" t="str">
        <f t="shared" si="16"/>
        <v>Error?</v>
      </c>
    </row>
    <row r="1145" spans="1:4" x14ac:dyDescent="0.2">
      <c r="A1145" s="5">
        <v>1084</v>
      </c>
      <c r="B1145" s="138">
        <f>'Expenditures 15-22'!K102</f>
        <v>552440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17761809</v>
      </c>
      <c r="C1152" s="2" t="s">
        <v>594</v>
      </c>
      <c r="D1152" s="2" t="str">
        <f t="shared" si="17"/>
        <v>Error?</v>
      </c>
    </row>
    <row r="1153" spans="1:4" x14ac:dyDescent="0.2">
      <c r="A1153" s="5">
        <v>1092</v>
      </c>
      <c r="B1153" s="138">
        <f>'Expenditures 15-22'!K115</f>
        <v>338197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704946</v>
      </c>
      <c r="D1221" s="2" t="str">
        <f t="shared" si="18"/>
        <v>Error?</v>
      </c>
    </row>
    <row r="1222" spans="1:4" x14ac:dyDescent="0.2">
      <c r="A1222" s="10">
        <v>1161</v>
      </c>
      <c r="D1222" s="2" t="str">
        <f t="shared" si="18"/>
        <v>OK</v>
      </c>
    </row>
    <row r="1223" spans="1:4" x14ac:dyDescent="0.2">
      <c r="A1223" s="5">
        <v>1162</v>
      </c>
      <c r="B1223" s="138">
        <f>'Expenditures 15-22'!C127</f>
        <v>704946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704946</v>
      </c>
      <c r="C1225" s="2" t="s">
        <v>594</v>
      </c>
      <c r="D1225" s="2" t="str">
        <f t="shared" si="18"/>
        <v>Error?</v>
      </c>
    </row>
    <row r="1226" spans="1:4" x14ac:dyDescent="0.2">
      <c r="A1226" s="5">
        <v>1165</v>
      </c>
      <c r="B1226" s="138">
        <f>'Expenditures 15-22'!C151</f>
        <v>704946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136417</v>
      </c>
      <c r="D1229" s="2" t="str">
        <f t="shared" si="18"/>
        <v>Error?</v>
      </c>
    </row>
    <row r="1230" spans="1:4" x14ac:dyDescent="0.2">
      <c r="A1230" s="10">
        <v>1169</v>
      </c>
      <c r="D1230" s="2" t="str">
        <f t="shared" si="18"/>
        <v>OK</v>
      </c>
    </row>
    <row r="1231" spans="1:4" x14ac:dyDescent="0.2">
      <c r="A1231" s="5">
        <v>1170</v>
      </c>
      <c r="B1231" s="138">
        <f>'Expenditures 15-22'!D127</f>
        <v>136417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136417</v>
      </c>
      <c r="C1233" s="2" t="s">
        <v>594</v>
      </c>
      <c r="D1233" s="2" t="str">
        <f t="shared" si="18"/>
        <v>Error?</v>
      </c>
    </row>
    <row r="1234" spans="1:4" x14ac:dyDescent="0.2">
      <c r="A1234" s="5">
        <v>1173</v>
      </c>
      <c r="B1234" s="138">
        <f>'Expenditures 15-22'!D151</f>
        <v>136417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293407</v>
      </c>
      <c r="D1237" s="2" t="str">
        <f t="shared" si="18"/>
        <v>Error?</v>
      </c>
    </row>
    <row r="1238" spans="1:4" x14ac:dyDescent="0.2">
      <c r="A1238" s="10">
        <v>1177</v>
      </c>
      <c r="D1238" s="2" t="str">
        <f t="shared" si="18"/>
        <v>OK</v>
      </c>
    </row>
    <row r="1239" spans="1:4" x14ac:dyDescent="0.2">
      <c r="A1239" s="5">
        <v>1178</v>
      </c>
      <c r="B1239" s="138">
        <f>'Expenditures 15-22'!E127</f>
        <v>293407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293407</v>
      </c>
      <c r="C1241" s="2" t="s">
        <v>594</v>
      </c>
      <c r="D1241" s="2" t="str">
        <f t="shared" si="18"/>
        <v>Error?</v>
      </c>
    </row>
    <row r="1242" spans="1:4" x14ac:dyDescent="0.2">
      <c r="A1242" s="5">
        <v>1181</v>
      </c>
      <c r="B1242" s="138">
        <f>'Expenditures 15-22'!E151</f>
        <v>293407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206756</v>
      </c>
      <c r="D1245" s="2" t="str">
        <f t="shared" si="18"/>
        <v>Error?</v>
      </c>
    </row>
    <row r="1246" spans="1:4" x14ac:dyDescent="0.2">
      <c r="A1246" s="10">
        <v>1185</v>
      </c>
      <c r="D1246" s="2" t="str">
        <f t="shared" si="18"/>
        <v>OK</v>
      </c>
    </row>
    <row r="1247" spans="1:4" x14ac:dyDescent="0.2">
      <c r="A1247" s="5">
        <v>1186</v>
      </c>
      <c r="B1247" s="138">
        <f>'Expenditures 15-22'!F127</f>
        <v>206756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206756</v>
      </c>
      <c r="C1249" s="2" t="s">
        <v>594</v>
      </c>
      <c r="D1249" s="2" t="str">
        <f t="shared" si="18"/>
        <v>Error?</v>
      </c>
    </row>
    <row r="1250" spans="1:4" x14ac:dyDescent="0.2">
      <c r="A1250" s="5">
        <v>1189</v>
      </c>
      <c r="B1250" s="138">
        <f>'Expenditures 15-22'!F151</f>
        <v>206756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80957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80957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80957</v>
      </c>
      <c r="C1258" s="2" t="s">
        <v>594</v>
      </c>
      <c r="D1258" s="2" t="str">
        <f t="shared" si="18"/>
        <v>Error?</v>
      </c>
    </row>
    <row r="1259" spans="1:4" x14ac:dyDescent="0.2">
      <c r="A1259" s="5">
        <v>1198</v>
      </c>
      <c r="B1259" s="138">
        <f>'Expenditures 15-22'!G151</f>
        <v>80957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280</v>
      </c>
      <c r="D1262" s="2" t="str">
        <f t="shared" si="18"/>
        <v>Error?</v>
      </c>
    </row>
    <row r="1263" spans="1:4" x14ac:dyDescent="0.2">
      <c r="A1263" s="10">
        <v>1202</v>
      </c>
      <c r="D1263" s="2" t="str">
        <f t="shared" si="18"/>
        <v>OK</v>
      </c>
    </row>
    <row r="1264" spans="1:4" x14ac:dyDescent="0.2">
      <c r="A1264" s="5">
        <v>1203</v>
      </c>
      <c r="B1264" s="138">
        <f>'Expenditures 15-22'!H127</f>
        <v>280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1422763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1422763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1422763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1422763</v>
      </c>
      <c r="C1288" s="2" t="s">
        <v>594</v>
      </c>
      <c r="D1288" s="2" t="str">
        <f t="shared" si="19"/>
        <v>Error?</v>
      </c>
    </row>
    <row r="1289" spans="1:4" x14ac:dyDescent="0.2">
      <c r="A1289" s="5">
        <v>1228</v>
      </c>
      <c r="B1289" s="138">
        <f>'Expenditures 15-22'!K152</f>
        <v>277622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326006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972437</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1299393</v>
      </c>
      <c r="C1317" s="2" t="s">
        <v>594</v>
      </c>
      <c r="D1317" s="2" t="str">
        <f t="shared" si="19"/>
        <v>Error?</v>
      </c>
    </row>
    <row r="1318" spans="1:4" x14ac:dyDescent="0.2">
      <c r="A1318" s="5">
        <v>1257</v>
      </c>
      <c r="B1318" s="138">
        <f>'Expenditures 15-22'!H174</f>
        <v>1299393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326006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972437</v>
      </c>
      <c r="C1329" s="2" t="s">
        <v>594</v>
      </c>
      <c r="D1329" s="2" t="str">
        <f t="shared" si="19"/>
        <v>Error?</v>
      </c>
    </row>
    <row r="1330" spans="1:4" x14ac:dyDescent="0.2">
      <c r="A1330" s="5">
        <v>1269</v>
      </c>
      <c r="B1330" s="138">
        <f>'Expenditures 15-22'!K171</f>
        <v>950</v>
      </c>
      <c r="C1330" s="2" t="s">
        <v>594</v>
      </c>
      <c r="D1330" s="2" t="str">
        <f t="shared" si="19"/>
        <v>Error?</v>
      </c>
    </row>
    <row r="1331" spans="1:4" x14ac:dyDescent="0.2">
      <c r="A1331" s="5">
        <v>1270</v>
      </c>
      <c r="B1331" s="138">
        <f>'Expenditures 15-22'!K172</f>
        <v>1299393</v>
      </c>
      <c r="C1331" s="2" t="s">
        <v>594</v>
      </c>
      <c r="D1331" s="2" t="str">
        <f t="shared" si="19"/>
        <v>Error?</v>
      </c>
    </row>
    <row r="1332" spans="1:4" x14ac:dyDescent="0.2">
      <c r="A1332" s="5">
        <v>1271</v>
      </c>
      <c r="B1332" s="138">
        <f>'Expenditures 15-22'!K174</f>
        <v>1299393</v>
      </c>
      <c r="C1332" s="2" t="s">
        <v>594</v>
      </c>
      <c r="D1332" s="2" t="str">
        <f t="shared" si="19"/>
        <v>Error?</v>
      </c>
    </row>
    <row r="1333" spans="1:4" x14ac:dyDescent="0.2">
      <c r="A1333" s="5">
        <v>1272</v>
      </c>
      <c r="B1333" s="138">
        <f>'Expenditures 15-22'!K175</f>
        <v>-107536</v>
      </c>
      <c r="C1333" s="2" t="s">
        <v>594</v>
      </c>
      <c r="D1333" s="2" t="str">
        <f t="shared" si="19"/>
        <v>Error?</v>
      </c>
    </row>
    <row r="1334" spans="1:4" x14ac:dyDescent="0.2">
      <c r="A1334" s="10">
        <v>1273</v>
      </c>
      <c r="D1334" s="2" t="str">
        <f t="shared" si="19"/>
        <v>OK</v>
      </c>
    </row>
    <row r="1335" spans="1:4" x14ac:dyDescent="0.2">
      <c r="A1335" s="5">
        <v>1274</v>
      </c>
      <c r="B1335" s="138">
        <f>'Expenditures 15-22'!C182</f>
        <v>22852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22852</v>
      </c>
      <c r="C1339" s="2" t="s">
        <v>594</v>
      </c>
      <c r="D1339" s="2" t="str">
        <f t="shared" si="19"/>
        <v>Error?</v>
      </c>
    </row>
    <row r="1340" spans="1:4" x14ac:dyDescent="0.2">
      <c r="A1340" s="5">
        <v>1279</v>
      </c>
      <c r="B1340" s="138">
        <f>'Expenditures 15-22'!C210</f>
        <v>22852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1275462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1275462</v>
      </c>
      <c r="C1351" s="2" t="s">
        <v>594</v>
      </c>
      <c r="D1351" s="2" t="str">
        <f t="shared" si="20"/>
        <v>Error?</v>
      </c>
    </row>
    <row r="1352" spans="1:4" x14ac:dyDescent="0.2">
      <c r="A1352" s="5">
        <v>1291</v>
      </c>
      <c r="B1352" s="138">
        <f>'Expenditures 15-22'!E196</f>
        <v>66645</v>
      </c>
      <c r="C1352" s="2" t="s">
        <v>594</v>
      </c>
      <c r="D1352" s="2" t="str">
        <f t="shared" si="20"/>
        <v>Error?</v>
      </c>
    </row>
    <row r="1353" spans="1:4" x14ac:dyDescent="0.2">
      <c r="A1353" s="5">
        <v>1292</v>
      </c>
      <c r="B1353" s="138">
        <f>'Expenditures 15-22'!E210</f>
        <v>1342107</v>
      </c>
      <c r="C1353" s="2" t="s">
        <v>594</v>
      </c>
      <c r="D1353" s="2" t="str">
        <f t="shared" si="20"/>
        <v>Error?</v>
      </c>
    </row>
    <row r="1354" spans="1:4" x14ac:dyDescent="0.2">
      <c r="A1354" s="5">
        <v>1293</v>
      </c>
      <c r="B1354" s="138">
        <f>'Expenditures 15-22'!F182</f>
        <v>71616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71616</v>
      </c>
      <c r="C1358" s="2" t="s">
        <v>594</v>
      </c>
      <c r="D1358" s="2" t="str">
        <f t="shared" si="20"/>
        <v>Error?</v>
      </c>
    </row>
    <row r="1359" spans="1:4" x14ac:dyDescent="0.2">
      <c r="A1359" s="5">
        <v>1298</v>
      </c>
      <c r="B1359" s="138">
        <f>'Expenditures 15-22'!F210</f>
        <v>71616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1369930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1369930</v>
      </c>
      <c r="C1381" s="2" t="s">
        <v>594</v>
      </c>
      <c r="D1381" s="2" t="str">
        <f t="shared" si="20"/>
        <v>Error?</v>
      </c>
    </row>
    <row r="1382" spans="1:4" x14ac:dyDescent="0.2">
      <c r="A1382" s="5">
        <v>1321</v>
      </c>
      <c r="B1382" s="138">
        <f>'Expenditures 15-22'!K196</f>
        <v>66645</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1436575</v>
      </c>
      <c r="C1388" s="2" t="s">
        <v>594</v>
      </c>
      <c r="D1388" s="2" t="str">
        <f t="shared" si="20"/>
        <v>Error?</v>
      </c>
    </row>
    <row r="1389" spans="1:4" x14ac:dyDescent="0.2">
      <c r="A1389" s="5">
        <v>1328</v>
      </c>
      <c r="B1389" s="138">
        <f>'Expenditures 15-22'!K211</f>
        <v>213929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18990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1334</v>
      </c>
      <c r="D1407" s="2" t="str">
        <f t="shared" ref="D1407:D1470" si="21">IF(ISBLANK(B1407),"OK",IF(A1407-B1407=0,"OK","Error?"))</f>
        <v>Error?</v>
      </c>
    </row>
    <row r="1408" spans="1:4" x14ac:dyDescent="0.2">
      <c r="A1408" s="5">
        <v>1347</v>
      </c>
      <c r="B1408" s="138">
        <f>'Expenditures 15-22'!D223</f>
        <v>2307</v>
      </c>
      <c r="D1408" s="2" t="str">
        <f t="shared" si="21"/>
        <v>Error?</v>
      </c>
    </row>
    <row r="1409" spans="1:4" x14ac:dyDescent="0.2">
      <c r="A1409" s="5">
        <v>1348</v>
      </c>
      <c r="B1409" s="138">
        <f>'Expenditures 15-22'!D224</f>
        <v>5584</v>
      </c>
      <c r="D1409" s="2" t="str">
        <f t="shared" si="21"/>
        <v>Error?</v>
      </c>
    </row>
    <row r="1410" spans="1:4" x14ac:dyDescent="0.2">
      <c r="A1410" s="5">
        <v>1349</v>
      </c>
      <c r="B1410" s="138">
        <f>'Expenditures 15-22'!D229</f>
        <v>274720</v>
      </c>
      <c r="C1410" s="2" t="s">
        <v>594</v>
      </c>
      <c r="D1410" s="2" t="str">
        <f t="shared" si="21"/>
        <v>Error?</v>
      </c>
    </row>
    <row r="1411" spans="1:4" x14ac:dyDescent="0.2">
      <c r="A1411" s="5">
        <v>1350</v>
      </c>
      <c r="B1411" s="138">
        <f>'Expenditures 15-22'!D232</f>
        <v>4455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75087</v>
      </c>
      <c r="D1413" s="2" t="str">
        <f t="shared" si="21"/>
        <v>Error?</v>
      </c>
    </row>
    <row r="1414" spans="1:4" x14ac:dyDescent="0.2">
      <c r="A1414" s="5">
        <v>1353</v>
      </c>
      <c r="B1414" s="138">
        <f>'Expenditures 15-22'!D235</f>
        <v>3408</v>
      </c>
      <c r="D1414" s="2" t="str">
        <f t="shared" si="21"/>
        <v>Error?</v>
      </c>
    </row>
    <row r="1415" spans="1:4" x14ac:dyDescent="0.2">
      <c r="A1415" s="5">
        <v>1354</v>
      </c>
      <c r="B1415" s="138">
        <f>'Expenditures 15-22'!D236</f>
        <v>5878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88828</v>
      </c>
      <c r="C1417" s="2" t="s">
        <v>594</v>
      </c>
      <c r="D1417" s="2" t="str">
        <f t="shared" si="21"/>
        <v>Error?</v>
      </c>
    </row>
    <row r="1418" spans="1:4" x14ac:dyDescent="0.2">
      <c r="A1418" s="5">
        <v>1357</v>
      </c>
      <c r="B1418" s="138">
        <f>'Expenditures 15-22'!D240</f>
        <v>2294</v>
      </c>
      <c r="D1418" s="2" t="str">
        <f t="shared" si="21"/>
        <v>Error?</v>
      </c>
    </row>
    <row r="1419" spans="1:4" x14ac:dyDescent="0.2">
      <c r="A1419" s="5">
        <v>1358</v>
      </c>
      <c r="B1419" s="138">
        <f>'Expenditures 15-22'!D241</f>
        <v>40743</v>
      </c>
      <c r="D1419" s="2" t="str">
        <f t="shared" si="21"/>
        <v>Error?</v>
      </c>
    </row>
    <row r="1420" spans="1:4" x14ac:dyDescent="0.2">
      <c r="A1420" s="5">
        <v>1359</v>
      </c>
      <c r="B1420" s="138">
        <f>'Expenditures 15-22'!D242</f>
        <v>206</v>
      </c>
      <c r="D1420" s="2" t="str">
        <f t="shared" si="21"/>
        <v>Error?</v>
      </c>
    </row>
    <row r="1421" spans="1:4" x14ac:dyDescent="0.2">
      <c r="A1421" s="5">
        <v>1360</v>
      </c>
      <c r="B1421" s="138">
        <f>'Expenditures 15-22'!D243</f>
        <v>43243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18009</v>
      </c>
      <c r="D1423" s="2" t="str">
        <f t="shared" si="21"/>
        <v>Error?</v>
      </c>
    </row>
    <row r="1424" spans="1:4" x14ac:dyDescent="0.2">
      <c r="A1424" s="5">
        <v>1363</v>
      </c>
      <c r="B1424" s="138">
        <f>'Expenditures 15-22'!D257</f>
        <v>18009</v>
      </c>
      <c r="C1424" s="2" t="s">
        <v>594</v>
      </c>
      <c r="D1424" s="2" t="str">
        <f t="shared" si="21"/>
        <v>Error?</v>
      </c>
    </row>
    <row r="1425" spans="1:4" x14ac:dyDescent="0.2">
      <c r="A1425" s="5">
        <v>1364</v>
      </c>
      <c r="B1425" s="138">
        <f>'Expenditures 15-22'!D259</f>
        <v>63452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63452</v>
      </c>
      <c r="C1427" s="2" t="s">
        <v>594</v>
      </c>
      <c r="D1427" s="2" t="str">
        <f t="shared" si="21"/>
        <v>Error?</v>
      </c>
    </row>
    <row r="1428" spans="1:4" x14ac:dyDescent="0.2">
      <c r="A1428" s="5">
        <v>1367</v>
      </c>
      <c r="B1428" s="138">
        <f>'Expenditures 15-22'!D263</f>
        <v>1862</v>
      </c>
      <c r="D1428" s="2" t="str">
        <f t="shared" si="21"/>
        <v>Error?</v>
      </c>
    </row>
    <row r="1429" spans="1:4" x14ac:dyDescent="0.2">
      <c r="A1429" s="5">
        <v>1368</v>
      </c>
      <c r="B1429" s="138">
        <f>'Expenditures 15-22'!D264</f>
        <v>19300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128318</v>
      </c>
      <c r="D1431" s="2" t="str">
        <f t="shared" si="21"/>
        <v>Error?</v>
      </c>
    </row>
    <row r="1432" spans="1:4" x14ac:dyDescent="0.2">
      <c r="A1432" s="5">
        <v>1371</v>
      </c>
      <c r="B1432" s="138">
        <f>'Expenditures 15-22'!D267</f>
        <v>1014</v>
      </c>
      <c r="D1432" s="2" t="str">
        <f t="shared" si="21"/>
        <v>Error?</v>
      </c>
    </row>
    <row r="1433" spans="1:4" x14ac:dyDescent="0.2">
      <c r="A1433" s="5">
        <v>1372</v>
      </c>
      <c r="B1433" s="138">
        <f>'Expenditures 15-22'!D268</f>
        <v>5489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155983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11469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11469</v>
      </c>
      <c r="C1444" s="2" t="s">
        <v>594</v>
      </c>
      <c r="D1444" s="2" t="str">
        <f t="shared" si="21"/>
        <v>Error?</v>
      </c>
    </row>
    <row r="1445" spans="1:4" x14ac:dyDescent="0.2">
      <c r="A1445" s="5">
        <v>1384</v>
      </c>
      <c r="B1445" s="138">
        <f>'Expenditures 15-22'!D278</f>
        <v>34</v>
      </c>
      <c r="D1445" s="2" t="str">
        <f t="shared" si="21"/>
        <v>Error?</v>
      </c>
    </row>
    <row r="1446" spans="1:4" x14ac:dyDescent="0.2">
      <c r="A1446" s="5">
        <v>1385</v>
      </c>
      <c r="B1446" s="138">
        <f>'Expenditures 15-22'!D279</f>
        <v>381018</v>
      </c>
      <c r="C1446" s="2" t="s">
        <v>594</v>
      </c>
      <c r="D1446" s="2" t="str">
        <f t="shared" si="21"/>
        <v>Error?</v>
      </c>
    </row>
    <row r="1447" spans="1:4" x14ac:dyDescent="0.2">
      <c r="A1447" s="5">
        <v>1386</v>
      </c>
      <c r="B1447" s="138">
        <f>'Expenditures 15-22'!D280</f>
        <v>14833</v>
      </c>
      <c r="D1447" s="2" t="str">
        <f t="shared" si="21"/>
        <v>Error?</v>
      </c>
    </row>
    <row r="1448" spans="1:4" x14ac:dyDescent="0.2">
      <c r="A1448" s="5">
        <v>1387</v>
      </c>
      <c r="B1448" s="138">
        <f>'Expenditures 15-22'!D295</f>
        <v>670571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18990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1334</v>
      </c>
      <c r="C1471" s="2" t="s">
        <v>594</v>
      </c>
      <c r="D1471" s="2" t="str">
        <f t="shared" ref="D1471:D1534" si="22">IF(ISBLANK(B1471),"OK",IF(A1471-B1471=0,"OK","Error?"))</f>
        <v>Error?</v>
      </c>
    </row>
    <row r="1472" spans="1:4" x14ac:dyDescent="0.2">
      <c r="A1472" s="5">
        <v>1411</v>
      </c>
      <c r="B1472" s="138">
        <f>'Expenditures 15-22'!K223</f>
        <v>2307</v>
      </c>
      <c r="C1472" s="2" t="s">
        <v>594</v>
      </c>
      <c r="D1472" s="2" t="str">
        <f t="shared" si="22"/>
        <v>Error?</v>
      </c>
    </row>
    <row r="1473" spans="1:4" x14ac:dyDescent="0.2">
      <c r="A1473" s="5">
        <v>1412</v>
      </c>
      <c r="B1473" s="138">
        <f>'Expenditures 15-22'!K224</f>
        <v>5584</v>
      </c>
      <c r="C1473" s="2" t="s">
        <v>594</v>
      </c>
      <c r="D1473" s="2" t="str">
        <f t="shared" si="22"/>
        <v>Error?</v>
      </c>
    </row>
    <row r="1474" spans="1:4" x14ac:dyDescent="0.2">
      <c r="A1474" s="5">
        <v>1413</v>
      </c>
      <c r="B1474" s="138">
        <f>'Expenditures 15-22'!K229</f>
        <v>274720</v>
      </c>
      <c r="C1474" s="2" t="s">
        <v>594</v>
      </c>
      <c r="D1474" s="2" t="str">
        <f t="shared" si="22"/>
        <v>Error?</v>
      </c>
    </row>
    <row r="1475" spans="1:4" x14ac:dyDescent="0.2">
      <c r="A1475" s="5">
        <v>1414</v>
      </c>
      <c r="B1475" s="138">
        <f>'Expenditures 15-22'!K232</f>
        <v>4455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75087</v>
      </c>
      <c r="C1477" s="2" t="s">
        <v>594</v>
      </c>
      <c r="D1477" s="2" t="str">
        <f t="shared" si="22"/>
        <v>Error?</v>
      </c>
    </row>
    <row r="1478" spans="1:4" x14ac:dyDescent="0.2">
      <c r="A1478" s="5">
        <v>1417</v>
      </c>
      <c r="B1478" s="138">
        <f>'Expenditures 15-22'!K235</f>
        <v>3408</v>
      </c>
      <c r="C1478" s="2" t="s">
        <v>594</v>
      </c>
      <c r="D1478" s="2" t="str">
        <f t="shared" si="22"/>
        <v>Error?</v>
      </c>
    </row>
    <row r="1479" spans="1:4" x14ac:dyDescent="0.2">
      <c r="A1479" s="5">
        <v>1418</v>
      </c>
      <c r="B1479" s="138">
        <f>'Expenditures 15-22'!K236</f>
        <v>5878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88828</v>
      </c>
      <c r="C1481" s="2" t="s">
        <v>594</v>
      </c>
      <c r="D1481" s="2" t="str">
        <f t="shared" si="22"/>
        <v>Error?</v>
      </c>
    </row>
    <row r="1482" spans="1:4" x14ac:dyDescent="0.2">
      <c r="A1482" s="5">
        <v>1421</v>
      </c>
      <c r="B1482" s="138">
        <f>'Expenditures 15-22'!K240</f>
        <v>2294</v>
      </c>
      <c r="C1482" s="2" t="s">
        <v>594</v>
      </c>
      <c r="D1482" s="2" t="str">
        <f t="shared" si="22"/>
        <v>Error?</v>
      </c>
    </row>
    <row r="1483" spans="1:4" x14ac:dyDescent="0.2">
      <c r="A1483" s="5">
        <v>1422</v>
      </c>
      <c r="B1483" s="138">
        <f>'Expenditures 15-22'!K241</f>
        <v>40743</v>
      </c>
      <c r="C1483" s="2" t="s">
        <v>594</v>
      </c>
      <c r="D1483" s="2" t="str">
        <f t="shared" si="22"/>
        <v>Error?</v>
      </c>
    </row>
    <row r="1484" spans="1:4" x14ac:dyDescent="0.2">
      <c r="A1484" s="5">
        <v>1423</v>
      </c>
      <c r="B1484" s="138">
        <f>'Expenditures 15-22'!K242</f>
        <v>206</v>
      </c>
      <c r="C1484" s="2" t="s">
        <v>594</v>
      </c>
      <c r="D1484" s="2" t="str">
        <f t="shared" si="22"/>
        <v>Error?</v>
      </c>
    </row>
    <row r="1485" spans="1:4" x14ac:dyDescent="0.2">
      <c r="A1485" s="5">
        <v>1424</v>
      </c>
      <c r="B1485" s="138">
        <f>'Expenditures 15-22'!K243</f>
        <v>43243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18009</v>
      </c>
      <c r="C1487" s="2" t="s">
        <v>594</v>
      </c>
      <c r="D1487" s="2" t="str">
        <f t="shared" si="22"/>
        <v>Error?</v>
      </c>
    </row>
    <row r="1488" spans="1:4" x14ac:dyDescent="0.2">
      <c r="A1488" s="5">
        <v>1427</v>
      </c>
      <c r="B1488" s="138">
        <f>'Expenditures 15-22'!K257</f>
        <v>18009</v>
      </c>
      <c r="C1488" s="2" t="s">
        <v>594</v>
      </c>
      <c r="D1488" s="2" t="str">
        <f t="shared" si="22"/>
        <v>Error?</v>
      </c>
    </row>
    <row r="1489" spans="1:4" x14ac:dyDescent="0.2">
      <c r="A1489" s="5">
        <v>1428</v>
      </c>
      <c r="B1489" s="138">
        <f>'Expenditures 15-22'!K259</f>
        <v>63452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63452</v>
      </c>
      <c r="C1491" s="2" t="s">
        <v>594</v>
      </c>
      <c r="D1491" s="2" t="str">
        <f t="shared" si="22"/>
        <v>Error?</v>
      </c>
    </row>
    <row r="1492" spans="1:4" x14ac:dyDescent="0.2">
      <c r="A1492" s="5">
        <v>1431</v>
      </c>
      <c r="B1492" s="138">
        <f>'Expenditures 15-22'!K263</f>
        <v>1862</v>
      </c>
      <c r="C1492" s="2" t="s">
        <v>594</v>
      </c>
      <c r="D1492" s="2" t="str">
        <f t="shared" si="22"/>
        <v>Error?</v>
      </c>
    </row>
    <row r="1493" spans="1:4" x14ac:dyDescent="0.2">
      <c r="A1493" s="5">
        <v>1432</v>
      </c>
      <c r="B1493" s="138">
        <f>'Expenditures 15-22'!K264</f>
        <v>19300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128318</v>
      </c>
      <c r="C1495" s="2" t="s">
        <v>594</v>
      </c>
      <c r="D1495" s="2" t="str">
        <f t="shared" si="22"/>
        <v>Error?</v>
      </c>
    </row>
    <row r="1496" spans="1:4" x14ac:dyDescent="0.2">
      <c r="A1496" s="5">
        <v>1435</v>
      </c>
      <c r="B1496" s="138">
        <f>'Expenditures 15-22'!K267</f>
        <v>1014</v>
      </c>
      <c r="C1496" s="2" t="s">
        <v>594</v>
      </c>
      <c r="D1496" s="2" t="str">
        <f t="shared" si="22"/>
        <v>Error?</v>
      </c>
    </row>
    <row r="1497" spans="1:4" x14ac:dyDescent="0.2">
      <c r="A1497" s="5">
        <v>1436</v>
      </c>
      <c r="B1497" s="138">
        <f>'Expenditures 15-22'!K268</f>
        <v>5489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155983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11469</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11469</v>
      </c>
      <c r="C1508" s="2" t="s">
        <v>594</v>
      </c>
      <c r="D1508" s="2" t="str">
        <f t="shared" si="22"/>
        <v>Error?</v>
      </c>
    </row>
    <row r="1509" spans="1:4" x14ac:dyDescent="0.2">
      <c r="A1509" s="5">
        <v>1448</v>
      </c>
      <c r="B1509" s="138">
        <f>'Expenditures 15-22'!K278</f>
        <v>34</v>
      </c>
      <c r="C1509" s="2" t="s">
        <v>594</v>
      </c>
      <c r="D1509" s="2" t="str">
        <f t="shared" si="22"/>
        <v>Error?</v>
      </c>
    </row>
    <row r="1510" spans="1:4" x14ac:dyDescent="0.2">
      <c r="A1510" s="5">
        <v>1449</v>
      </c>
      <c r="B1510" s="138">
        <f>'Expenditures 15-22'!K279</f>
        <v>381018</v>
      </c>
      <c r="C1510" s="2" t="s">
        <v>594</v>
      </c>
      <c r="D1510" s="2" t="str">
        <f t="shared" si="22"/>
        <v>Error?</v>
      </c>
    </row>
    <row r="1511" spans="1:4" x14ac:dyDescent="0.2">
      <c r="A1511" s="5">
        <v>1450</v>
      </c>
      <c r="B1511" s="138">
        <f>'Expenditures 15-22'!K280</f>
        <v>14833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670571</v>
      </c>
      <c r="C1517" s="2" t="s">
        <v>594</v>
      </c>
      <c r="D1517" s="2" t="str">
        <f t="shared" si="22"/>
        <v>Error?</v>
      </c>
    </row>
    <row r="1518" spans="1:4" x14ac:dyDescent="0.2">
      <c r="A1518" s="5">
        <v>1457</v>
      </c>
      <c r="B1518" s="138">
        <f>'Expenditures 15-22'!K296</f>
        <v>-79417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5989873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6056537</v>
      </c>
      <c r="C1630" s="2" t="s">
        <v>594</v>
      </c>
      <c r="D1630" s="2" t="str">
        <f t="shared" si="24"/>
        <v>Error?</v>
      </c>
    </row>
    <row r="1631" spans="1:4" x14ac:dyDescent="0.2">
      <c r="A1631" s="5">
        <v>1570</v>
      </c>
      <c r="B1631" s="138">
        <f>'Acct Summary 7-8'!D79</f>
        <v>668450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881072</v>
      </c>
      <c r="C1644" s="2" t="s">
        <v>594</v>
      </c>
      <c r="D1644" s="2" t="str">
        <f t="shared" si="24"/>
        <v>Error?</v>
      </c>
    </row>
    <row r="1645" spans="1:4" x14ac:dyDescent="0.2">
      <c r="A1645" s="5">
        <v>1584</v>
      </c>
      <c r="B1645" s="138">
        <f>'Acct Summary 7-8'!E79</f>
        <v>455535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489030</v>
      </c>
      <c r="C1658" s="2" t="s">
        <v>594</v>
      </c>
      <c r="D1658" s="2" t="str">
        <f t="shared" si="24"/>
        <v>Error?</v>
      </c>
    </row>
    <row r="1659" spans="1:4" x14ac:dyDescent="0.2">
      <c r="A1659" s="5">
        <v>1598</v>
      </c>
      <c r="B1659" s="138">
        <f>'Acct Summary 7-8'!F79</f>
        <v>637424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851353</v>
      </c>
      <c r="C1672" s="2" t="s">
        <v>594</v>
      </c>
      <c r="D1672" s="2" t="str">
        <f t="shared" si="25"/>
        <v>Error?</v>
      </c>
    </row>
    <row r="1673" spans="1:4" x14ac:dyDescent="0.2">
      <c r="A1673" s="5">
        <v>1612</v>
      </c>
      <c r="B1673" s="138">
        <f>'Acct Summary 7-8'!G79</f>
        <v>111548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32131</v>
      </c>
      <c r="C1686" s="2" t="s">
        <v>594</v>
      </c>
      <c r="D1686" s="2" t="str">
        <f t="shared" si="25"/>
        <v>Error?</v>
      </c>
    </row>
    <row r="1687" spans="1:4" x14ac:dyDescent="0.2">
      <c r="A1687" s="5">
        <v>1626</v>
      </c>
      <c r="B1687" s="138">
        <f>'Acct Summary 7-8'!H79</f>
        <v>5729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220945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13933498</v>
      </c>
      <c r="C1744" s="2" t="s">
        <v>594</v>
      </c>
      <c r="D1744" s="2" t="str">
        <f t="shared" si="26"/>
        <v>Error?</v>
      </c>
    </row>
    <row r="1745" spans="1:5" x14ac:dyDescent="0.2">
      <c r="A1745" s="5">
        <v>1684</v>
      </c>
      <c r="B1745" s="138">
        <f>'Tax Sched 23'!B5</f>
        <v>1558141</v>
      </c>
      <c r="C1745" s="2" t="s">
        <v>594</v>
      </c>
      <c r="D1745" s="2" t="str">
        <f t="shared" si="26"/>
        <v>Error?</v>
      </c>
    </row>
    <row r="1746" spans="1:5" x14ac:dyDescent="0.2">
      <c r="A1746" s="5">
        <v>1685</v>
      </c>
      <c r="B1746" s="138">
        <f>'Tax Sched 23'!B6</f>
        <v>1187985</v>
      </c>
      <c r="C1746" s="2" t="s">
        <v>594</v>
      </c>
      <c r="D1746" s="2" t="str">
        <f t="shared" si="26"/>
        <v>Error?</v>
      </c>
    </row>
    <row r="1747" spans="1:5" x14ac:dyDescent="0.2">
      <c r="A1747" s="5">
        <v>1686</v>
      </c>
      <c r="B1747" s="138">
        <f>'Tax Sched 23'!B7</f>
        <v>1120551</v>
      </c>
      <c r="C1747" s="2" t="s">
        <v>594</v>
      </c>
      <c r="D1747" s="2" t="str">
        <f t="shared" si="26"/>
        <v>Error?</v>
      </c>
    </row>
    <row r="1748" spans="1:5" x14ac:dyDescent="0.2">
      <c r="A1748" s="5">
        <v>1687</v>
      </c>
      <c r="B1748" s="138">
        <f>'Tax Sched 23'!B8</f>
        <v>293747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204635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18592304</v>
      </c>
      <c r="C1759" s="2" t="s">
        <v>594</v>
      </c>
      <c r="D1759" s="2" t="str">
        <f t="shared" si="26"/>
        <v>Error?</v>
      </c>
    </row>
    <row r="1760" spans="1:5" x14ac:dyDescent="0.2">
      <c r="A1760" s="5">
        <v>1699</v>
      </c>
      <c r="B1760" s="138">
        <f>'Tax Sched 23'!D4</f>
        <v>6510626</v>
      </c>
      <c r="C1760" s="2" t="s">
        <v>594</v>
      </c>
      <c r="D1760" s="2" t="str">
        <f t="shared" si="26"/>
        <v>Error?</v>
      </c>
    </row>
    <row r="1761" spans="1:5" x14ac:dyDescent="0.2">
      <c r="A1761" s="5">
        <v>1700</v>
      </c>
      <c r="B1761" s="138">
        <f>'Tax Sched 23'!D5</f>
        <v>706203</v>
      </c>
      <c r="C1761" s="2" t="s">
        <v>594</v>
      </c>
      <c r="D1761" s="2" t="str">
        <f t="shared" si="26"/>
        <v>Error?</v>
      </c>
    </row>
    <row r="1762" spans="1:5" s="8" customFormat="1" x14ac:dyDescent="0.2">
      <c r="A1762" s="5">
        <v>1701</v>
      </c>
      <c r="B1762" s="138">
        <f>'Tax Sched 23'!D6</f>
        <v>545554</v>
      </c>
      <c r="C1762" s="2" t="s">
        <v>594</v>
      </c>
      <c r="D1762" s="2" t="str">
        <f t="shared" si="26"/>
        <v>Error?</v>
      </c>
      <c r="E1762" s="9"/>
    </row>
    <row r="1763" spans="1:5" x14ac:dyDescent="0.2">
      <c r="A1763" s="5">
        <v>1702</v>
      </c>
      <c r="B1763" s="138">
        <f>'Tax Sched 23'!D7</f>
        <v>446825</v>
      </c>
      <c r="C1763" s="2" t="s">
        <v>594</v>
      </c>
      <c r="D1763" s="2" t="str">
        <f t="shared" si="26"/>
        <v>Error?</v>
      </c>
    </row>
    <row r="1764" spans="1:5" x14ac:dyDescent="0.2">
      <c r="A1764" s="5">
        <v>1703</v>
      </c>
      <c r="B1764" s="138">
        <f>'Tax Sched 23'!D8</f>
        <v>103944</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94231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8511327</v>
      </c>
      <c r="C1775" s="2" t="s">
        <v>594</v>
      </c>
      <c r="D1775" s="2" t="str">
        <f t="shared" si="26"/>
        <v>Error?</v>
      </c>
    </row>
    <row r="1776" spans="1:5" x14ac:dyDescent="0.2">
      <c r="A1776" s="5">
        <v>1715</v>
      </c>
      <c r="B1776" s="138">
        <f>'Tax Sched 23'!C4</f>
        <v>7422872</v>
      </c>
      <c r="D1776" s="2" t="str">
        <f t="shared" si="26"/>
        <v>Error?</v>
      </c>
    </row>
    <row r="1777" spans="1:4" x14ac:dyDescent="0.2">
      <c r="A1777" s="5">
        <v>1716</v>
      </c>
      <c r="B1777" s="138">
        <f>'Tax Sched 23'!C5</f>
        <v>851938</v>
      </c>
      <c r="D1777" s="2" t="str">
        <f t="shared" si="26"/>
        <v>Error?</v>
      </c>
    </row>
    <row r="1778" spans="1:4" x14ac:dyDescent="0.2">
      <c r="A1778" s="5">
        <v>1717</v>
      </c>
      <c r="B1778" s="138">
        <f>'Tax Sched 23'!C6</f>
        <v>642431</v>
      </c>
      <c r="D1778" s="2" t="str">
        <f t="shared" si="26"/>
        <v>Error?</v>
      </c>
    </row>
    <row r="1779" spans="1:4" x14ac:dyDescent="0.2">
      <c r="A1779" s="5">
        <v>1718</v>
      </c>
      <c r="B1779" s="138">
        <f>'Tax Sched 23'!C7</f>
        <v>673726</v>
      </c>
      <c r="D1779" s="2" t="str">
        <f t="shared" si="26"/>
        <v>Error?</v>
      </c>
    </row>
    <row r="1780" spans="1:4" x14ac:dyDescent="0.2">
      <c r="A1780" s="5">
        <v>1719</v>
      </c>
      <c r="B1780" s="138">
        <f>'Tax Sched 23'!C8</f>
        <v>189803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110404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10080977</v>
      </c>
      <c r="C1791" s="2" t="s">
        <v>594</v>
      </c>
      <c r="D1791" s="2" t="str">
        <f t="shared" ref="D1791:D1854" si="27">IF(ISBLANK(B1791),"OK",IF(A1791-B1791=0,"OK","Error?"))</f>
        <v>Error?</v>
      </c>
    </row>
    <row r="1792" spans="1:4" x14ac:dyDescent="0.2">
      <c r="A1792" s="5">
        <v>1731</v>
      </c>
      <c r="B1792" s="138">
        <f>'Tax Sched 23'!F4</f>
        <v>6761165</v>
      </c>
      <c r="C1792" s="2" t="s">
        <v>594</v>
      </c>
      <c r="D1792" s="2" t="str">
        <f t="shared" si="27"/>
        <v>Error?</v>
      </c>
    </row>
    <row r="1793" spans="1:4" x14ac:dyDescent="0.2">
      <c r="A1793" s="5">
        <v>1732</v>
      </c>
      <c r="B1793" s="138">
        <f>'Tax Sched 23'!F5</f>
        <v>775993</v>
      </c>
      <c r="C1793" s="2" t="s">
        <v>594</v>
      </c>
      <c r="D1793" s="2" t="str">
        <f t="shared" si="27"/>
        <v>Error?</v>
      </c>
    </row>
    <row r="1794" spans="1:4" x14ac:dyDescent="0.2">
      <c r="A1794" s="5">
        <v>1733</v>
      </c>
      <c r="B1794" s="138">
        <f>'Tax Sched 23'!F6</f>
        <v>585162</v>
      </c>
      <c r="C1794" s="2" t="s">
        <v>594</v>
      </c>
      <c r="D1794" s="2" t="str">
        <f t="shared" si="27"/>
        <v>Error?</v>
      </c>
    </row>
    <row r="1795" spans="1:4" x14ac:dyDescent="0.2">
      <c r="A1795" s="5">
        <v>1734</v>
      </c>
      <c r="B1795" s="138">
        <f>'Tax Sched 23'!F7</f>
        <v>613668</v>
      </c>
      <c r="C1795" s="2" t="s">
        <v>594</v>
      </c>
      <c r="D1795" s="2" t="str">
        <f t="shared" si="27"/>
        <v>Error?</v>
      </c>
    </row>
    <row r="1796" spans="1:4" x14ac:dyDescent="0.2">
      <c r="A1796" s="5">
        <v>1735</v>
      </c>
      <c r="B1796" s="138">
        <f>'Tax Sched 23'!F8</f>
        <v>172882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100563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9182315</v>
      </c>
      <c r="C1807" s="2" t="s">
        <v>594</v>
      </c>
      <c r="D1807" s="2" t="str">
        <f t="shared" si="27"/>
        <v>Error?</v>
      </c>
    </row>
    <row r="1808" spans="1:4" x14ac:dyDescent="0.2">
      <c r="A1808" s="5">
        <v>1747</v>
      </c>
      <c r="B1808" s="138">
        <f>'Tax Sched 23'!E4</f>
        <v>14184037</v>
      </c>
      <c r="D1808" s="2" t="str">
        <f t="shared" si="27"/>
        <v>Error?</v>
      </c>
    </row>
    <row r="1809" spans="1:4" x14ac:dyDescent="0.2">
      <c r="A1809" s="5">
        <v>1748</v>
      </c>
      <c r="B1809" s="138">
        <f>'Tax Sched 23'!E5</f>
        <v>1627931</v>
      </c>
      <c r="D1809" s="2" t="str">
        <f t="shared" si="27"/>
        <v>Error?</v>
      </c>
    </row>
    <row r="1810" spans="1:4" x14ac:dyDescent="0.2">
      <c r="A1810" s="5">
        <v>1749</v>
      </c>
      <c r="B1810" s="138">
        <f>'Tax Sched 23'!E6</f>
        <v>1227593</v>
      </c>
      <c r="D1810" s="2" t="str">
        <f t="shared" si="27"/>
        <v>Error?</v>
      </c>
    </row>
    <row r="1811" spans="1:4" x14ac:dyDescent="0.2">
      <c r="A1811" s="5">
        <v>1750</v>
      </c>
      <c r="B1811" s="138">
        <f>'Tax Sched 23'!E7</f>
        <v>1287394</v>
      </c>
      <c r="D1811" s="2" t="str">
        <f t="shared" si="27"/>
        <v>Error?</v>
      </c>
    </row>
    <row r="1812" spans="1:4" x14ac:dyDescent="0.2">
      <c r="A1812" s="5">
        <v>1751</v>
      </c>
      <c r="B1812" s="138">
        <f>'Tax Sched 23'!E8</f>
        <v>362685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210967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19263292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8659447</v>
      </c>
      <c r="C1939" s="2" t="s">
        <v>594</v>
      </c>
      <c r="D1939" s="2" t="str">
        <f t="shared" si="29"/>
        <v>Error?</v>
      </c>
    </row>
    <row r="1940" spans="1:5" x14ac:dyDescent="0.2">
      <c r="A1940" s="5">
        <v>1879</v>
      </c>
      <c r="B1940" s="138">
        <f>'Short-Term Long-Term Debt 24'!F49</f>
        <v>19498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405938</v>
      </c>
      <c r="D2008" s="2" t="str">
        <f t="shared" si="30"/>
        <v>Error?</v>
      </c>
    </row>
    <row r="2009" spans="1:4" x14ac:dyDescent="0.2">
      <c r="A2009" s="5">
        <v>1948</v>
      </c>
      <c r="B2009" s="138">
        <f>'Cap Outlay Deprec 26'!C8</f>
        <v>19524608</v>
      </c>
      <c r="D2009" s="2" t="str">
        <f t="shared" si="30"/>
        <v>Error?</v>
      </c>
    </row>
    <row r="2010" spans="1:4" x14ac:dyDescent="0.2">
      <c r="A2010" s="5">
        <v>1949</v>
      </c>
      <c r="B2010" s="138">
        <f>'Cap Outlay Deprec 26'!C10</f>
        <v>756817</v>
      </c>
      <c r="D2010" s="2" t="str">
        <f t="shared" si="30"/>
        <v>Error?</v>
      </c>
    </row>
    <row r="2011" spans="1:4" x14ac:dyDescent="0.2">
      <c r="A2011" s="5">
        <v>1950</v>
      </c>
      <c r="B2011" s="138">
        <f>'Cap Outlay Deprec 26'!C12</f>
        <v>2078956</v>
      </c>
      <c r="D2011" s="2" t="str">
        <f t="shared" si="30"/>
        <v>Error?</v>
      </c>
    </row>
    <row r="2012" spans="1:4" x14ac:dyDescent="0.2">
      <c r="A2012" s="5">
        <v>1951</v>
      </c>
      <c r="B2012" s="138">
        <f>'Cap Outlay Deprec 26'!C13</f>
        <v>88962</v>
      </c>
      <c r="D2012" s="2" t="str">
        <f t="shared" si="30"/>
        <v>Error?</v>
      </c>
    </row>
    <row r="2013" spans="1:4" x14ac:dyDescent="0.2">
      <c r="A2013" s="5">
        <v>1952</v>
      </c>
      <c r="B2013" s="138">
        <f>'Cap Outlay Deprec 26'!C16</f>
        <v>22855281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44072</v>
      </c>
      <c r="D2015" s="2" t="str">
        <f t="shared" si="30"/>
        <v>Error?</v>
      </c>
    </row>
    <row r="2016" spans="1:4" x14ac:dyDescent="0.2">
      <c r="A2016" s="5">
        <v>1955</v>
      </c>
      <c r="B2016" s="138">
        <f>'Cap Outlay Deprec 26'!D10</f>
        <v>31904</v>
      </c>
      <c r="D2016" s="2" t="str">
        <f t="shared" si="30"/>
        <v>Error?</v>
      </c>
    </row>
    <row r="2017" spans="1:4" x14ac:dyDescent="0.2">
      <c r="A2017" s="5">
        <v>1956</v>
      </c>
      <c r="B2017" s="138">
        <f>'Cap Outlay Deprec 26'!D12</f>
        <v>178850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254826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146495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146495</v>
      </c>
      <c r="C2025" s="2" t="s">
        <v>594</v>
      </c>
      <c r="D2025" s="2" t="str">
        <f t="shared" si="30"/>
        <v>Error?</v>
      </c>
    </row>
    <row r="2026" spans="1:4" x14ac:dyDescent="0.2">
      <c r="A2026" s="5">
        <v>1965</v>
      </c>
      <c r="B2026" s="138">
        <f>'Cap Outlay Deprec 26'!F5</f>
        <v>405938</v>
      </c>
      <c r="C2026" s="2" t="s">
        <v>594</v>
      </c>
      <c r="D2026" s="2" t="str">
        <f t="shared" si="30"/>
        <v>Error?</v>
      </c>
    </row>
    <row r="2027" spans="1:4" x14ac:dyDescent="0.2">
      <c r="A2027" s="5">
        <v>1966</v>
      </c>
      <c r="B2027" s="138">
        <f>'Cap Outlay Deprec 26'!F8</f>
        <v>19568680</v>
      </c>
      <c r="C2027" s="2" t="s">
        <v>594</v>
      </c>
      <c r="D2027" s="2" t="str">
        <f t="shared" si="30"/>
        <v>Error?</v>
      </c>
    </row>
    <row r="2028" spans="1:4" x14ac:dyDescent="0.2">
      <c r="A2028" s="5">
        <v>1967</v>
      </c>
      <c r="B2028" s="138">
        <f>'Cap Outlay Deprec 26'!F10</f>
        <v>788721</v>
      </c>
      <c r="C2028" s="2" t="s">
        <v>594</v>
      </c>
      <c r="D2028" s="2" t="str">
        <f t="shared" si="30"/>
        <v>Error?</v>
      </c>
    </row>
    <row r="2029" spans="1:4" x14ac:dyDescent="0.2">
      <c r="A2029" s="5">
        <v>1968</v>
      </c>
      <c r="B2029" s="138">
        <f>'Cap Outlay Deprec 26'!F12</f>
        <v>2111311</v>
      </c>
      <c r="C2029" s="2" t="s">
        <v>594</v>
      </c>
      <c r="D2029" s="2" t="str">
        <f t="shared" si="30"/>
        <v>Error?</v>
      </c>
    </row>
    <row r="2030" spans="1:4" x14ac:dyDescent="0.2">
      <c r="A2030" s="5">
        <v>1969</v>
      </c>
      <c r="B2030" s="138">
        <f>'Cap Outlay Deprec 26'!F13</f>
        <v>88962</v>
      </c>
      <c r="C2030" s="2" t="s">
        <v>594</v>
      </c>
      <c r="D2030" s="2" t="str">
        <f t="shared" si="30"/>
        <v>Error?</v>
      </c>
    </row>
    <row r="2031" spans="1:4" x14ac:dyDescent="0.2">
      <c r="A2031" s="5">
        <v>1970</v>
      </c>
      <c r="B2031" s="138">
        <f>'Cap Outlay Deprec 26'!F16</f>
        <v>22963612</v>
      </c>
      <c r="C2031" s="2" t="s">
        <v>594</v>
      </c>
      <c r="D2031" s="2" t="str">
        <f t="shared" si="30"/>
        <v>Error?</v>
      </c>
    </row>
    <row r="2032" spans="1:4" x14ac:dyDescent="0.2">
      <c r="A2032" s="10">
        <v>1971</v>
      </c>
      <c r="D2032" s="2" t="str">
        <f t="shared" si="30"/>
        <v>OK</v>
      </c>
    </row>
    <row r="2033" spans="1:4" x14ac:dyDescent="0.2">
      <c r="A2033" s="5">
        <v>1972</v>
      </c>
      <c r="B2033" s="138">
        <f>'Cap Outlay Deprec 26'!H8</f>
        <v>3777392</v>
      </c>
      <c r="D2033" s="2" t="str">
        <f t="shared" si="30"/>
        <v>Error?</v>
      </c>
    </row>
    <row r="2034" spans="1:4" x14ac:dyDescent="0.2">
      <c r="A2034" s="5">
        <v>1973</v>
      </c>
      <c r="B2034" s="138">
        <f>'Cap Outlay Deprec 26'!H10</f>
        <v>349354</v>
      </c>
      <c r="D2034" s="2" t="str">
        <f t="shared" si="30"/>
        <v>Error?</v>
      </c>
    </row>
    <row r="2035" spans="1:4" x14ac:dyDescent="0.2">
      <c r="A2035" s="5">
        <v>1974</v>
      </c>
      <c r="B2035" s="138">
        <f>'Cap Outlay Deprec 26'!H12</f>
        <v>1501449</v>
      </c>
      <c r="D2035" s="2" t="str">
        <f t="shared" si="30"/>
        <v>Error?</v>
      </c>
    </row>
    <row r="2036" spans="1:4" x14ac:dyDescent="0.2">
      <c r="A2036" s="5">
        <v>1975</v>
      </c>
      <c r="B2036" s="138">
        <f>'Cap Outlay Deprec 26'!H13</f>
        <v>52700</v>
      </c>
      <c r="D2036" s="2" t="str">
        <f t="shared" si="30"/>
        <v>Error?</v>
      </c>
    </row>
    <row r="2037" spans="1:4" x14ac:dyDescent="0.2">
      <c r="A2037" s="5">
        <v>1976</v>
      </c>
      <c r="B2037" s="138">
        <f>'Cap Outlay Deprec 26'!H16</f>
        <v>5680895</v>
      </c>
      <c r="C2037" s="2" t="s">
        <v>594</v>
      </c>
      <c r="D2037" s="2" t="str">
        <f t="shared" si="30"/>
        <v>Error?</v>
      </c>
    </row>
    <row r="2038" spans="1:4" x14ac:dyDescent="0.2">
      <c r="A2038" s="10">
        <v>1977</v>
      </c>
      <c r="D2038" s="2" t="str">
        <f t="shared" si="30"/>
        <v>OK</v>
      </c>
    </row>
    <row r="2039" spans="1:4" x14ac:dyDescent="0.2">
      <c r="A2039" s="5">
        <v>1978</v>
      </c>
      <c r="B2039" s="138">
        <f>'Cap Outlay Deprec 26'!I8</f>
        <v>644659</v>
      </c>
      <c r="D2039" s="2" t="str">
        <f t="shared" si="30"/>
        <v>Error?</v>
      </c>
    </row>
    <row r="2040" spans="1:4" x14ac:dyDescent="0.2">
      <c r="A2040" s="5">
        <v>1979</v>
      </c>
      <c r="B2040" s="138">
        <f>'Cap Outlay Deprec 26'!I10</f>
        <v>22905</v>
      </c>
      <c r="D2040" s="2" t="str">
        <f t="shared" si="30"/>
        <v>Error?</v>
      </c>
    </row>
    <row r="2041" spans="1:4" x14ac:dyDescent="0.2">
      <c r="A2041" s="5">
        <v>1980</v>
      </c>
      <c r="B2041" s="138">
        <f>'Cap Outlay Deprec 26'!I12</f>
        <v>120777</v>
      </c>
      <c r="D2041" s="2" t="str">
        <f t="shared" si="30"/>
        <v>Error?</v>
      </c>
    </row>
    <row r="2042" spans="1:4" x14ac:dyDescent="0.2">
      <c r="A2042" s="5">
        <v>1981</v>
      </c>
      <c r="B2042" s="138">
        <f>'Cap Outlay Deprec 26'!I13</f>
        <v>7995</v>
      </c>
      <c r="D2042" s="2" t="str">
        <f t="shared" si="30"/>
        <v>Error?</v>
      </c>
    </row>
    <row r="2043" spans="1:4" x14ac:dyDescent="0.2">
      <c r="A2043" s="5">
        <v>1982</v>
      </c>
      <c r="B2043" s="138">
        <f>'Cap Outlay Deprec 26'!I16</f>
        <v>796336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146495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146495</v>
      </c>
      <c r="C2049" s="2" t="s">
        <v>594</v>
      </c>
      <c r="D2049" s="2" t="str">
        <f t="shared" si="31"/>
        <v>Error?</v>
      </c>
    </row>
    <row r="2050" spans="1:4" x14ac:dyDescent="0.2">
      <c r="A2050" s="10">
        <v>1989</v>
      </c>
      <c r="D2050" s="2" t="str">
        <f t="shared" si="31"/>
        <v>OK</v>
      </c>
    </row>
    <row r="2051" spans="1:4" x14ac:dyDescent="0.2">
      <c r="A2051" s="5">
        <v>1990</v>
      </c>
      <c r="B2051" s="138">
        <f>'Cap Outlay Deprec 26'!K8</f>
        <v>4422051</v>
      </c>
      <c r="C2051" s="2" t="s">
        <v>594</v>
      </c>
      <c r="D2051" s="2" t="str">
        <f t="shared" si="31"/>
        <v>Error?</v>
      </c>
    </row>
    <row r="2052" spans="1:4" x14ac:dyDescent="0.2">
      <c r="A2052" s="5">
        <v>1991</v>
      </c>
      <c r="B2052" s="138">
        <f>'Cap Outlay Deprec 26'!K10</f>
        <v>372259</v>
      </c>
      <c r="C2052" s="2" t="s">
        <v>594</v>
      </c>
      <c r="D2052" s="2" t="str">
        <f t="shared" si="31"/>
        <v>Error?</v>
      </c>
    </row>
    <row r="2053" spans="1:4" x14ac:dyDescent="0.2">
      <c r="A2053" s="5">
        <v>1992</v>
      </c>
      <c r="B2053" s="138">
        <f>'Cap Outlay Deprec 26'!K12</f>
        <v>1475731</v>
      </c>
      <c r="C2053" s="2" t="s">
        <v>594</v>
      </c>
      <c r="D2053" s="2" t="str">
        <f t="shared" si="31"/>
        <v>Error?</v>
      </c>
    </row>
    <row r="2054" spans="1:4" x14ac:dyDescent="0.2">
      <c r="A2054" s="5">
        <v>1993</v>
      </c>
      <c r="B2054" s="138">
        <f>'Cap Outlay Deprec 26'!K13</f>
        <v>60695</v>
      </c>
      <c r="C2054" s="2" t="s">
        <v>594</v>
      </c>
      <c r="D2054" s="2" t="str">
        <f t="shared" si="31"/>
        <v>Error?</v>
      </c>
    </row>
    <row r="2055" spans="1:4" x14ac:dyDescent="0.2">
      <c r="A2055" s="5">
        <v>1994</v>
      </c>
      <c r="B2055" s="138">
        <f>'Cap Outlay Deprec 26'!K16</f>
        <v>6330736</v>
      </c>
      <c r="C2055" s="2" t="s">
        <v>594</v>
      </c>
      <c r="D2055" s="2" t="str">
        <f t="shared" si="31"/>
        <v>Error?</v>
      </c>
    </row>
    <row r="2056" spans="1:4" x14ac:dyDescent="0.2">
      <c r="A2056" s="5">
        <v>1995</v>
      </c>
      <c r="B2056" s="138">
        <f>'Cap Outlay Deprec 26'!L5</f>
        <v>405938</v>
      </c>
      <c r="C2056" s="2" t="s">
        <v>594</v>
      </c>
      <c r="D2056" s="2" t="str">
        <f t="shared" si="31"/>
        <v>Error?</v>
      </c>
    </row>
    <row r="2057" spans="1:4" x14ac:dyDescent="0.2">
      <c r="A2057" s="5">
        <v>1996</v>
      </c>
      <c r="B2057" s="138">
        <f>'Cap Outlay Deprec 26'!L8</f>
        <v>15146629</v>
      </c>
      <c r="C2057" s="2" t="s">
        <v>594</v>
      </c>
      <c r="D2057" s="2" t="str">
        <f t="shared" si="31"/>
        <v>Error?</v>
      </c>
    </row>
    <row r="2058" spans="1:4" x14ac:dyDescent="0.2">
      <c r="A2058" s="5">
        <v>1997</v>
      </c>
      <c r="B2058" s="138">
        <f>'Cap Outlay Deprec 26'!L10</f>
        <v>416462</v>
      </c>
      <c r="C2058" s="2" t="s">
        <v>594</v>
      </c>
      <c r="D2058" s="2" t="str">
        <f t="shared" si="31"/>
        <v>Error?</v>
      </c>
    </row>
    <row r="2059" spans="1:4" x14ac:dyDescent="0.2">
      <c r="A2059" s="5">
        <v>1998</v>
      </c>
      <c r="B2059" s="138">
        <f>'Cap Outlay Deprec 26'!L12</f>
        <v>635580</v>
      </c>
      <c r="C2059" s="2" t="s">
        <v>594</v>
      </c>
      <c r="D2059" s="2" t="str">
        <f t="shared" si="31"/>
        <v>Error?</v>
      </c>
    </row>
    <row r="2060" spans="1:4" x14ac:dyDescent="0.2">
      <c r="A2060" s="5">
        <v>1999</v>
      </c>
      <c r="B2060" s="138">
        <f>'Cap Outlay Deprec 26'!L13</f>
        <v>28267</v>
      </c>
      <c r="C2060" s="2" t="s">
        <v>594</v>
      </c>
      <c r="D2060" s="2" t="str">
        <f t="shared" si="31"/>
        <v>Error?</v>
      </c>
    </row>
    <row r="2061" spans="1:4" x14ac:dyDescent="0.2">
      <c r="A2061" s="5">
        <v>2000</v>
      </c>
      <c r="B2061" s="138">
        <f>'Cap Outlay Deprec 26'!L16</f>
        <v>16632876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331973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552440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881072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851353</v>
      </c>
      <c r="D2475" s="2" t="str">
        <f t="shared" si="37"/>
        <v>Error?</v>
      </c>
    </row>
    <row r="2476" spans="1:4" x14ac:dyDescent="0.2">
      <c r="A2476" s="10">
        <v>2415</v>
      </c>
      <c r="D2476" s="2" t="str">
        <f t="shared" si="37"/>
        <v>OK</v>
      </c>
    </row>
    <row r="2477" spans="1:4" x14ac:dyDescent="0.2">
      <c r="A2477" s="5">
        <v>2416</v>
      </c>
      <c r="B2477" s="138">
        <f>'Assets-Liab 5-6'!G38</f>
        <v>32131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489030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220945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14856580</v>
      </c>
      <c r="C2551" s="2" t="s">
        <v>594</v>
      </c>
      <c r="D2551" s="2" t="str">
        <f t="shared" si="38"/>
        <v>Error?</v>
      </c>
    </row>
    <row r="2552" spans="1:4" x14ac:dyDescent="0.2">
      <c r="A2552" s="10">
        <v>2491</v>
      </c>
      <c r="D2552" s="2" t="str">
        <f t="shared" si="38"/>
        <v>OK</v>
      </c>
    </row>
    <row r="2553" spans="1:4" x14ac:dyDescent="0.2">
      <c r="A2553" s="5">
        <v>2492</v>
      </c>
      <c r="B2553" s="138">
        <f>'Acct Summary 7-8'!C6</f>
        <v>2198527</v>
      </c>
      <c r="C2553" s="2" t="s">
        <v>594</v>
      </c>
      <c r="D2553" s="2" t="str">
        <f t="shared" si="38"/>
        <v>Error?</v>
      </c>
    </row>
    <row r="2554" spans="1:4" x14ac:dyDescent="0.2">
      <c r="A2554" s="5">
        <v>2493</v>
      </c>
      <c r="B2554" s="138">
        <f>'Acct Summary 7-8'!C7</f>
        <v>1044899</v>
      </c>
      <c r="C2554" s="2" t="s">
        <v>594</v>
      </c>
      <c r="D2554" s="2" t="str">
        <f t="shared" si="38"/>
        <v>Error?</v>
      </c>
    </row>
    <row r="2555" spans="1:4" x14ac:dyDescent="0.2">
      <c r="A2555" s="5">
        <v>2494</v>
      </c>
      <c r="B2555" s="138">
        <f>'Acct Summary 7-8'!C8</f>
        <v>18100006</v>
      </c>
      <c r="C2555" s="2" t="s">
        <v>594</v>
      </c>
      <c r="D2555" s="2" t="str">
        <f t="shared" si="38"/>
        <v>Error?</v>
      </c>
    </row>
    <row r="2556" spans="1:4" x14ac:dyDescent="0.2">
      <c r="A2556" s="5">
        <v>2495</v>
      </c>
      <c r="B2556" s="138">
        <f>'Acct Summary 7-8'!C12</f>
        <v>10946924</v>
      </c>
      <c r="C2556" s="2" t="s">
        <v>594</v>
      </c>
      <c r="D2556" s="2" t="str">
        <f t="shared" si="38"/>
        <v>Error?</v>
      </c>
    </row>
    <row r="2557" spans="1:4" x14ac:dyDescent="0.2">
      <c r="A2557" s="5">
        <v>2496</v>
      </c>
      <c r="B2557" s="138">
        <f>'Acct Summary 7-8'!C13</f>
        <v>6068891</v>
      </c>
      <c r="C2557" s="2" t="s">
        <v>594</v>
      </c>
      <c r="D2557" s="2" t="str">
        <f t="shared" si="38"/>
        <v>Error?</v>
      </c>
    </row>
    <row r="2558" spans="1:4" x14ac:dyDescent="0.2">
      <c r="A2558" s="5">
        <v>2497</v>
      </c>
      <c r="B2558" s="138">
        <f>'Acct Summary 7-8'!C14</f>
        <v>193554</v>
      </c>
      <c r="C2558" s="2" t="s">
        <v>594</v>
      </c>
      <c r="D2558" s="2" t="str">
        <f t="shared" si="38"/>
        <v>Error?</v>
      </c>
    </row>
    <row r="2559" spans="1:4" x14ac:dyDescent="0.2">
      <c r="A2559" s="5">
        <v>2498</v>
      </c>
      <c r="B2559" s="138">
        <f>'Acct Summary 7-8'!C15</f>
        <v>552440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17761809</v>
      </c>
      <c r="C2561" s="2" t="s">
        <v>594</v>
      </c>
      <c r="D2561" s="2" t="str">
        <f t="shared" si="39"/>
        <v>Error?</v>
      </c>
    </row>
    <row r="2562" spans="1:4" x14ac:dyDescent="0.2">
      <c r="A2562" s="5">
        <v>2501</v>
      </c>
      <c r="B2562" s="138">
        <f>'Acct Summary 7-8'!C20</f>
        <v>338197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1700385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1700385</v>
      </c>
      <c r="C2568" s="2" t="s">
        <v>594</v>
      </c>
      <c r="D2568" s="2" t="str">
        <f t="shared" si="39"/>
        <v>Error?</v>
      </c>
    </row>
    <row r="2569" spans="1:4" x14ac:dyDescent="0.2">
      <c r="A2569" s="5">
        <v>2508</v>
      </c>
      <c r="B2569" s="138">
        <f>'Acct Summary 7-8'!D13</f>
        <v>1422763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1422763</v>
      </c>
      <c r="C2573" s="2" t="s">
        <v>594</v>
      </c>
      <c r="D2573" s="2" t="str">
        <f t="shared" si="39"/>
        <v>Error?</v>
      </c>
    </row>
    <row r="2574" spans="1:4" x14ac:dyDescent="0.2">
      <c r="A2574" s="5">
        <v>2513</v>
      </c>
      <c r="B2574" s="138">
        <f>'Acct Summary 7-8'!D20</f>
        <v>277622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1148321</v>
      </c>
      <c r="C2591" s="2" t="s">
        <v>594</v>
      </c>
      <c r="D2591" s="2" t="str">
        <f t="shared" si="39"/>
        <v>Error?</v>
      </c>
    </row>
    <row r="2592" spans="1:4" x14ac:dyDescent="0.2">
      <c r="A2592" s="10">
        <v>2531</v>
      </c>
      <c r="D2592" s="2" t="str">
        <f t="shared" si="39"/>
        <v>OK</v>
      </c>
    </row>
    <row r="2593" spans="1:4" x14ac:dyDescent="0.2">
      <c r="A2593" s="5">
        <v>2532</v>
      </c>
      <c r="B2593" s="138">
        <f>'Acct Summary 7-8'!F6</f>
        <v>502183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1650504</v>
      </c>
      <c r="C2595" s="2" t="s">
        <v>594</v>
      </c>
      <c r="D2595" s="2" t="str">
        <f t="shared" si="39"/>
        <v>Error?</v>
      </c>
    </row>
    <row r="2596" spans="1:4" x14ac:dyDescent="0.2">
      <c r="A2596" s="5">
        <v>2535</v>
      </c>
      <c r="B2596" s="138">
        <f>'Acct Summary 7-8'!F13</f>
        <v>1369930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66645</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1436575</v>
      </c>
      <c r="C2600" s="2" t="s">
        <v>594</v>
      </c>
      <c r="D2600" s="2" t="str">
        <f t="shared" si="39"/>
        <v>Error?</v>
      </c>
    </row>
    <row r="2601" spans="1:4" x14ac:dyDescent="0.2">
      <c r="A2601" s="5">
        <v>2540</v>
      </c>
      <c r="B2601" s="138">
        <f>'Acct Summary 7-8'!F20</f>
        <v>213929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591154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591154</v>
      </c>
      <c r="C2606" s="2" t="s">
        <v>594</v>
      </c>
      <c r="D2606" s="2" t="str">
        <f t="shared" si="39"/>
        <v>Error?</v>
      </c>
    </row>
    <row r="2607" spans="1:4" x14ac:dyDescent="0.2">
      <c r="A2607" s="5">
        <v>2546</v>
      </c>
      <c r="B2607" s="138">
        <f>'Acct Summary 7-8'!G12</f>
        <v>274720</v>
      </c>
      <c r="C2607" s="2" t="s">
        <v>594</v>
      </c>
      <c r="D2607" s="2" t="str">
        <f t="shared" si="39"/>
        <v>Error?</v>
      </c>
    </row>
    <row r="2608" spans="1:4" x14ac:dyDescent="0.2">
      <c r="A2608" s="5">
        <v>2547</v>
      </c>
      <c r="B2608" s="138">
        <f>'Acct Summary 7-8'!G13</f>
        <v>381018</v>
      </c>
      <c r="C2608" s="2" t="s">
        <v>594</v>
      </c>
      <c r="D2608" s="2" t="str">
        <f t="shared" si="39"/>
        <v>Error?</v>
      </c>
    </row>
    <row r="2609" spans="1:4" x14ac:dyDescent="0.2">
      <c r="A2609" s="5">
        <v>2548</v>
      </c>
      <c r="B2609" s="138">
        <f>'Acct Summary 7-8'!G14</f>
        <v>14833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670571</v>
      </c>
      <c r="C2612" s="2" t="s">
        <v>594</v>
      </c>
      <c r="D2612" s="2" t="str">
        <f t="shared" si="39"/>
        <v>Error?</v>
      </c>
    </row>
    <row r="2613" spans="1:4" x14ac:dyDescent="0.2">
      <c r="A2613" s="5">
        <v>2552</v>
      </c>
      <c r="B2613" s="138">
        <f>'Acct Summary 7-8'!G20</f>
        <v>-79417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1191857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1191857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1299393</v>
      </c>
      <c r="C2634" s="2" t="s">
        <v>594</v>
      </c>
      <c r="D2634" s="2" t="str">
        <f t="shared" si="40"/>
        <v>Error?</v>
      </c>
    </row>
    <row r="2635" spans="1:4" x14ac:dyDescent="0.2">
      <c r="A2635" s="5">
        <v>2574</v>
      </c>
      <c r="B2635" s="138">
        <f>'Acct Summary 7-8'!E17</f>
        <v>1299393</v>
      </c>
      <c r="C2635" s="2" t="s">
        <v>594</v>
      </c>
      <c r="D2635" s="2" t="str">
        <f t="shared" si="40"/>
        <v>Error?</v>
      </c>
    </row>
    <row r="2636" spans="1:4" x14ac:dyDescent="0.2">
      <c r="A2636" s="5">
        <v>2575</v>
      </c>
      <c r="B2636" s="138">
        <f>'Acct Summary 7-8'!E20</f>
        <v>-107536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220467</v>
      </c>
      <c r="C2789" s="2" t="s">
        <v>594</v>
      </c>
      <c r="D2789" s="2" t="str">
        <f t="shared" si="42"/>
        <v>Error?</v>
      </c>
    </row>
    <row r="2790" spans="1:4" x14ac:dyDescent="0.2">
      <c r="A2790" s="5">
        <v>2729</v>
      </c>
      <c r="B2790" s="138">
        <f>'Expenditures 15-22'!E102</f>
        <v>220467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66645</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66645</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74541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3978</v>
      </c>
      <c r="D2912" s="2" t="str">
        <f t="shared" si="44"/>
        <v>Error?</v>
      </c>
    </row>
    <row r="2913" spans="1:4" x14ac:dyDescent="0.2">
      <c r="A2913" s="5">
        <v>2852</v>
      </c>
      <c r="B2913" s="138">
        <f>'Assets-Liab 5-6'!I41</f>
        <v>3978</v>
      </c>
      <c r="C2913" s="2" t="s">
        <v>594</v>
      </c>
      <c r="D2913" s="2" t="str">
        <f t="shared" si="44"/>
        <v>Error?</v>
      </c>
    </row>
    <row r="2914" spans="1:4" x14ac:dyDescent="0.2">
      <c r="A2914" s="5">
        <v>2853</v>
      </c>
      <c r="B2914" s="138">
        <f>'Assets-Liab 5-6'!L33</f>
        <v>74541</v>
      </c>
      <c r="D2914" s="2" t="str">
        <f t="shared" si="44"/>
        <v>Error?</v>
      </c>
    </row>
    <row r="2915" spans="1:4" x14ac:dyDescent="0.2">
      <c r="A2915" s="10">
        <v>2854</v>
      </c>
      <c r="D2915" s="2" t="str">
        <f t="shared" si="44"/>
        <v>OK</v>
      </c>
    </row>
    <row r="2916" spans="1:4" x14ac:dyDescent="0.2">
      <c r="A2916" s="5">
        <v>2855</v>
      </c>
      <c r="B2916" s="138">
        <f>'Assets-Liab 5-6'!L34</f>
        <v>74541</v>
      </c>
      <c r="C2916" s="2" t="s">
        <v>594</v>
      </c>
      <c r="D2916" s="2" t="str">
        <f t="shared" si="44"/>
        <v>Error?</v>
      </c>
    </row>
    <row r="2917" spans="1:4" x14ac:dyDescent="0.2">
      <c r="A2917" s="5">
        <v>2856</v>
      </c>
      <c r="B2917" s="138">
        <f>'Assets-Liab 5-6'!L41</f>
        <v>74541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220467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331973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552440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66645</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66645</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81619</v>
      </c>
      <c r="D3055" s="2" t="str">
        <f t="shared" si="46"/>
        <v>Error?</v>
      </c>
    </row>
    <row r="3056" spans="1:4" x14ac:dyDescent="0.2">
      <c r="A3056" s="5">
        <v>2995</v>
      </c>
      <c r="B3056" s="138">
        <f>'Expenditures 15-22'!D10</f>
        <v>491</v>
      </c>
      <c r="D3056" s="2" t="str">
        <f t="shared" si="46"/>
        <v>Error?</v>
      </c>
    </row>
    <row r="3057" spans="1:4" x14ac:dyDescent="0.2">
      <c r="A3057" s="5">
        <v>2996</v>
      </c>
      <c r="B3057" s="138">
        <f>'Expenditures 15-22'!E10</f>
        <v>26363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108473</v>
      </c>
      <c r="C3062" s="2" t="s">
        <v>594</v>
      </c>
      <c r="D3062" s="2" t="str">
        <f t="shared" si="46"/>
        <v>Error?</v>
      </c>
    </row>
    <row r="3063" spans="1:4" x14ac:dyDescent="0.2">
      <c r="A3063" s="10">
        <v>3002</v>
      </c>
      <c r="D3063" s="2" t="str">
        <f t="shared" si="46"/>
        <v>OK</v>
      </c>
    </row>
    <row r="3064" spans="1:4" x14ac:dyDescent="0.2">
      <c r="A3064" s="5">
        <v>3003</v>
      </c>
      <c r="B3064" s="138">
        <f>'Expenditures 15-22'!D219</f>
        <v>7022</v>
      </c>
      <c r="D3064" s="2" t="str">
        <f t="shared" si="46"/>
        <v>Error?</v>
      </c>
    </row>
    <row r="3065" spans="1:4" x14ac:dyDescent="0.2">
      <c r="A3065" s="5">
        <v>3004</v>
      </c>
      <c r="B3065" s="138">
        <f>'Expenditures 15-22'!K219</f>
        <v>7022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v>
      </c>
      <c r="C3225" s="2" t="s">
        <v>594</v>
      </c>
      <c r="D3225" s="2" t="str">
        <f t="shared" si="49"/>
        <v>Error?</v>
      </c>
    </row>
    <row r="3226" spans="1:4" x14ac:dyDescent="0.2">
      <c r="A3226" s="5">
        <v>3165</v>
      </c>
      <c r="B3226" s="138">
        <f>'Acct Summary 7-8'!I8</f>
        <v>45</v>
      </c>
      <c r="C3226" s="2" t="s">
        <v>594</v>
      </c>
      <c r="D3226" s="2" t="str">
        <f t="shared" si="49"/>
        <v>Error?</v>
      </c>
    </row>
    <row r="3227" spans="1:4" x14ac:dyDescent="0.2">
      <c r="A3227" s="5">
        <v>3166</v>
      </c>
      <c r="B3227" s="138">
        <f>'Acct Summary 7-8'!I20</f>
        <v>45</v>
      </c>
      <c r="C3227" s="2" t="s">
        <v>594</v>
      </c>
      <c r="D3227" s="2" t="str">
        <f t="shared" si="49"/>
        <v>Error?</v>
      </c>
    </row>
    <row r="3228" spans="1:4" x14ac:dyDescent="0.2">
      <c r="A3228" s="5">
        <v>3167</v>
      </c>
      <c r="B3228" s="138">
        <f>'Acct Summary 7-8'!C43</f>
        <v>19498</v>
      </c>
      <c r="D3228" s="2" t="str">
        <f t="shared" si="49"/>
        <v>Error?</v>
      </c>
    </row>
    <row r="3229" spans="1:4" x14ac:dyDescent="0.2">
      <c r="A3229" s="5">
        <v>3168</v>
      </c>
      <c r="B3229" s="138">
        <f>'Acct Summary 7-8'!C44</f>
        <v>19498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291031</v>
      </c>
      <c r="C3231" s="2" t="s">
        <v>594</v>
      </c>
      <c r="D3231" s="2" t="str">
        <f t="shared" si="49"/>
        <v>Error?</v>
      </c>
    </row>
    <row r="3232" spans="1:4" x14ac:dyDescent="0.2">
      <c r="A3232" s="5">
        <v>3171</v>
      </c>
      <c r="B3232" s="138">
        <f>'Acct Summary 7-8'!C77</f>
        <v>-271533</v>
      </c>
      <c r="C3232" s="2" t="s">
        <v>594</v>
      </c>
      <c r="D3232" s="2" t="str">
        <f t="shared" si="49"/>
        <v>Error?</v>
      </c>
    </row>
    <row r="3233" spans="1:4" x14ac:dyDescent="0.2">
      <c r="A3233" s="5">
        <v>3172</v>
      </c>
      <c r="B3233" s="138">
        <f>'Acct Summary 7-8'!C78</f>
        <v>66664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65000</v>
      </c>
      <c r="C3237" s="2" t="s">
        <v>594</v>
      </c>
      <c r="D3237" s="2" t="str">
        <f t="shared" si="49"/>
        <v>Error?</v>
      </c>
    </row>
    <row r="3238" spans="1:4" x14ac:dyDescent="0.2">
      <c r="A3238" s="5">
        <v>3177</v>
      </c>
      <c r="B3238" s="138">
        <f>'Acct Summary 7-8'!D77</f>
        <v>-65000</v>
      </c>
      <c r="C3238" s="2" t="s">
        <v>594</v>
      </c>
      <c r="D3238" s="2" t="str">
        <f t="shared" si="49"/>
        <v>Error?</v>
      </c>
    </row>
    <row r="3239" spans="1:4" x14ac:dyDescent="0.2">
      <c r="A3239" s="5">
        <v>3178</v>
      </c>
      <c r="B3239" s="138">
        <f>'Acct Summary 7-8'!D78</f>
        <v>212622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213929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-79417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141031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141031</v>
      </c>
      <c r="C3277" s="2" t="s">
        <v>594</v>
      </c>
      <c r="D3277" s="2" t="str">
        <f t="shared" si="50"/>
        <v>Error?</v>
      </c>
    </row>
    <row r="3278" spans="1:4" x14ac:dyDescent="0.2">
      <c r="A3278" s="5">
        <v>3217</v>
      </c>
      <c r="B3278" s="138">
        <f>'Acct Summary 7-8'!E78</f>
        <v>33495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215000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215000</v>
      </c>
      <c r="C3299" s="2" t="s">
        <v>594</v>
      </c>
      <c r="D3299" s="2" t="str">
        <f t="shared" si="50"/>
        <v>Error?</v>
      </c>
    </row>
    <row r="3300" spans="1:4" x14ac:dyDescent="0.2">
      <c r="A3300" s="5">
        <v>3239</v>
      </c>
      <c r="B3300" s="138">
        <f>'Acct Summary 7-8'!H78</f>
        <v>215216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45</v>
      </c>
      <c r="C3320" s="2" t="s">
        <v>594</v>
      </c>
      <c r="D3320" s="2" t="str">
        <f t="shared" si="50"/>
        <v>Error?</v>
      </c>
    </row>
    <row r="3321" spans="1:4" x14ac:dyDescent="0.2">
      <c r="A3321" s="5">
        <v>3260</v>
      </c>
      <c r="B3321" s="138">
        <f>'Acct Summary 7-8'!I79</f>
        <v>3933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1812825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539040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27540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10703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2406098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81890</v>
      </c>
      <c r="D3387" s="2" t="str">
        <f t="shared" si="51"/>
        <v>Error?</v>
      </c>
    </row>
    <row r="3388" spans="1:4" x14ac:dyDescent="0.2">
      <c r="A3388" s="5">
        <v>3327</v>
      </c>
      <c r="B3388" s="138">
        <f>'Expenditures 15-22'!D217</f>
        <v>157593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81890</v>
      </c>
      <c r="C3390" s="2" t="s">
        <v>594</v>
      </c>
      <c r="D3390" s="2" t="str">
        <f t="shared" si="51"/>
        <v>Error?</v>
      </c>
    </row>
    <row r="3391" spans="1:4" x14ac:dyDescent="0.2">
      <c r="A3391" s="5">
        <v>3330</v>
      </c>
      <c r="B3391" s="138">
        <f>'Expenditures 15-22'!K217</f>
        <v>157593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6192660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878199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489030</v>
      </c>
      <c r="D3417" s="2" t="str">
        <f t="shared" si="52"/>
        <v>Error?</v>
      </c>
    </row>
    <row r="3418" spans="1:4" x14ac:dyDescent="0.2">
      <c r="A3418" s="10">
        <v>3357</v>
      </c>
      <c r="D3418" s="2" t="str">
        <f t="shared" si="52"/>
        <v>OK</v>
      </c>
    </row>
    <row r="3419" spans="1:4" x14ac:dyDescent="0.2">
      <c r="A3419" s="5">
        <v>3358</v>
      </c>
      <c r="B3419" s="138">
        <f>'Assets-Liab 5-6'!F4</f>
        <v>851389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32131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220945</v>
      </c>
      <c r="D3425" s="2" t="str">
        <f t="shared" si="52"/>
        <v>Error?</v>
      </c>
    </row>
    <row r="3426" spans="1:4" x14ac:dyDescent="0.2">
      <c r="A3426" s="10">
        <v>3365</v>
      </c>
      <c r="D3426" s="2" t="str">
        <f t="shared" si="52"/>
        <v>OK</v>
      </c>
    </row>
    <row r="3427" spans="1:4" x14ac:dyDescent="0.2">
      <c r="A3427" s="5">
        <v>3366</v>
      </c>
      <c r="B3427" s="138">
        <f>'Assets-Liab 5-6'!I4</f>
        <v>3978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74541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293747</v>
      </c>
      <c r="C3446" s="2" t="s">
        <v>594</v>
      </c>
      <c r="D3446" s="2" t="str">
        <f t="shared" si="52"/>
        <v>Error?</v>
      </c>
    </row>
    <row r="3447" spans="1:4" x14ac:dyDescent="0.2">
      <c r="A3447" s="5">
        <v>3386</v>
      </c>
      <c r="B3447" s="138">
        <f>'Tax Sched 23'!D16</f>
        <v>103944</v>
      </c>
      <c r="C3447" s="2" t="s">
        <v>594</v>
      </c>
      <c r="D3447" s="2" t="str">
        <f t="shared" si="52"/>
        <v>Error?</v>
      </c>
    </row>
    <row r="3448" spans="1:4" x14ac:dyDescent="0.2">
      <c r="A3448" s="5">
        <v>3387</v>
      </c>
      <c r="B3448" s="138">
        <f>'Tax Sched 23'!C16</f>
        <v>189803</v>
      </c>
      <c r="D3448" s="2" t="str">
        <f t="shared" si="52"/>
        <v>Error?</v>
      </c>
    </row>
    <row r="3449" spans="1:4" x14ac:dyDescent="0.2">
      <c r="A3449" s="5">
        <v>3388</v>
      </c>
      <c r="B3449" s="138">
        <f>'Tax Sched 23'!F16</f>
        <v>172882</v>
      </c>
      <c r="C3449" s="2" t="s">
        <v>594</v>
      </c>
      <c r="D3449" s="2" t="str">
        <f t="shared" si="52"/>
        <v>Error?</v>
      </c>
    </row>
    <row r="3450" spans="1:4" x14ac:dyDescent="0.2">
      <c r="A3450" s="5">
        <v>3389</v>
      </c>
      <c r="B3450" s="138">
        <f>'Tax Sched 23'!E16</f>
        <v>362685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386122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7662158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25762164</v>
      </c>
      <c r="C4122" s="2" t="s">
        <v>594</v>
      </c>
      <c r="D4122" s="2" t="str">
        <f t="shared" si="63"/>
        <v>Error?</v>
      </c>
    </row>
    <row r="4123" spans="1:4" x14ac:dyDescent="0.2">
      <c r="A4123" s="5">
        <v>4062</v>
      </c>
      <c r="B4123" s="138">
        <f>'Acct Summary 7-8'!D10</f>
        <v>1700385</v>
      </c>
      <c r="C4123" s="2" t="s">
        <v>594</v>
      </c>
      <c r="D4123" s="2" t="str">
        <f t="shared" si="63"/>
        <v>Error?</v>
      </c>
    </row>
    <row r="4124" spans="1:4" x14ac:dyDescent="0.2">
      <c r="A4124" s="5">
        <v>4063</v>
      </c>
      <c r="B4124" s="138">
        <f>'Acct Summary 7-8'!E10</f>
        <v>1191857</v>
      </c>
      <c r="C4124" s="2" t="s">
        <v>594</v>
      </c>
      <c r="D4124" s="2" t="str">
        <f t="shared" si="63"/>
        <v>Error?</v>
      </c>
    </row>
    <row r="4125" spans="1:4" x14ac:dyDescent="0.2">
      <c r="A4125" s="5">
        <v>4064</v>
      </c>
      <c r="B4125" s="138">
        <f>'Acct Summary 7-8'!F10</f>
        <v>1650504</v>
      </c>
      <c r="C4125" s="2" t="s">
        <v>594</v>
      </c>
      <c r="D4125" s="2" t="str">
        <f t="shared" si="63"/>
        <v>Error?</v>
      </c>
    </row>
    <row r="4126" spans="1:4" x14ac:dyDescent="0.2">
      <c r="A4126" s="5">
        <v>4065</v>
      </c>
      <c r="B4126" s="138">
        <f>'Acct Summary 7-8'!G10</f>
        <v>591154</v>
      </c>
      <c r="C4126" s="2" t="s">
        <v>594</v>
      </c>
      <c r="D4126" s="2" t="str">
        <f t="shared" si="63"/>
        <v>Error?</v>
      </c>
    </row>
    <row r="4127" spans="1:4" x14ac:dyDescent="0.2">
      <c r="A4127" s="5">
        <v>4066</v>
      </c>
      <c r="B4127" s="138">
        <f>'Acct Summary 7-8'!H10</f>
        <v>216</v>
      </c>
      <c r="C4127" s="2" t="s">
        <v>594</v>
      </c>
      <c r="D4127" s="2" t="str">
        <f t="shared" si="63"/>
        <v>Error?</v>
      </c>
    </row>
    <row r="4128" spans="1:4" x14ac:dyDescent="0.2">
      <c r="A4128" s="5">
        <v>4067</v>
      </c>
      <c r="B4128" s="138">
        <f>'Acct Summary 7-8'!I10</f>
        <v>45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7662158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25423967</v>
      </c>
      <c r="C4136" s="2" t="s">
        <v>594</v>
      </c>
      <c r="D4136" s="2" t="str">
        <f t="shared" si="63"/>
        <v>Error?</v>
      </c>
    </row>
    <row r="4137" spans="1:4" x14ac:dyDescent="0.2">
      <c r="A4137" s="5">
        <v>4076</v>
      </c>
      <c r="B4137" s="138">
        <f>'Acct Summary 7-8'!D19</f>
        <v>1422763</v>
      </c>
      <c r="C4137" s="2" t="s">
        <v>594</v>
      </c>
      <c r="D4137" s="2" t="str">
        <f t="shared" si="63"/>
        <v>Error?</v>
      </c>
    </row>
    <row r="4138" spans="1:4" x14ac:dyDescent="0.2">
      <c r="A4138" s="5">
        <v>4077</v>
      </c>
      <c r="B4138" s="138">
        <f>'Acct Summary 7-8'!E19</f>
        <v>1299393</v>
      </c>
      <c r="C4138" s="2" t="s">
        <v>594</v>
      </c>
      <c r="D4138" s="2" t="str">
        <f t="shared" si="63"/>
        <v>Error?</v>
      </c>
    </row>
    <row r="4139" spans="1:4" x14ac:dyDescent="0.2">
      <c r="A4139" s="5">
        <v>4078</v>
      </c>
      <c r="B4139" s="138">
        <f>'Acct Summary 7-8'!F19</f>
        <v>1436575</v>
      </c>
      <c r="C4139" s="2" t="s">
        <v>594</v>
      </c>
      <c r="D4139" s="2" t="str">
        <f t="shared" si="63"/>
        <v>Error?</v>
      </c>
    </row>
    <row r="4140" spans="1:4" x14ac:dyDescent="0.2">
      <c r="A4140" s="5">
        <v>4079</v>
      </c>
      <c r="B4140" s="138">
        <f>'Acct Summary 7-8'!G19</f>
        <v>670571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7706508</v>
      </c>
      <c r="C4171" s="2" t="s">
        <v>594</v>
      </c>
      <c r="D4171" s="2" t="str">
        <f t="shared" si="64"/>
        <v>Error?</v>
      </c>
    </row>
    <row r="4172" spans="1:4" x14ac:dyDescent="0.2">
      <c r="A4172" s="5">
        <v>4111</v>
      </c>
      <c r="B4172" s="138">
        <f>'Short-Term Long-Term Debt 24'!J49</f>
        <v>7217478</v>
      </c>
      <c r="C4172" s="2" t="s">
        <v>594</v>
      </c>
      <c r="D4172" s="2" t="str">
        <f t="shared" si="64"/>
        <v>Error?</v>
      </c>
    </row>
    <row r="4173" spans="1:4" x14ac:dyDescent="0.2">
      <c r="A4173" s="5">
        <v>4112</v>
      </c>
      <c r="B4173" s="138">
        <f>'Short-Term Long-Term Debt 24'!H49</f>
        <v>972437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2561.6</v>
      </c>
      <c r="C4265" s="2" t="s">
        <v>594</v>
      </c>
      <c r="D4265" s="2" t="str">
        <f t="shared" si="65"/>
        <v>Error?</v>
      </c>
      <c r="E4265" s="128"/>
    </row>
    <row r="4266" spans="1:5" x14ac:dyDescent="0.2">
      <c r="A4266" s="12">
        <v>4205</v>
      </c>
      <c r="B4266" s="138">
        <f>('FP Info 3'!F10)*100000</f>
        <v>294</v>
      </c>
      <c r="C4266" s="2" t="s">
        <v>594</v>
      </c>
      <c r="D4266" s="2" t="str">
        <f t="shared" si="65"/>
        <v>Error?</v>
      </c>
      <c r="E4266" s="128"/>
    </row>
    <row r="4267" spans="1:5" x14ac:dyDescent="0.2">
      <c r="A4267" s="12">
        <v>4206</v>
      </c>
      <c r="B4267" s="138">
        <f>('FP Info 3'!H10)*100000</f>
        <v>232.49999999999997</v>
      </c>
      <c r="C4267" s="2" t="s">
        <v>594</v>
      </c>
      <c r="D4267" s="2" t="str">
        <f t="shared" si="65"/>
        <v>Error?</v>
      </c>
      <c r="E4267" s="128"/>
    </row>
    <row r="4268" spans="1:5" x14ac:dyDescent="0.2">
      <c r="A4268" s="12">
        <v>4207</v>
      </c>
      <c r="B4268" s="138">
        <f>('FP Info 3'!J10)*100000</f>
        <v>3088</v>
      </c>
      <c r="C4268" s="2" t="s">
        <v>594</v>
      </c>
      <c r="D4268" s="2" t="str">
        <f t="shared" si="65"/>
        <v>Error?</v>
      </c>
    </row>
    <row r="4269" spans="1:5" x14ac:dyDescent="0.2">
      <c r="A4269" s="12">
        <v>4208</v>
      </c>
      <c r="B4269" s="138">
        <f>'FP Info 3'!J16</f>
        <v>7792940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61477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42057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15877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3252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553717876</v>
      </c>
      <c r="D4995" s="2" t="str">
        <f t="shared" si="77"/>
        <v>Error?</v>
      </c>
    </row>
    <row r="4996" spans="1:4" x14ac:dyDescent="0.2">
      <c r="A4996" s="12">
        <v>4935</v>
      </c>
      <c r="B4996" s="138">
        <f>'FP Info 3'!H31</f>
        <v>38206533.444000006</v>
      </c>
      <c r="D4996" s="2" t="str">
        <f t="shared" si="77"/>
        <v>Error?</v>
      </c>
    </row>
    <row r="4997" spans="1:4" x14ac:dyDescent="0.2">
      <c r="A4997" s="12">
        <v>4936</v>
      </c>
      <c r="B4997" s="138">
        <f>'FP Info 3'!H37</f>
        <v>7706508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13933498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13933498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68653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68653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2400</v>
      </c>
      <c r="C5087" s="2" t="s">
        <v>594</v>
      </c>
      <c r="D5087" s="2" t="str">
        <f t="shared" si="78"/>
        <v>Error?</v>
      </c>
    </row>
    <row r="5088" spans="1:4" x14ac:dyDescent="0.2">
      <c r="A5088" s="5">
        <v>5027</v>
      </c>
      <c r="B5088" s="138">
        <f>'Revenues 9-14'!C65</f>
        <v>110838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110838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177998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28273</v>
      </c>
      <c r="D5099" s="2" t="str">
        <f t="shared" si="78"/>
        <v>Error?</v>
      </c>
    </row>
    <row r="5100" spans="1:4" x14ac:dyDescent="0.2">
      <c r="A5100" s="5">
        <v>5039</v>
      </c>
      <c r="B5100" s="138">
        <f>'Revenues 9-14'!C80</f>
        <v>7784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36057</v>
      </c>
      <c r="C5102" s="2" t="s">
        <v>594</v>
      </c>
      <c r="D5102" s="2" t="str">
        <f t="shared" si="78"/>
        <v>Error?</v>
      </c>
    </row>
    <row r="5103" spans="1:4" x14ac:dyDescent="0.2">
      <c r="A5103" s="5">
        <v>5042</v>
      </c>
      <c r="B5103" s="138">
        <f>'Revenues 9-14'!C84</f>
        <v>78972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78972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88505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266276</v>
      </c>
      <c r="D5118" s="2" t="str">
        <f t="shared" si="78"/>
        <v>Error?</v>
      </c>
    </row>
    <row r="5119" spans="1:4" x14ac:dyDescent="0.2">
      <c r="A5119" s="5">
        <v>5058</v>
      </c>
      <c r="B5119" s="138">
        <f>'Revenues 9-14'!C107</f>
        <v>91783</v>
      </c>
      <c r="D5119" s="2" t="str">
        <f t="shared" ref="D5119:D5182" si="79">IF(ISBLANK(B5119),"OK",IF(A5119-B5119=0,"OK","Error?"))</f>
        <v>Error?</v>
      </c>
    </row>
    <row r="5120" spans="1:4" x14ac:dyDescent="0.2">
      <c r="A5120" s="5">
        <v>5059</v>
      </c>
      <c r="B5120" s="138">
        <f>'Revenues 9-14'!C108</f>
        <v>448164</v>
      </c>
      <c r="C5120" s="2" t="s">
        <v>594</v>
      </c>
      <c r="D5120" s="2" t="str">
        <f t="shared" si="79"/>
        <v>Error?</v>
      </c>
    </row>
    <row r="5121" spans="1:4" x14ac:dyDescent="0.2">
      <c r="A5121" s="5">
        <v>5060</v>
      </c>
      <c r="B5121" s="138">
        <f>'Revenues 9-14'!C109</f>
        <v>14856580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1712590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1712590</v>
      </c>
      <c r="C5132" s="2" t="s">
        <v>594</v>
      </c>
      <c r="D5132" s="2" t="str">
        <f t="shared" si="79"/>
        <v>Error?</v>
      </c>
    </row>
    <row r="5133" spans="1:4" x14ac:dyDescent="0.2">
      <c r="A5133" s="5">
        <v>5072</v>
      </c>
      <c r="B5133" s="138">
        <f>'Revenues 9-14'!C124</f>
        <v>10471</v>
      </c>
      <c r="D5133" s="2" t="str">
        <f t="shared" si="79"/>
        <v>Error?</v>
      </c>
    </row>
    <row r="5134" spans="1:4" x14ac:dyDescent="0.2">
      <c r="A5134" s="5">
        <v>5073</v>
      </c>
      <c r="B5134" s="138">
        <f>'Revenues 9-14'!C125</f>
        <v>100183</v>
      </c>
      <c r="D5134" s="2" t="str">
        <f t="shared" si="79"/>
        <v>Error?</v>
      </c>
    </row>
    <row r="5135" spans="1:4" x14ac:dyDescent="0.2">
      <c r="A5135" s="5">
        <v>5074</v>
      </c>
      <c r="B5135" s="138">
        <f>'Revenues 9-14'!C126</f>
        <v>197289</v>
      </c>
      <c r="D5135" s="2" t="str">
        <f t="shared" si="79"/>
        <v>Error?</v>
      </c>
    </row>
    <row r="5136" spans="1:4" x14ac:dyDescent="0.2">
      <c r="A5136" s="10">
        <v>5075</v>
      </c>
      <c r="D5136" s="2" t="str">
        <f t="shared" si="79"/>
        <v>OK</v>
      </c>
    </row>
    <row r="5137" spans="1:4" x14ac:dyDescent="0.2">
      <c r="A5137" s="5">
        <v>5076</v>
      </c>
      <c r="B5137" s="138">
        <f>'Revenues 9-14'!C127</f>
        <v>40681</v>
      </c>
      <c r="D5137" s="2" t="str">
        <f t="shared" si="79"/>
        <v>Error?</v>
      </c>
    </row>
    <row r="5138" spans="1:4" x14ac:dyDescent="0.2">
      <c r="A5138" s="10">
        <v>5077</v>
      </c>
      <c r="D5138" s="2" t="str">
        <f t="shared" si="79"/>
        <v>OK</v>
      </c>
    </row>
    <row r="5139" spans="1:4" x14ac:dyDescent="0.2">
      <c r="A5139" s="5">
        <v>5078</v>
      </c>
      <c r="B5139" s="138">
        <f>'Revenues 9-14'!C128</f>
        <v>2380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351004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129057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129057</v>
      </c>
      <c r="C5165" s="2" t="s">
        <v>594</v>
      </c>
      <c r="D5165" s="2" t="str">
        <f t="shared" si="79"/>
        <v>Error?</v>
      </c>
    </row>
    <row r="5166" spans="1:4" x14ac:dyDescent="0.2">
      <c r="A5166" s="10">
        <v>5105</v>
      </c>
      <c r="D5166" s="2" t="str">
        <f t="shared" si="79"/>
        <v>OK</v>
      </c>
    </row>
    <row r="5167" spans="1:4" x14ac:dyDescent="0.2">
      <c r="A5167" s="5">
        <v>5106</v>
      </c>
      <c r="B5167" s="138">
        <f>'Revenues 9-14'!C145</f>
        <v>2624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485937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2198527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191703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22541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214259</v>
      </c>
      <c r="C5246" s="2" t="s">
        <v>594</v>
      </c>
      <c r="D5246" s="2" t="str">
        <f t="shared" si="80"/>
        <v>Error?</v>
      </c>
    </row>
    <row r="5247" spans="1:4" x14ac:dyDescent="0.2">
      <c r="A5247" s="5">
        <v>5186</v>
      </c>
      <c r="B5247" s="138">
        <f>'Revenues 9-14'!C203</f>
        <v>192082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192082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29028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490119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519147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1044899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1044899</v>
      </c>
      <c r="C5326" s="2" t="s">
        <v>594</v>
      </c>
      <c r="D5326" s="2" t="str">
        <f t="shared" si="82"/>
        <v>Error?</v>
      </c>
    </row>
    <row r="5327" spans="1:4" x14ac:dyDescent="0.2">
      <c r="A5327" s="5">
        <v>5266</v>
      </c>
      <c r="B5327" s="138">
        <f>'Revenues 9-14'!C275</f>
        <v>18100006</v>
      </c>
      <c r="C5327" s="2" t="s">
        <v>594</v>
      </c>
      <c r="D5327" s="2" t="str">
        <f t="shared" si="82"/>
        <v>Error?</v>
      </c>
    </row>
    <row r="5328" spans="1:4" x14ac:dyDescent="0.2">
      <c r="A5328" s="5">
        <v>5267</v>
      </c>
      <c r="B5328" s="138">
        <f>'Revenues 9-14'!D5</f>
        <v>1558141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1558141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9243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9243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111872</v>
      </c>
      <c r="D5349" s="2" t="str">
        <f t="shared" si="82"/>
        <v>Error?</v>
      </c>
    </row>
    <row r="5350" spans="1:4" x14ac:dyDescent="0.2">
      <c r="A5350" s="5">
        <v>5289</v>
      </c>
      <c r="B5350" s="138">
        <f>'Revenues 9-14'!D96</f>
        <v>3525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1741</v>
      </c>
      <c r="D5354" s="2" t="str">
        <f t="shared" si="82"/>
        <v>Error?</v>
      </c>
    </row>
    <row r="5355" spans="1:4" x14ac:dyDescent="0.2">
      <c r="A5355" s="5">
        <v>5294</v>
      </c>
      <c r="B5355" s="138">
        <f>'Revenues 9-14'!D108</f>
        <v>133001</v>
      </c>
      <c r="C5355" s="2" t="s">
        <v>594</v>
      </c>
      <c r="D5355" s="2" t="str">
        <f t="shared" si="82"/>
        <v>Error?</v>
      </c>
    </row>
    <row r="5356" spans="1:4" x14ac:dyDescent="0.2">
      <c r="A5356" s="5">
        <v>5295</v>
      </c>
      <c r="B5356" s="138">
        <f>'Revenues 9-14'!D109</f>
        <v>1700385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1700385</v>
      </c>
      <c r="C5508" s="2" t="s">
        <v>594</v>
      </c>
      <c r="D5508" s="2" t="str">
        <f t="shared" si="85"/>
        <v>Error?</v>
      </c>
    </row>
    <row r="5509" spans="1:4" x14ac:dyDescent="0.2">
      <c r="A5509" s="5">
        <v>5448</v>
      </c>
      <c r="B5509" s="138">
        <f>'Revenues 9-14'!E5</f>
        <v>1187985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1187985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3872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1191857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1191857</v>
      </c>
      <c r="C5552" s="2" t="s">
        <v>594</v>
      </c>
      <c r="D5552" s="2" t="str">
        <f t="shared" si="85"/>
        <v>Error?</v>
      </c>
    </row>
    <row r="5553" spans="1:4" x14ac:dyDescent="0.2">
      <c r="A5553" s="5">
        <v>5492</v>
      </c>
      <c r="B5553" s="138">
        <f>'Revenues 9-14'!F5</f>
        <v>1120551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1120551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9770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9770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18000</v>
      </c>
      <c r="D5586" s="2" t="str">
        <f t="shared" si="86"/>
        <v>Error?</v>
      </c>
    </row>
    <row r="5587" spans="1:4" x14ac:dyDescent="0.2">
      <c r="A5587" s="5">
        <v>5526</v>
      </c>
      <c r="B5587" s="138">
        <f>'Revenues 9-14'!F108</f>
        <v>18000</v>
      </c>
      <c r="C5587" s="2" t="s">
        <v>594</v>
      </c>
      <c r="D5587" s="2" t="str">
        <f t="shared" si="86"/>
        <v>Error?</v>
      </c>
    </row>
    <row r="5588" spans="1:4" x14ac:dyDescent="0.2">
      <c r="A5588" s="5">
        <v>5527</v>
      </c>
      <c r="B5588" s="138">
        <f>'Revenues 9-14'!F109</f>
        <v>1148321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276966</v>
      </c>
      <c r="D5615" s="2" t="str">
        <f t="shared" si="86"/>
        <v>Error?</v>
      </c>
    </row>
    <row r="5616" spans="1:4" x14ac:dyDescent="0.2">
      <c r="A5616" s="10">
        <v>5555</v>
      </c>
      <c r="D5616" s="2" t="str">
        <f t="shared" si="86"/>
        <v>OK</v>
      </c>
    </row>
    <row r="5617" spans="1:4" x14ac:dyDescent="0.2">
      <c r="A5617" s="5">
        <v>5556</v>
      </c>
      <c r="B5617" s="138">
        <f>'Revenues 9-14'!F152</f>
        <v>225217</v>
      </c>
      <c r="D5617" s="2" t="str">
        <f t="shared" si="86"/>
        <v>Error?</v>
      </c>
    </row>
    <row r="5618" spans="1:4" x14ac:dyDescent="0.2">
      <c r="A5618" s="5">
        <v>5557</v>
      </c>
      <c r="B5618" s="138">
        <f>'Revenues 9-14'!F154</f>
        <v>502183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502183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502183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1650504</v>
      </c>
      <c r="C5720" s="2" t="s">
        <v>594</v>
      </c>
      <c r="D5720" s="2" t="str">
        <f t="shared" si="88"/>
        <v>Error?</v>
      </c>
    </row>
    <row r="5721" spans="1:4" x14ac:dyDescent="0.2">
      <c r="A5721" s="5">
        <v>5660</v>
      </c>
      <c r="B5721" s="138">
        <f>'Revenues 9-14'!G5</f>
        <v>293747</v>
      </c>
      <c r="D5721" s="2" t="str">
        <f t="shared" si="88"/>
        <v>Error?</v>
      </c>
    </row>
    <row r="5722" spans="1:4" x14ac:dyDescent="0.2">
      <c r="A5722" s="5">
        <v>5661</v>
      </c>
      <c r="B5722" s="138">
        <f>'Revenues 9-14'!G7</f>
        <v>0</v>
      </c>
      <c r="D5722" s="2" t="str">
        <f t="shared" si="88"/>
        <v>Error?</v>
      </c>
    </row>
    <row r="5723" spans="1:4" x14ac:dyDescent="0.2">
      <c r="A5723" s="5">
        <v>5662</v>
      </c>
      <c r="B5723" s="138">
        <f>'Revenues 9-14'!G8</f>
        <v>293747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587494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594</v>
      </c>
      <c r="D5730" s="2" t="str">
        <f t="shared" si="88"/>
        <v>Error?</v>
      </c>
    </row>
    <row r="5731" spans="1:4" x14ac:dyDescent="0.2">
      <c r="A5731" s="5">
        <v>5670</v>
      </c>
      <c r="B5731" s="138">
        <f>'Revenues 9-14'!G65</f>
        <v>2660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2660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591154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216</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591154</v>
      </c>
      <c r="C6024" s="2" t="s">
        <v>594</v>
      </c>
      <c r="D6024" s="2" t="str">
        <f t="shared" si="93"/>
        <v>Error?</v>
      </c>
    </row>
    <row r="6025" spans="1:5" x14ac:dyDescent="0.2">
      <c r="A6025" s="5">
        <v>5964</v>
      </c>
      <c r="B6025" s="138">
        <f>'Revenues 9-14'!H109</f>
        <v>216</v>
      </c>
      <c r="C6025" s="2" t="s">
        <v>594</v>
      </c>
      <c r="D6025" s="2" t="str">
        <f t="shared" si="93"/>
        <v>Error?</v>
      </c>
    </row>
    <row r="6026" spans="1:5" x14ac:dyDescent="0.2">
      <c r="A6026" s="5">
        <v>5965</v>
      </c>
      <c r="B6026" s="138">
        <f>'Revenues 9-14'!I109</f>
        <v>45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177998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34620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1425.47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80065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80065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80065</v>
      </c>
      <c r="D6216" s="2" t="str">
        <f t="shared" si="96"/>
        <v>Error?</v>
      </c>
      <c r="E6216" s="2" t="s">
        <v>199</v>
      </c>
    </row>
    <row r="6217" spans="1:5" x14ac:dyDescent="0.2">
      <c r="A6217">
        <v>6156</v>
      </c>
      <c r="B6217" s="138">
        <f>'Assets-Liab 5-6'!J4</f>
        <v>80065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208131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208131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208131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157702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157702</v>
      </c>
      <c r="D6229" s="2" t="str">
        <f t="shared" si="96"/>
        <v>Error?</v>
      </c>
      <c r="E6229" s="2" t="s">
        <v>199</v>
      </c>
    </row>
    <row r="6230" spans="1:5" x14ac:dyDescent="0.2">
      <c r="A6230">
        <v>6169</v>
      </c>
      <c r="B6230" s="138">
        <f>'Acct Summary 7-8'!J20</f>
        <v>50429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50429</v>
      </c>
      <c r="D6263" s="2" t="str">
        <f t="shared" si="96"/>
        <v>Error?</v>
      </c>
      <c r="E6263" s="2" t="s">
        <v>199</v>
      </c>
    </row>
    <row r="6264" spans="1:5" x14ac:dyDescent="0.2">
      <c r="A6264">
        <v>6203</v>
      </c>
      <c r="B6264" s="138">
        <f>'Acct Summary 7-8'!J79</f>
        <v>29636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80065</v>
      </c>
      <c r="D6266" s="2" t="str">
        <f t="shared" si="96"/>
        <v>Error?</v>
      </c>
      <c r="E6266" s="2" t="s">
        <v>199</v>
      </c>
    </row>
    <row r="6267" spans="1:5" x14ac:dyDescent="0.2">
      <c r="A6267">
        <v>6206</v>
      </c>
      <c r="B6267" s="138">
        <f>'Acct Summary 7-8'!C82</f>
        <v>66664</v>
      </c>
      <c r="D6267" s="2" t="str">
        <f t="shared" si="96"/>
        <v>Error?</v>
      </c>
      <c r="E6267" s="2" t="s">
        <v>199</v>
      </c>
    </row>
    <row r="6268" spans="1:5" x14ac:dyDescent="0.2">
      <c r="A6268">
        <v>6207</v>
      </c>
      <c r="B6268" s="138">
        <f>'Acct Summary 7-8'!D82</f>
        <v>212622</v>
      </c>
      <c r="D6268" s="2" t="str">
        <f t="shared" si="96"/>
        <v>Error?</v>
      </c>
      <c r="E6268" s="2" t="s">
        <v>199</v>
      </c>
    </row>
    <row r="6269" spans="1:5" x14ac:dyDescent="0.2">
      <c r="A6269">
        <v>6208</v>
      </c>
      <c r="B6269" s="138">
        <f>'Acct Summary 7-8'!E82</f>
        <v>33495</v>
      </c>
      <c r="D6269" s="2" t="str">
        <f t="shared" si="96"/>
        <v>Error?</v>
      </c>
      <c r="E6269" s="2" t="s">
        <v>199</v>
      </c>
    </row>
    <row r="6270" spans="1:5" x14ac:dyDescent="0.2">
      <c r="A6270">
        <v>6209</v>
      </c>
      <c r="B6270" s="138">
        <f>'Acct Summary 7-8'!F82</f>
        <v>213929</v>
      </c>
      <c r="D6270" s="2" t="str">
        <f t="shared" si="96"/>
        <v>Error?</v>
      </c>
      <c r="E6270" s="2" t="s">
        <v>199</v>
      </c>
    </row>
    <row r="6271" spans="1:5" x14ac:dyDescent="0.2">
      <c r="A6271">
        <v>6210</v>
      </c>
      <c r="B6271" s="138">
        <f>'Acct Summary 7-8'!G82</f>
        <v>-79417</v>
      </c>
      <c r="D6271" s="2" t="str">
        <f t="shared" ref="D6271:D6334" si="97">IF(ISBLANK(B6271),"OK",IF(A6271-B6271=0,"OK","Error?"))</f>
        <v>Error?</v>
      </c>
      <c r="E6271" s="2" t="s">
        <v>199</v>
      </c>
    </row>
    <row r="6272" spans="1:5" x14ac:dyDescent="0.2">
      <c r="A6272">
        <v>6211</v>
      </c>
      <c r="B6272" s="138">
        <f>'Acct Summary 7-8'!H82</f>
        <v>215216</v>
      </c>
      <c r="D6272" s="2" t="str">
        <f t="shared" si="97"/>
        <v>Error?</v>
      </c>
      <c r="E6272" s="2" t="s">
        <v>199</v>
      </c>
    </row>
    <row r="6273" spans="1:5" x14ac:dyDescent="0.2">
      <c r="A6273">
        <v>6212</v>
      </c>
      <c r="B6273" s="138">
        <f>'Acct Summary 7-8'!I82</f>
        <v>45</v>
      </c>
      <c r="D6273" s="2" t="str">
        <f t="shared" si="97"/>
        <v>Error?</v>
      </c>
      <c r="E6273" s="2" t="s">
        <v>199</v>
      </c>
    </row>
    <row r="6274" spans="1:5" x14ac:dyDescent="0.2">
      <c r="A6274">
        <v>6213</v>
      </c>
      <c r="B6274" s="138">
        <f>'Acct Summary 7-8'!J82</f>
        <v>50429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1.1006950011202771E-2</v>
      </c>
      <c r="D6276" s="2" t="str">
        <f t="shared" si="97"/>
        <v>Error?</v>
      </c>
      <c r="E6276" s="2" t="s">
        <v>199</v>
      </c>
    </row>
    <row r="6277" spans="1:5" x14ac:dyDescent="0.2">
      <c r="A6277">
        <v>6216</v>
      </c>
      <c r="B6277" s="138">
        <f>'Acct Summary 7-8'!D83</f>
        <v>0.24132193509724517</v>
      </c>
      <c r="D6277" s="2" t="str">
        <f t="shared" si="97"/>
        <v>Error?</v>
      </c>
      <c r="E6277" s="2" t="s">
        <v>199</v>
      </c>
    </row>
    <row r="6278" spans="1:5" x14ac:dyDescent="0.2">
      <c r="A6278">
        <v>6217</v>
      </c>
      <c r="B6278" s="138">
        <f>'Acct Summary 7-8'!E83</f>
        <v>6.8492730507330832E-2</v>
      </c>
      <c r="D6278" s="2" t="str">
        <f t="shared" si="97"/>
        <v>Error?</v>
      </c>
      <c r="E6278" s="2" t="s">
        <v>199</v>
      </c>
    </row>
    <row r="6279" spans="1:5" x14ac:dyDescent="0.2">
      <c r="A6279">
        <v>6218</v>
      </c>
      <c r="B6279" s="138">
        <f>'Acct Summary 7-8'!F83</f>
        <v>0.25128119593165232</v>
      </c>
      <c r="D6279" s="2" t="str">
        <f t="shared" si="97"/>
        <v>Error?</v>
      </c>
      <c r="E6279" s="2" t="s">
        <v>199</v>
      </c>
    </row>
    <row r="6280" spans="1:5" x14ac:dyDescent="0.2">
      <c r="A6280">
        <v>6219</v>
      </c>
      <c r="B6280" s="138">
        <f>'Acct Summary 7-8'!G83</f>
        <v>-2.4716628800846534</v>
      </c>
      <c r="D6280" s="2" t="str">
        <f t="shared" si="97"/>
        <v>Error?</v>
      </c>
      <c r="E6280" s="2" t="s">
        <v>199</v>
      </c>
    </row>
    <row r="6281" spans="1:5" x14ac:dyDescent="0.2">
      <c r="A6281">
        <v>6220</v>
      </c>
      <c r="B6281" s="138">
        <f>'Acct Summary 7-8'!H83</f>
        <v>0.97407047002647718</v>
      </c>
      <c r="D6281" s="2" t="str">
        <f t="shared" si="97"/>
        <v>Error?</v>
      </c>
      <c r="E6281" s="2" t="s">
        <v>199</v>
      </c>
    </row>
    <row r="6282" spans="1:5" x14ac:dyDescent="0.2">
      <c r="A6282">
        <v>6221</v>
      </c>
      <c r="B6282" s="138">
        <f>'Acct Summary 7-8'!I83</f>
        <v>1.1312217194570135E-2</v>
      </c>
      <c r="D6282" s="2" t="str">
        <f t="shared" si="97"/>
        <v>Error?</v>
      </c>
      <c r="E6282" s="2" t="s">
        <v>199</v>
      </c>
    </row>
    <row r="6283" spans="1:5" x14ac:dyDescent="0.2">
      <c r="A6283">
        <v>6222</v>
      </c>
      <c r="B6283" s="138">
        <f>'Acct Summary 7-8'!J83</f>
        <v>0.62985074626865667</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132437</v>
      </c>
      <c r="D6285" s="2" t="str">
        <f t="shared" si="97"/>
        <v>Error?</v>
      </c>
      <c r="E6285" s="2" t="s">
        <v>199</v>
      </c>
    </row>
    <row r="6286" spans="1:5" x14ac:dyDescent="0.2">
      <c r="A6286">
        <v>6225</v>
      </c>
      <c r="B6286" s="138">
        <f>'Acct Summary 7-8'!E38</f>
        <v>8594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215000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204635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204635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1600</v>
      </c>
      <c r="D6320" s="2" t="str">
        <f t="shared" si="97"/>
        <v>Error?</v>
      </c>
      <c r="E6320" s="2" t="s">
        <v>199</v>
      </c>
    </row>
    <row r="6321" spans="1:5" x14ac:dyDescent="0.2">
      <c r="A6321">
        <v>6260</v>
      </c>
      <c r="B6321" s="138">
        <f>'Revenues 9-14'!D97</f>
        <v>15776</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3241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3241</v>
      </c>
      <c r="D6351" s="2" t="str">
        <f t="shared" si="98"/>
        <v>Error?</v>
      </c>
      <c r="E6351" s="2" t="s">
        <v>199</v>
      </c>
    </row>
    <row r="6352" spans="1:5" x14ac:dyDescent="0.2">
      <c r="A6352">
        <v>6291</v>
      </c>
      <c r="B6352" s="138">
        <f>'Revenues 9-14'!J109</f>
        <v>208131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219223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22344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22344</v>
      </c>
      <c r="D6940" s="2" t="str">
        <f t="shared" si="107"/>
        <v>Error?</v>
      </c>
    </row>
    <row r="6941" spans="1:4" x14ac:dyDescent="0.2">
      <c r="A6941">
        <v>6880</v>
      </c>
      <c r="B6941" s="138">
        <f>'Expenditures 15-22'!L52</f>
        <v>45000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157702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208131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99441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99441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490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490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57771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57771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157702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157702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157702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157702</v>
      </c>
      <c r="D7224" s="2" t="str">
        <f t="shared" si="111"/>
        <v>Error?</v>
      </c>
    </row>
    <row r="7225" spans="1:4" x14ac:dyDescent="0.2">
      <c r="A7225">
        <v>7164</v>
      </c>
      <c r="B7225" s="138">
        <f>'Expenditures 15-22'!K343</f>
        <v>50429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168410</v>
      </c>
      <c r="D7251" s="2" t="str">
        <f t="shared" si="112"/>
        <v>Error?</v>
      </c>
    </row>
    <row r="7252" spans="1:4" x14ac:dyDescent="0.2">
      <c r="A7252">
        <f t="shared" si="113"/>
        <v>7191</v>
      </c>
      <c r="B7252" s="138">
        <f>'Expenditures 15-22'!D9</f>
        <v>41507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9306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796336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132437</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8594</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150000</v>
      </c>
      <c r="D7683" s="2" t="str">
        <f t="shared" si="126"/>
        <v>Error?</v>
      </c>
      <c r="E7683" s="2" t="s">
        <v>881</v>
      </c>
    </row>
    <row r="7684" spans="1:5" x14ac:dyDescent="0.2">
      <c r="A7684">
        <v>7623</v>
      </c>
      <c r="B7684" s="138">
        <f>'Acct Summary 7-8'!D72</f>
        <v>65000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2815105</v>
      </c>
      <c r="D7797" s="2" t="str">
        <f t="shared" si="127"/>
        <v>Error?</v>
      </c>
      <c r="E7797" s="4" t="s">
        <v>2018</v>
      </c>
    </row>
    <row r="7798" spans="1:5" x14ac:dyDescent="0.2">
      <c r="A7798">
        <v>7737</v>
      </c>
      <c r="B7798" s="138">
        <f>'Contracts Paid in CY 29'!F141</f>
        <v>500000</v>
      </c>
      <c r="D7798" s="2" t="str">
        <f t="shared" si="127"/>
        <v>Error?</v>
      </c>
      <c r="E7798" s="4" t="s">
        <v>2018</v>
      </c>
    </row>
    <row r="7799" spans="1:5" x14ac:dyDescent="0.2">
      <c r="A7799">
        <v>7738</v>
      </c>
      <c r="B7799" s="138">
        <f>'Contracts Paid in CY 29'!G141</f>
        <v>2315105</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Prospect Heights SD 23</v>
      </c>
      <c r="B7" s="2408"/>
      <c r="C7" s="2408"/>
      <c r="D7" s="2445"/>
      <c r="E7" s="2446">
        <f>COVER!A13</f>
        <v>5016023002</v>
      </c>
      <c r="F7" s="2447"/>
      <c r="G7" s="2414" t="str">
        <f>COVER!T23</f>
        <v>060-003973</v>
      </c>
      <c r="H7" s="2415"/>
      <c r="I7" s="2415"/>
      <c r="J7" s="2415"/>
      <c r="K7" s="2415"/>
      <c r="L7" s="241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Evans, Marshall and Pease, PC</v>
      </c>
      <c r="H9" s="2421"/>
      <c r="I9" s="2421"/>
      <c r="J9" s="2421"/>
      <c r="K9" s="2421"/>
      <c r="L9" s="2422"/>
    </row>
    <row r="10" spans="1:29" ht="13.5" customHeight="1" x14ac:dyDescent="0.2">
      <c r="A10" s="2404">
        <f>COVER!A38</f>
        <v>0</v>
      </c>
      <c r="B10" s="2405"/>
      <c r="C10" s="2405"/>
      <c r="D10" s="2405"/>
      <c r="E10" s="2405"/>
      <c r="F10" s="2406"/>
      <c r="G10" s="2420" t="str">
        <f>COVER!T17</f>
        <v>1875 Hicks Road</v>
      </c>
      <c r="H10" s="2433"/>
      <c r="I10" s="2433"/>
      <c r="J10" s="2433"/>
      <c r="K10" s="2433"/>
      <c r="L10" s="2434"/>
    </row>
    <row r="11" spans="1:29" ht="13.5" customHeight="1" x14ac:dyDescent="0.2">
      <c r="A11" s="1185" t="s">
        <v>1599</v>
      </c>
      <c r="B11" s="1186"/>
      <c r="C11" s="1187"/>
      <c r="D11" s="1192"/>
      <c r="E11" s="1187"/>
      <c r="F11" s="1191"/>
      <c r="G11" s="2420" t="str">
        <f>COVER!T19</f>
        <v>Rolling Meadows</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jeff@empcpa.com</v>
      </c>
      <c r="J13" s="2442"/>
      <c r="K13" s="2442"/>
      <c r="L13" s="2443"/>
    </row>
    <row r="14" spans="1:29" ht="13.5" customHeight="1" x14ac:dyDescent="0.2">
      <c r="A14" s="2420" t="str">
        <f>COVER!A19</f>
        <v>700 Schoenbeck Road</v>
      </c>
      <c r="B14" s="2433"/>
      <c r="C14" s="2433"/>
      <c r="D14" s="2433"/>
      <c r="E14" s="2433"/>
      <c r="F14" s="2434"/>
      <c r="G14" s="1196" t="s">
        <v>1247</v>
      </c>
      <c r="H14" s="1194"/>
      <c r="I14" s="1194"/>
      <c r="J14" s="1194"/>
      <c r="K14" s="1194"/>
      <c r="L14" s="1195"/>
    </row>
    <row r="15" spans="1:29" ht="13.5" customHeight="1" x14ac:dyDescent="0.2">
      <c r="A15" s="2420" t="str">
        <f>COVER!A21</f>
        <v xml:space="preserve">Prospect Heights </v>
      </c>
      <c r="B15" s="2433"/>
      <c r="C15" s="2433"/>
      <c r="D15" s="2433"/>
      <c r="E15" s="2433"/>
      <c r="F15" s="2434"/>
      <c r="G15" s="2430" t="str">
        <f>COVER!T15</f>
        <v>Jeffery M. Rollefson, CPA</v>
      </c>
      <c r="H15" s="2431"/>
      <c r="I15" s="2431"/>
      <c r="J15" s="2431"/>
      <c r="K15" s="2431"/>
      <c r="L15" s="2432"/>
    </row>
    <row r="16" spans="1:29" ht="12.2" customHeight="1" x14ac:dyDescent="0.2">
      <c r="A16" s="2410">
        <f>COVER!A25</f>
        <v>60070</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847-221-5700</v>
      </c>
      <c r="H18" s="2408"/>
      <c r="I18" s="2408"/>
      <c r="J18" s="2408"/>
      <c r="K18" s="2407" t="str">
        <f>COVER!X21</f>
        <v>847-221-5701</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Prospect Heights SD 23</v>
      </c>
      <c r="B1" s="2444"/>
      <c r="C1" s="2444"/>
      <c r="D1" s="2444"/>
    </row>
    <row r="2" spans="1:11" s="1215" customFormat="1" ht="12.75" x14ac:dyDescent="0.2">
      <c r="A2" s="2449">
        <f>'Single Audit Cover'!E7</f>
        <v>5016023002</v>
      </c>
      <c r="B2" s="2450"/>
      <c r="C2" s="2450"/>
      <c r="D2" s="2450"/>
    </row>
    <row r="3" spans="1:11" s="1215" customFormat="1" ht="12.75" x14ac:dyDescent="0.2">
      <c r="A3" s="2448" t="s">
        <v>1593</v>
      </c>
      <c r="B3" s="2444"/>
      <c r="C3" s="2444"/>
      <c r="D3" s="244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Prospect Heights SD 23</v>
      </c>
      <c r="B1" s="2452"/>
      <c r="C1" s="2452"/>
      <c r="D1" s="2452"/>
      <c r="E1" s="2452"/>
    </row>
    <row r="2" spans="1:5" x14ac:dyDescent="0.2">
      <c r="A2" s="2453">
        <f>'Single Audit Cover'!E7</f>
        <v>5016023002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1044899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34620</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-61477</v>
      </c>
    </row>
    <row r="19" spans="1:4" ht="13.5" thickBot="1" x14ac:dyDescent="0.25">
      <c r="A19" s="1265" t="s">
        <v>1297</v>
      </c>
      <c r="D19" s="1266">
        <f>SUM(D10:D17)</f>
        <v>1018042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1018042</v>
      </c>
    </row>
    <row r="33" spans="1:4" x14ac:dyDescent="0.2">
      <c r="D33" s="1269"/>
    </row>
    <row r="34" spans="1:4" x14ac:dyDescent="0.2">
      <c r="A34" s="317" t="s">
        <v>1294</v>
      </c>
    </row>
    <row r="35" spans="1:4" x14ac:dyDescent="0.2">
      <c r="A35" s="317" t="s">
        <v>1293</v>
      </c>
      <c r="B35" s="1258" t="s">
        <v>1292</v>
      </c>
      <c r="D35" s="1270">
        <v>1018042</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1018042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K37" sqref="K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Prospect Heights SD 23</v>
      </c>
      <c r="B1" s="2457"/>
      <c r="C1" s="2457"/>
      <c r="D1" s="2457"/>
      <c r="E1" s="2457"/>
      <c r="F1" s="2457"/>
    </row>
    <row r="2" spans="1:7" ht="13.5" customHeight="1" x14ac:dyDescent="0.2">
      <c r="A2" s="2458">
        <f>'Single Audit Cover'!E7</f>
        <v>5016023002</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2098</v>
      </c>
      <c r="B7" s="2456"/>
      <c r="C7" s="2456"/>
      <c r="D7" s="2456"/>
      <c r="E7" s="2456"/>
      <c r="F7" s="245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6" t="s">
        <v>1833</v>
      </c>
      <c r="B13" s="2456"/>
      <c r="C13" s="2456"/>
      <c r="D13" s="2456"/>
      <c r="E13" s="2456"/>
      <c r="F13" s="2456"/>
    </row>
    <row r="14" spans="1:7" ht="9.75" customHeight="1" x14ac:dyDescent="0.2">
      <c r="C14" s="1260"/>
      <c r="D14" s="1260"/>
    </row>
    <row r="15" spans="1:7" ht="13.5" customHeight="1" x14ac:dyDescent="0.2">
      <c r="C15" s="1870" t="s">
        <v>1332</v>
      </c>
      <c r="D15" s="2462" t="s">
        <v>1331</v>
      </c>
      <c r="E15" s="2462"/>
      <c r="F15" s="2462"/>
    </row>
    <row r="16" spans="1:7" ht="13.5" customHeight="1" x14ac:dyDescent="0.2">
      <c r="A16" s="1282"/>
      <c r="B16" s="1276" t="s">
        <v>1330</v>
      </c>
      <c r="C16" s="1870" t="s">
        <v>1329</v>
      </c>
      <c r="D16" s="2463" t="s">
        <v>1670</v>
      </c>
      <c r="E16" s="2463"/>
      <c r="F16" s="2463"/>
    </row>
    <row r="17" spans="1:6" ht="20.45" customHeight="1" x14ac:dyDescent="0.2">
      <c r="A17" s="1283"/>
      <c r="B17" s="1284" t="s">
        <v>2099</v>
      </c>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5" t="s">
        <v>2100</v>
      </c>
      <c r="B32" s="2465"/>
      <c r="C32" s="2465"/>
      <c r="D32" s="2465"/>
      <c r="E32" s="2465"/>
      <c r="F32" s="2465"/>
    </row>
    <row r="33" spans="1:6" ht="13.5" customHeight="1" x14ac:dyDescent="0.2">
      <c r="A33" s="328" t="s">
        <v>1509</v>
      </c>
      <c r="B33" s="328"/>
      <c r="C33" s="1288">
        <v>34620</v>
      </c>
      <c r="D33" s="1927"/>
      <c r="E33" s="1286"/>
    </row>
    <row r="34" spans="1:6" ht="13.5" customHeight="1" x14ac:dyDescent="0.2">
      <c r="A34" s="328" t="s">
        <v>1947</v>
      </c>
      <c r="B34" s="328"/>
      <c r="C34" s="1289">
        <v>0</v>
      </c>
      <c r="D34" s="1927" t="s">
        <v>1671</v>
      </c>
      <c r="E34" s="2466">
        <f>+C33+C34</f>
        <v>34620</v>
      </c>
      <c r="F34" s="2467"/>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2101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1672</v>
      </c>
      <c r="C49" s="2468"/>
      <c r="D49" s="2468"/>
      <c r="E49" s="1399"/>
    </row>
    <row r="50" spans="1:5" s="1300" customFormat="1" ht="3.75" customHeight="1" x14ac:dyDescent="0.2">
      <c r="A50" s="1299"/>
      <c r="B50" s="1869"/>
      <c r="C50" s="1869"/>
      <c r="D50" s="1869"/>
      <c r="E50" s="1399"/>
    </row>
    <row r="51" spans="1:5" s="1300" customFormat="1" ht="20.25" customHeight="1" x14ac:dyDescent="0.2">
      <c r="A51" s="1301">
        <v>6</v>
      </c>
      <c r="B51" s="2464" t="s">
        <v>1632</v>
      </c>
      <c r="C51" s="2464"/>
      <c r="D51" s="2464"/>
    </row>
    <row r="52" spans="1:5" ht="14.25" customHeight="1" x14ac:dyDescent="0.2">
      <c r="A52" s="1301"/>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6" sqref="I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Prospect Heights SD 23</v>
      </c>
      <c r="C1" s="2469"/>
      <c r="D1" s="2469"/>
      <c r="E1" s="2469"/>
      <c r="F1" s="2469"/>
      <c r="G1" s="2469"/>
      <c r="H1" s="2469"/>
      <c r="I1" s="2469"/>
      <c r="J1" s="2469"/>
      <c r="K1" s="2469"/>
      <c r="L1" s="2469"/>
      <c r="M1" s="2469"/>
    </row>
    <row r="2" spans="2:14" ht="15" x14ac:dyDescent="0.2">
      <c r="B2" s="2458">
        <f>'Single Audit Cover'!E7</f>
        <v>5016023002</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5" t="s">
        <v>2102</v>
      </c>
      <c r="C11" s="1338"/>
      <c r="D11" s="1339"/>
      <c r="E11" s="1340"/>
      <c r="F11" s="1340"/>
      <c r="G11" s="1340"/>
      <c r="H11" s="1340"/>
      <c r="I11" s="1340"/>
      <c r="J11" s="1340"/>
      <c r="K11" s="1340"/>
      <c r="L11" s="1340"/>
      <c r="M11" s="1340"/>
    </row>
    <row r="12" spans="2:14" ht="20.100000000000001" customHeight="1" x14ac:dyDescent="0.2">
      <c r="B12" s="1956" t="s">
        <v>2103</v>
      </c>
      <c r="C12" s="1341"/>
      <c r="D12" s="1342"/>
      <c r="E12" s="1343"/>
      <c r="F12" s="1343"/>
      <c r="G12" s="1343"/>
      <c r="H12" s="1343"/>
      <c r="I12" s="1343"/>
      <c r="J12" s="1343"/>
      <c r="K12" s="1343"/>
      <c r="L12" s="1340"/>
      <c r="M12" s="1343"/>
    </row>
    <row r="13" spans="2:14" ht="20.100000000000001" customHeight="1" x14ac:dyDescent="0.2">
      <c r="B13" s="1337" t="s">
        <v>2104</v>
      </c>
      <c r="C13" s="1341">
        <v>84.01</v>
      </c>
      <c r="D13" s="1342" t="s">
        <v>2105</v>
      </c>
      <c r="E13" s="1343">
        <v>56973</v>
      </c>
      <c r="F13" s="1343">
        <v>115542</v>
      </c>
      <c r="G13" s="1343">
        <v>151712</v>
      </c>
      <c r="H13" s="1343"/>
      <c r="I13" s="1343">
        <v>20803</v>
      </c>
      <c r="J13" s="1343"/>
      <c r="K13" s="1343"/>
      <c r="L13" s="1340">
        <f t="shared" ref="L13:L24" si="0">+G13+I13+K13</f>
        <v>172515</v>
      </c>
      <c r="M13" s="1343">
        <v>182124</v>
      </c>
    </row>
    <row r="14" spans="2:14" ht="20.100000000000001" customHeight="1" x14ac:dyDescent="0.2">
      <c r="B14" s="1337" t="s">
        <v>2104</v>
      </c>
      <c r="C14" s="1341">
        <v>84.01</v>
      </c>
      <c r="D14" s="1342" t="s">
        <v>2108</v>
      </c>
      <c r="E14" s="1343"/>
      <c r="F14" s="1343">
        <v>76540</v>
      </c>
      <c r="G14" s="1343"/>
      <c r="H14" s="1343"/>
      <c r="I14" s="1343">
        <v>152360</v>
      </c>
      <c r="J14" s="1343"/>
      <c r="K14" s="1343"/>
      <c r="L14" s="1340" t="s">
        <v>2106</v>
      </c>
      <c r="M14" s="1343">
        <v>173603</v>
      </c>
    </row>
    <row r="15" spans="2:14" ht="20.100000000000001" customHeight="1" x14ac:dyDescent="0.2">
      <c r="B15" s="1337" t="s">
        <v>2107</v>
      </c>
      <c r="C15" s="1341">
        <v>84.367000000000004</v>
      </c>
      <c r="D15" s="1342" t="s">
        <v>2109</v>
      </c>
      <c r="E15" s="1343">
        <v>29321</v>
      </c>
      <c r="F15" s="1343"/>
      <c r="G15" s="1343">
        <v>29321</v>
      </c>
      <c r="H15" s="1343"/>
      <c r="I15" s="1343"/>
      <c r="J15" s="1343"/>
      <c r="K15" s="1343"/>
      <c r="L15" s="1340">
        <f t="shared" si="0"/>
        <v>29321</v>
      </c>
      <c r="M15" s="1343">
        <v>29321</v>
      </c>
    </row>
    <row r="16" spans="2:14" ht="20.100000000000001" customHeight="1" x14ac:dyDescent="0.2">
      <c r="B16" s="1337" t="s">
        <v>2107</v>
      </c>
      <c r="C16" s="1341">
        <v>84.367000000000004</v>
      </c>
      <c r="D16" s="1342" t="s">
        <v>2110</v>
      </c>
      <c r="E16" s="1343"/>
      <c r="F16" s="1343">
        <v>15877</v>
      </c>
      <c r="G16" s="1343"/>
      <c r="H16" s="1343"/>
      <c r="I16" s="1343">
        <v>31612</v>
      </c>
      <c r="J16" s="1343"/>
      <c r="K16" s="1343"/>
      <c r="L16" s="1340" t="s">
        <v>2106</v>
      </c>
      <c r="M16" s="1343">
        <v>34483</v>
      </c>
    </row>
    <row r="17" spans="2:14" ht="20.100000000000001" customHeight="1" x14ac:dyDescent="0.2">
      <c r="B17" s="1337" t="s">
        <v>2111</v>
      </c>
      <c r="C17" s="1341">
        <v>84.364999999999995</v>
      </c>
      <c r="D17" s="1342" t="s">
        <v>2112</v>
      </c>
      <c r="E17" s="1343">
        <v>31334</v>
      </c>
      <c r="F17" s="1343">
        <v>13194</v>
      </c>
      <c r="G17" s="1343">
        <v>44528</v>
      </c>
      <c r="H17" s="1343"/>
      <c r="I17" s="1343"/>
      <c r="J17" s="1343"/>
      <c r="K17" s="1343"/>
      <c r="L17" s="1340">
        <f t="shared" si="0"/>
        <v>44528</v>
      </c>
      <c r="M17" s="1343">
        <v>45591</v>
      </c>
    </row>
    <row r="18" spans="2:14" ht="20.100000000000001" customHeight="1" x14ac:dyDescent="0.2">
      <c r="B18" s="1337" t="s">
        <v>2111</v>
      </c>
      <c r="C18" s="1341">
        <v>84.364999999999995</v>
      </c>
      <c r="D18" s="1342" t="s">
        <v>2113</v>
      </c>
      <c r="E18" s="1343"/>
      <c r="F18" s="1343">
        <v>28863</v>
      </c>
      <c r="G18" s="1343"/>
      <c r="H18" s="1343"/>
      <c r="I18" s="1343">
        <v>40534</v>
      </c>
      <c r="J18" s="1343"/>
      <c r="K18" s="1343"/>
      <c r="L18" s="1340" t="s">
        <v>2106</v>
      </c>
      <c r="M18" s="1343">
        <v>44099</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56" t="s">
        <v>2114</v>
      </c>
      <c r="C20" s="1341"/>
      <c r="D20" s="1342"/>
      <c r="E20" s="1343"/>
      <c r="F20" s="1343"/>
      <c r="G20" s="1343"/>
      <c r="H20" s="1343"/>
      <c r="I20" s="1343"/>
      <c r="J20" s="1343"/>
      <c r="K20" s="1343"/>
      <c r="L20" s="1340"/>
      <c r="M20" s="1343"/>
    </row>
    <row r="21" spans="2:14" ht="20.100000000000001" customHeight="1" x14ac:dyDescent="0.2">
      <c r="B21" s="1337" t="s">
        <v>2115</v>
      </c>
      <c r="C21" s="1341">
        <v>84.173000000000002</v>
      </c>
      <c r="D21" s="1342" t="s">
        <v>2117</v>
      </c>
      <c r="E21" s="1343"/>
      <c r="F21" s="1343">
        <v>16610</v>
      </c>
      <c r="G21" s="1343">
        <v>16610</v>
      </c>
      <c r="H21" s="1343"/>
      <c r="I21" s="1343"/>
      <c r="J21" s="1343"/>
      <c r="K21" s="1343"/>
      <c r="L21" s="1340">
        <f t="shared" si="0"/>
        <v>16610</v>
      </c>
      <c r="M21" s="1343" t="s">
        <v>2121</v>
      </c>
    </row>
    <row r="22" spans="2:14" ht="20.100000000000001" customHeight="1" x14ac:dyDescent="0.2">
      <c r="B22" s="1337" t="s">
        <v>2115</v>
      </c>
      <c r="C22" s="1341">
        <v>84.173000000000002</v>
      </c>
      <c r="D22" s="1342" t="s">
        <v>2118</v>
      </c>
      <c r="E22" s="1343"/>
      <c r="F22" s="1343">
        <v>12418</v>
      </c>
      <c r="G22" s="1343"/>
      <c r="H22" s="1343"/>
      <c r="I22" s="1343">
        <v>17531</v>
      </c>
      <c r="J22" s="1343"/>
      <c r="K22" s="1343"/>
      <c r="L22" s="1340">
        <f t="shared" si="0"/>
        <v>17531</v>
      </c>
      <c r="M22" s="1343" t="s">
        <v>2121</v>
      </c>
    </row>
    <row r="23" spans="2:14" ht="20.100000000000001" customHeight="1" x14ac:dyDescent="0.2">
      <c r="B23" s="1337" t="s">
        <v>2116</v>
      </c>
      <c r="C23" s="1341">
        <v>84.027000000000001</v>
      </c>
      <c r="D23" s="1342" t="s">
        <v>2119</v>
      </c>
      <c r="E23" s="1343"/>
      <c r="F23" s="1343">
        <v>276080</v>
      </c>
      <c r="G23" s="1343">
        <v>276080</v>
      </c>
      <c r="H23" s="1343"/>
      <c r="I23" s="1343"/>
      <c r="J23" s="1343"/>
      <c r="K23" s="1343"/>
      <c r="L23" s="1340">
        <f t="shared" si="0"/>
        <v>276080</v>
      </c>
      <c r="M23" s="1343" t="s">
        <v>2121</v>
      </c>
    </row>
    <row r="24" spans="2:14" ht="20.100000000000001" customHeight="1" x14ac:dyDescent="0.2">
      <c r="B24" s="1337" t="s">
        <v>2116</v>
      </c>
      <c r="C24" s="1341">
        <v>84.027000000000001</v>
      </c>
      <c r="D24" s="1342" t="s">
        <v>2120</v>
      </c>
      <c r="E24" s="1343"/>
      <c r="F24" s="1343">
        <v>214039</v>
      </c>
      <c r="G24" s="1343"/>
      <c r="H24" s="1343"/>
      <c r="I24" s="1343">
        <v>284131</v>
      </c>
      <c r="J24" s="1343"/>
      <c r="K24" s="1343"/>
      <c r="L24" s="1340">
        <f t="shared" si="0"/>
        <v>284131</v>
      </c>
      <c r="M24" s="1343" t="s">
        <v>2121</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955" t="s">
        <v>2122</v>
      </c>
      <c r="C26" s="1341"/>
      <c r="D26" s="1342"/>
      <c r="E26" s="1343"/>
      <c r="F26" s="1957">
        <f>SUM(F12:F24)</f>
        <v>769163</v>
      </c>
      <c r="G26" s="1343"/>
      <c r="H26" s="1343"/>
      <c r="I26" s="1957">
        <f>SUM(I12:I24)</f>
        <v>546971</v>
      </c>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ignoredErrors>
    <ignoredError sqref="F26 I26 L13:L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X26" sqref="X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2075</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2079</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Prospect Heights SD 23</v>
      </c>
      <c r="C1" s="2469"/>
      <c r="D1" s="2469"/>
      <c r="E1" s="2469"/>
      <c r="F1" s="2469"/>
      <c r="G1" s="2469"/>
      <c r="H1" s="2469"/>
      <c r="I1" s="2469"/>
      <c r="J1" s="2469"/>
      <c r="K1" s="2469"/>
      <c r="L1" s="2469"/>
      <c r="M1" s="2469"/>
    </row>
    <row r="2" spans="2:14" ht="15" x14ac:dyDescent="0.2">
      <c r="B2" s="2458">
        <f>'Single Audit Cover'!E7</f>
        <v>5016023002</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5" t="s">
        <v>2123</v>
      </c>
      <c r="C11" s="1338"/>
      <c r="D11" s="1339"/>
      <c r="E11" s="1340"/>
      <c r="F11" s="1340"/>
      <c r="G11" s="1340"/>
      <c r="H11" s="1340"/>
      <c r="I11" s="1340"/>
      <c r="J11" s="1340"/>
      <c r="K11" s="1340"/>
      <c r="L11" s="1340"/>
      <c r="M11" s="1340"/>
    </row>
    <row r="12" spans="2:14" ht="20.100000000000001" customHeight="1" x14ac:dyDescent="0.2">
      <c r="B12" s="1956" t="s">
        <v>2103</v>
      </c>
      <c r="C12" s="1341"/>
      <c r="D12" s="1342"/>
      <c r="E12" s="1343"/>
      <c r="F12" s="1343"/>
      <c r="G12" s="1343"/>
      <c r="H12" s="1343"/>
      <c r="I12" s="1343"/>
      <c r="J12" s="1343"/>
      <c r="K12" s="1343"/>
      <c r="L12" s="1340"/>
      <c r="M12" s="1343"/>
    </row>
    <row r="13" spans="2:14" ht="20.100000000000001" customHeight="1" x14ac:dyDescent="0.2">
      <c r="B13" s="1337" t="s">
        <v>2124</v>
      </c>
      <c r="C13" s="1341">
        <v>10.555</v>
      </c>
      <c r="D13" s="1342" t="s">
        <v>2125</v>
      </c>
      <c r="E13" s="1343">
        <v>154426</v>
      </c>
      <c r="F13" s="1343">
        <v>28194</v>
      </c>
      <c r="G13" s="1343">
        <v>154426</v>
      </c>
      <c r="H13" s="1343"/>
      <c r="I13" s="1343">
        <v>28194</v>
      </c>
      <c r="J13" s="1343"/>
      <c r="K13" s="1343"/>
      <c r="L13" s="1340">
        <f t="shared" ref="L13:L17" si="0">+G13+I13+K13</f>
        <v>182620</v>
      </c>
      <c r="M13" s="1343" t="s">
        <v>2121</v>
      </c>
    </row>
    <row r="14" spans="2:14" ht="20.100000000000001" customHeight="1" x14ac:dyDescent="0.2">
      <c r="B14" s="1337" t="s">
        <v>2124</v>
      </c>
      <c r="C14" s="1341">
        <v>10.555</v>
      </c>
      <c r="D14" s="1342" t="s">
        <v>2126</v>
      </c>
      <c r="E14" s="1343"/>
      <c r="F14" s="1343">
        <v>163509</v>
      </c>
      <c r="G14" s="1343"/>
      <c r="H14" s="1343"/>
      <c r="I14" s="1343">
        <v>168730</v>
      </c>
      <c r="J14" s="1343"/>
      <c r="K14" s="1343"/>
      <c r="L14" s="1340" t="s">
        <v>2127</v>
      </c>
      <c r="M14" s="1343" t="s">
        <v>2121</v>
      </c>
    </row>
    <row r="15" spans="2:14" ht="20.100000000000001" customHeight="1" x14ac:dyDescent="0.2">
      <c r="B15" s="1337" t="s">
        <v>2129</v>
      </c>
      <c r="C15" s="1341">
        <v>10.555</v>
      </c>
      <c r="D15" s="1342" t="s">
        <v>2128</v>
      </c>
      <c r="E15" s="1343"/>
      <c r="F15" s="1343">
        <v>16834</v>
      </c>
      <c r="G15" s="1343"/>
      <c r="H15" s="1343"/>
      <c r="I15" s="1343">
        <v>16834</v>
      </c>
      <c r="J15" s="1343"/>
      <c r="K15" s="1343"/>
      <c r="L15" s="1340">
        <f t="shared" si="0"/>
        <v>16834</v>
      </c>
      <c r="M15" s="1343" t="s">
        <v>2121</v>
      </c>
    </row>
    <row r="16" spans="2:14" ht="20.100000000000001" customHeight="1" x14ac:dyDescent="0.2">
      <c r="B16" s="1337" t="s">
        <v>2130</v>
      </c>
      <c r="C16" s="1341">
        <v>10.555</v>
      </c>
      <c r="D16" s="1342" t="s">
        <v>2128</v>
      </c>
      <c r="E16" s="1343"/>
      <c r="F16" s="1343">
        <v>17786</v>
      </c>
      <c r="G16" s="1343"/>
      <c r="H16" s="1343"/>
      <c r="I16" s="1343">
        <v>17786</v>
      </c>
      <c r="J16" s="1343"/>
      <c r="K16" s="1343"/>
      <c r="L16" s="1340">
        <f t="shared" si="0"/>
        <v>17786</v>
      </c>
      <c r="M16" s="1343" t="s">
        <v>2121</v>
      </c>
    </row>
    <row r="17" spans="2:14" ht="20.100000000000001" customHeight="1" x14ac:dyDescent="0.2">
      <c r="B17" s="1337" t="s">
        <v>2131</v>
      </c>
      <c r="C17" s="1341">
        <v>10.553000000000001</v>
      </c>
      <c r="D17" s="1342" t="s">
        <v>2132</v>
      </c>
      <c r="E17" s="1343">
        <v>16629</v>
      </c>
      <c r="F17" s="1343">
        <v>2635</v>
      </c>
      <c r="G17" s="1343">
        <v>16629</v>
      </c>
      <c r="H17" s="1343"/>
      <c r="I17" s="1343">
        <v>2635</v>
      </c>
      <c r="J17" s="1343"/>
      <c r="K17" s="1343"/>
      <c r="L17" s="1340">
        <f t="shared" si="0"/>
        <v>19264</v>
      </c>
      <c r="M17" s="1343" t="s">
        <v>2121</v>
      </c>
    </row>
    <row r="18" spans="2:14" ht="20.100000000000001" customHeight="1" x14ac:dyDescent="0.2">
      <c r="B18" s="1337" t="s">
        <v>2131</v>
      </c>
      <c r="C18" s="1341">
        <v>10.553000000000001</v>
      </c>
      <c r="D18" s="1342" t="s">
        <v>2133</v>
      </c>
      <c r="E18" s="1343"/>
      <c r="F18" s="1343">
        <v>19906</v>
      </c>
      <c r="G18" s="1343"/>
      <c r="H18" s="1343"/>
      <c r="I18" s="1343">
        <v>20585</v>
      </c>
      <c r="J18" s="1343"/>
      <c r="K18" s="1343"/>
      <c r="L18" s="1340" t="s">
        <v>2127</v>
      </c>
      <c r="M18" s="1343" t="s">
        <v>2121</v>
      </c>
    </row>
    <row r="19" spans="2:14" ht="20.100000000000001" customHeight="1" x14ac:dyDescent="0.2">
      <c r="B19" s="1337" t="s">
        <v>2134</v>
      </c>
      <c r="C19" s="1341">
        <v>10.558</v>
      </c>
      <c r="D19" s="1342" t="s">
        <v>2135</v>
      </c>
      <c r="E19" s="1343"/>
      <c r="F19" s="1343">
        <v>15</v>
      </c>
      <c r="G19" s="1343"/>
      <c r="H19" s="1343"/>
      <c r="I19" s="1343"/>
      <c r="J19" s="1343"/>
      <c r="K19" s="1343"/>
      <c r="L19" s="1340" t="s">
        <v>2127</v>
      </c>
      <c r="M19" s="1343" t="s">
        <v>2121</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955" t="s">
        <v>2136</v>
      </c>
      <c r="C21" s="1341"/>
      <c r="D21" s="1342"/>
      <c r="E21" s="1343"/>
      <c r="F21" s="1957">
        <f>SUM(F13:F20)</f>
        <v>248879</v>
      </c>
      <c r="G21" s="1343"/>
      <c r="H21" s="1343"/>
      <c r="I21" s="1957">
        <f>SUM(I13:I20)</f>
        <v>254764</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8" t="s">
        <v>2137</v>
      </c>
      <c r="C23" s="1341"/>
      <c r="D23" s="1342"/>
      <c r="E23" s="1343"/>
      <c r="F23" s="1959">
        <v>1018042</v>
      </c>
      <c r="G23" s="1343"/>
      <c r="H23" s="1343"/>
      <c r="I23" s="1959">
        <v>801735</v>
      </c>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ignoredErrors>
    <ignoredError sqref="F21:I21 L13:L19"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7" zoomScale="110" zoomScaleNormal="110" workbookViewId="0">
      <selection activeCell="C46" sqref="C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Prospect Heights SD 23</v>
      </c>
      <c r="C1" s="2477"/>
      <c r="D1" s="2477"/>
      <c r="E1" s="2477"/>
      <c r="F1" s="2477"/>
      <c r="G1" s="2477"/>
      <c r="H1" s="2477"/>
      <c r="I1" s="2477"/>
      <c r="J1" s="1422"/>
    </row>
    <row r="2" spans="2:10" s="317" customFormat="1" ht="12.75" customHeight="1" x14ac:dyDescent="0.2">
      <c r="B2" s="2478">
        <f>'Single Audit Cover'!E7</f>
        <v>5016023002</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874</v>
      </c>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2138</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2138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2138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2138</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2138</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2139</v>
      </c>
      <c r="E29" s="2483"/>
      <c r="F29" s="2483"/>
      <c r="G29" s="2483"/>
      <c r="H29" s="2483"/>
      <c r="I29" s="2483"/>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4" t="s">
        <v>1852</v>
      </c>
      <c r="D37" s="2485"/>
      <c r="E37" s="2485"/>
      <c r="F37" s="2486"/>
      <c r="G37" s="2484" t="s">
        <v>1674</v>
      </c>
      <c r="H37" s="2485"/>
      <c r="I37" s="2486"/>
    </row>
    <row r="38" spans="2:9" ht="16.5" customHeight="1" x14ac:dyDescent="0.2">
      <c r="B38" s="1444">
        <v>84.01</v>
      </c>
      <c r="C38" s="2472" t="s">
        <v>2140</v>
      </c>
      <c r="D38" s="2473"/>
      <c r="E38" s="2473"/>
      <c r="F38" s="2474"/>
      <c r="G38" s="2487">
        <v>173163</v>
      </c>
      <c r="H38" s="2488"/>
      <c r="I38" s="2489"/>
    </row>
    <row r="39" spans="2:9" ht="16.5" customHeight="1" x14ac:dyDescent="0.2">
      <c r="B39" s="1444">
        <v>84.367000000000004</v>
      </c>
      <c r="C39" s="2472" t="s">
        <v>2141</v>
      </c>
      <c r="D39" s="2473"/>
      <c r="E39" s="2473"/>
      <c r="F39" s="2474"/>
      <c r="G39" s="2475">
        <v>31612</v>
      </c>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90" t="s">
        <v>1675</v>
      </c>
      <c r="D43" s="2491"/>
      <c r="E43" s="2491"/>
      <c r="F43" s="2492"/>
      <c r="G43" s="2493">
        <f>SUM(G38:I42)</f>
        <v>204775</v>
      </c>
      <c r="H43" s="2493"/>
      <c r="I43" s="2493"/>
    </row>
    <row r="44" spans="2:9" ht="12.75" customHeight="1" x14ac:dyDescent="0.2"/>
    <row r="45" spans="2:9" ht="12.75" customHeight="1" x14ac:dyDescent="0.2">
      <c r="B45" s="1435" t="s">
        <v>1950</v>
      </c>
      <c r="D45" s="2494">
        <v>801735</v>
      </c>
      <c r="E45" s="2495"/>
    </row>
    <row r="46" spans="2:9" ht="5.25" customHeight="1" x14ac:dyDescent="0.2">
      <c r="B46" s="1445"/>
      <c r="D46" s="1446"/>
      <c r="E46" s="1447"/>
    </row>
    <row r="47" spans="2:9" ht="12.75" customHeight="1" x14ac:dyDescent="0.2">
      <c r="B47" s="1300" t="s">
        <v>1676</v>
      </c>
      <c r="C47" s="1300"/>
      <c r="D47" s="1448">
        <f>+G43/D45</f>
        <v>0.2554148191110529</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t="s">
        <v>2075</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Prospect Heights SD 23</v>
      </c>
      <c r="C1" s="2476"/>
      <c r="D1" s="2476"/>
      <c r="E1" s="2476"/>
      <c r="F1" s="2476"/>
      <c r="G1" s="2476"/>
      <c r="H1" s="2476"/>
      <c r="I1" s="2476"/>
      <c r="J1" s="2476"/>
      <c r="K1" s="2476"/>
      <c r="L1" s="1374"/>
      <c r="M1" s="1374"/>
    </row>
    <row r="2" spans="1:13" ht="12" customHeight="1" x14ac:dyDescent="0.2">
      <c r="B2" s="2478">
        <f>'Single Audit Cover'!E7</f>
        <v>5016023002</v>
      </c>
      <c r="C2" s="2478"/>
      <c r="D2" s="2478"/>
      <c r="E2" s="2478"/>
      <c r="F2" s="2478"/>
      <c r="G2" s="2478"/>
      <c r="H2" s="2478"/>
      <c r="I2" s="2478"/>
      <c r="J2" s="2478"/>
      <c r="K2" s="2478"/>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t="s">
        <v>2099</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8" sqref="E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Prospect Heights SD 23</v>
      </c>
      <c r="C1" s="2503"/>
      <c r="D1" s="2503"/>
      <c r="E1" s="2503"/>
      <c r="F1" s="2503"/>
      <c r="G1" s="2503"/>
      <c r="H1" s="2503"/>
      <c r="I1" s="2503"/>
      <c r="J1" s="2503"/>
      <c r="K1" s="2503"/>
      <c r="L1" s="1465"/>
    </row>
    <row r="2" spans="1:12" ht="12.75" customHeight="1" x14ac:dyDescent="0.2">
      <c r="B2" s="2504">
        <f>'Single Audit Cover'!E7</f>
        <v>5016023002</v>
      </c>
      <c r="C2" s="2504"/>
      <c r="D2" s="2504"/>
      <c r="E2" s="2504"/>
      <c r="F2" s="2504"/>
      <c r="G2" s="2504"/>
      <c r="H2" s="2504"/>
      <c r="I2" s="2504"/>
      <c r="J2" s="2504"/>
      <c r="K2" s="2504"/>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t="s">
        <v>2099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J17" sqref="J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Prospect Heights SD 23</v>
      </c>
      <c r="C1" s="2476"/>
      <c r="D1" s="2476"/>
      <c r="E1" s="1491"/>
    </row>
    <row r="2" spans="2:5" s="1282" customFormat="1" ht="12.75" customHeight="1" x14ac:dyDescent="0.2">
      <c r="B2" s="2478">
        <f>'Single Audit Cover'!E7</f>
        <v>5016023002</v>
      </c>
      <c r="C2" s="2478"/>
      <c r="D2" s="2478"/>
      <c r="E2" s="1492"/>
    </row>
    <row r="3" spans="2:5" ht="12.75" customHeight="1" x14ac:dyDescent="0.2">
      <c r="B3" s="2499" t="s">
        <v>1867</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t="s">
        <v>2099</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553717876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2.5616E-2</v>
      </c>
      <c r="E10" s="356" t="s">
        <v>1062</v>
      </c>
      <c r="F10" s="355">
        <v>2.9399999999999999E-3</v>
      </c>
      <c r="G10" s="356" t="s">
        <v>1062</v>
      </c>
      <c r="H10" s="355">
        <v>2.3249999999999998E-3</v>
      </c>
      <c r="I10" s="356" t="s">
        <v>1063</v>
      </c>
      <c r="J10" s="1754">
        <f>ROUND(D10+F10+H10,5)</f>
        <v>3.0880000000000001E-2</v>
      </c>
      <c r="K10" s="222"/>
      <c r="L10" s="355">
        <v>0</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21450940</v>
      </c>
      <c r="E16" s="356"/>
      <c r="F16" s="1755">
        <f>SUM('Acct Summary 7-8'!C17,'Acct Summary 7-8'!D17,'Acct Summary 7-8'!F17)</f>
        <v>20621147</v>
      </c>
      <c r="G16" s="356"/>
      <c r="H16" s="1755">
        <f>SUM(D16-F16)</f>
        <v>829793</v>
      </c>
      <c r="I16" s="222"/>
      <c r="J16" s="1755">
        <f>SUM('Acct Summary 7-8'!C81,'Acct Summary 7-8'!D81,'Acct Summary 7-8'!F81,'Acct Summary 7-8'!I81)</f>
        <v>7792940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57">
        <f>IF(B31="X",(J7*0.069),IF(B32="X",(J7*0.138),"Enter x in a.or b."))</f>
        <v>38206533.444000006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7706508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X26" sqref="X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Prospect Heights SD 23</v>
      </c>
      <c r="E7" s="391"/>
      <c r="G7" s="252"/>
      <c r="H7" s="387"/>
      <c r="I7" s="387"/>
      <c r="J7" s="387"/>
      <c r="K7" s="387"/>
      <c r="L7" s="329"/>
      <c r="M7" s="329"/>
      <c r="N7" s="329"/>
      <c r="O7" s="329"/>
      <c r="P7" s="329"/>
    </row>
    <row r="8" spans="1:18" ht="12.75" x14ac:dyDescent="0.2">
      <c r="A8" s="329"/>
      <c r="B8" s="329"/>
      <c r="C8" s="389" t="s">
        <v>1187</v>
      </c>
      <c r="D8" s="392">
        <f>COVER!A13</f>
        <v>5016023002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7792940</v>
      </c>
      <c r="I12" s="404"/>
      <c r="J12" s="404"/>
      <c r="K12" s="405">
        <f>TRUNC((H12/H13*100000),5)/100000</f>
        <v>0.36942278339999995</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21094909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-356031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20621147</v>
      </c>
      <c r="I17" s="404"/>
      <c r="J17" s="416"/>
      <c r="K17" s="405">
        <f>TRUNC((H17/H18*100000),5)/100000</f>
        <v>0.97754140580000004</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21094909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-356031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7926226</v>
      </c>
      <c r="I24" s="422"/>
      <c r="J24" s="422"/>
      <c r="K24" s="423">
        <f>TRUNC(((H24/H25*100000)/100000),2)</f>
        <v>138.37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57280.963889999999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14533986.809250001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7706508</v>
      </c>
      <c r="I32" s="420"/>
      <c r="J32" s="420"/>
      <c r="K32" s="423">
        <f>TRUNC(100-((((H32/H33*100))*100)/100),2)</f>
        <v>79.819999999999993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38206533.444000006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4" activePane="bottomLeft" state="frozen"/>
      <selection activeCell="X26" sqref="X26"/>
      <selection pane="bottomLeft" activeCell="X26" sqref="X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6192660</v>
      </c>
      <c r="D4" s="466">
        <v>878199</v>
      </c>
      <c r="E4" s="466">
        <v>489030</v>
      </c>
      <c r="F4" s="466">
        <v>851389</v>
      </c>
      <c r="G4" s="466">
        <v>32131</v>
      </c>
      <c r="H4" s="466">
        <v>220945</v>
      </c>
      <c r="I4" s="466">
        <v>3978</v>
      </c>
      <c r="J4" s="467">
        <v>80065</v>
      </c>
      <c r="K4" s="466"/>
      <c r="L4" s="466">
        <v>74541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6192660</v>
      </c>
      <c r="D13" s="1759">
        <f t="shared" ref="D13:L13" si="0">SUM(D4:D12)</f>
        <v>878199</v>
      </c>
      <c r="E13" s="1759">
        <f t="shared" si="0"/>
        <v>489030</v>
      </c>
      <c r="F13" s="1759">
        <f t="shared" si="0"/>
        <v>851389</v>
      </c>
      <c r="G13" s="1759">
        <f t="shared" si="0"/>
        <v>32131</v>
      </c>
      <c r="H13" s="1759">
        <f t="shared" si="0"/>
        <v>220945</v>
      </c>
      <c r="I13" s="1759">
        <f t="shared" si="0"/>
        <v>3978</v>
      </c>
      <c r="J13" s="1759">
        <f t="shared" si="0"/>
        <v>80065</v>
      </c>
      <c r="K13" s="1759">
        <f t="shared" si="0"/>
        <v>0</v>
      </c>
      <c r="L13" s="1759">
        <f t="shared" si="0"/>
        <v>74541</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405938</v>
      </c>
      <c r="N16" s="484"/>
    </row>
    <row r="17" spans="1:14" s="485" customFormat="1" ht="12.75" customHeight="1" x14ac:dyDescent="0.2">
      <c r="A17" s="482" t="s">
        <v>1470</v>
      </c>
      <c r="B17" s="483">
        <v>230</v>
      </c>
      <c r="C17" s="477"/>
      <c r="D17" s="477"/>
      <c r="E17" s="477"/>
      <c r="F17" s="477"/>
      <c r="G17" s="477"/>
      <c r="H17" s="477"/>
      <c r="I17" s="477"/>
      <c r="J17" s="477"/>
      <c r="K17" s="477"/>
      <c r="L17" s="477"/>
      <c r="M17" s="467">
        <v>19568680</v>
      </c>
      <c r="N17" s="484"/>
    </row>
    <row r="18" spans="1:14" s="485" customFormat="1" ht="12.75" customHeight="1" x14ac:dyDescent="0.2">
      <c r="A18" s="482" t="s">
        <v>1471</v>
      </c>
      <c r="B18" s="483">
        <v>240</v>
      </c>
      <c r="C18" s="477"/>
      <c r="D18" s="477"/>
      <c r="E18" s="477"/>
      <c r="F18" s="477"/>
      <c r="G18" s="477"/>
      <c r="H18" s="477"/>
      <c r="I18" s="477"/>
      <c r="J18" s="477"/>
      <c r="K18" s="477"/>
      <c r="L18" s="477"/>
      <c r="M18" s="467">
        <v>788721</v>
      </c>
      <c r="N18" s="484"/>
    </row>
    <row r="19" spans="1:14" s="485" customFormat="1" ht="12.75" customHeight="1" x14ac:dyDescent="0.2">
      <c r="A19" s="482" t="s">
        <v>1472</v>
      </c>
      <c r="B19" s="483">
        <v>250</v>
      </c>
      <c r="C19" s="477"/>
      <c r="D19" s="477"/>
      <c r="E19" s="477"/>
      <c r="F19" s="477"/>
      <c r="G19" s="477"/>
      <c r="H19" s="477"/>
      <c r="I19" s="477"/>
      <c r="J19" s="477"/>
      <c r="K19" s="477"/>
      <c r="L19" s="477"/>
      <c r="M19" s="467">
        <f>2111311+88962</f>
        <v>2200273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489030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7217478</v>
      </c>
    </row>
    <row r="23" spans="1:14" ht="13.5" customHeight="1" thickBot="1" x14ac:dyDescent="0.25">
      <c r="A23" s="1758" t="s">
        <v>664</v>
      </c>
      <c r="B23" s="1763"/>
      <c r="C23" s="468"/>
      <c r="D23" s="468"/>
      <c r="E23" s="468"/>
      <c r="F23" s="468"/>
      <c r="G23" s="468"/>
      <c r="H23" s="468"/>
      <c r="I23" s="468"/>
      <c r="J23" s="468"/>
      <c r="K23" s="468"/>
      <c r="L23" s="468"/>
      <c r="M23" s="1710">
        <f>SUM(M15:M22)</f>
        <v>22963612</v>
      </c>
      <c r="N23" s="1710">
        <f>SUM(N21:N22)</f>
        <v>7706508</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136123</v>
      </c>
      <c r="D31" s="467">
        <v>-2873</v>
      </c>
      <c r="E31" s="467"/>
      <c r="F31" s="466">
        <v>36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74541</v>
      </c>
      <c r="M33" s="468"/>
      <c r="N33" s="469"/>
    </row>
    <row r="34" spans="1:14" ht="13.5" customHeight="1" thickBot="1" x14ac:dyDescent="0.25">
      <c r="A34" s="1760" t="s">
        <v>675</v>
      </c>
      <c r="B34" s="1761"/>
      <c r="C34" s="1762">
        <f>SUM(C25:C33)</f>
        <v>136123</v>
      </c>
      <c r="D34" s="1762">
        <f t="shared" ref="D34:K34" si="1">SUM(D25:D33)</f>
        <v>-2873</v>
      </c>
      <c r="E34" s="1762">
        <f t="shared" si="1"/>
        <v>0</v>
      </c>
      <c r="F34" s="1762">
        <f t="shared" si="1"/>
        <v>36</v>
      </c>
      <c r="G34" s="1762">
        <f t="shared" si="1"/>
        <v>0</v>
      </c>
      <c r="H34" s="1762">
        <f t="shared" si="1"/>
        <v>0</v>
      </c>
      <c r="I34" s="1762">
        <f t="shared" si="1"/>
        <v>0</v>
      </c>
      <c r="J34" s="1762">
        <f t="shared" si="1"/>
        <v>0</v>
      </c>
      <c r="K34" s="1762">
        <f t="shared" si="1"/>
        <v>0</v>
      </c>
      <c r="L34" s="1743">
        <f>SUM(L33)</f>
        <v>74541</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7706508</v>
      </c>
    </row>
    <row r="37" spans="1:14" ht="13.5" thickBot="1" x14ac:dyDescent="0.25">
      <c r="A37" s="1758" t="s">
        <v>674</v>
      </c>
      <c r="B37" s="1763"/>
      <c r="C37" s="477"/>
      <c r="D37" s="477"/>
      <c r="E37" s="477"/>
      <c r="F37" s="477"/>
      <c r="G37" s="477"/>
      <c r="H37" s="477"/>
      <c r="I37" s="477"/>
      <c r="J37" s="477"/>
      <c r="K37" s="477"/>
      <c r="L37" s="480"/>
      <c r="M37" s="468"/>
      <c r="N37" s="1710">
        <f>SUM(N36:N36)</f>
        <v>7706508</v>
      </c>
    </row>
    <row r="38" spans="1:14" s="329" customFormat="1" ht="13.5" customHeight="1" thickTop="1" x14ac:dyDescent="0.2">
      <c r="A38" s="496" t="s">
        <v>440</v>
      </c>
      <c r="B38" s="483">
        <v>714</v>
      </c>
      <c r="C38" s="466"/>
      <c r="D38" s="466">
        <v>881072</v>
      </c>
      <c r="E38" s="466">
        <v>489030</v>
      </c>
      <c r="F38" s="466">
        <v>851353</v>
      </c>
      <c r="G38" s="466">
        <v>32131</v>
      </c>
      <c r="H38" s="466">
        <v>220945</v>
      </c>
      <c r="I38" s="466"/>
      <c r="J38" s="467">
        <v>80065</v>
      </c>
      <c r="K38" s="466"/>
      <c r="L38" s="481"/>
      <c r="M38" s="497"/>
      <c r="N38" s="497"/>
    </row>
    <row r="39" spans="1:14" s="329" customFormat="1" ht="13.5" customHeight="1" x14ac:dyDescent="0.2">
      <c r="A39" s="496" t="s">
        <v>360</v>
      </c>
      <c r="B39" s="483">
        <v>730</v>
      </c>
      <c r="C39" s="466">
        <v>6056537</v>
      </c>
      <c r="D39" s="466"/>
      <c r="E39" s="466"/>
      <c r="F39" s="466"/>
      <c r="G39" s="466"/>
      <c r="H39" s="466"/>
      <c r="I39" s="466">
        <v>3978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22963612</v>
      </c>
      <c r="N40" s="497"/>
    </row>
    <row r="41" spans="1:14" ht="13.5" customHeight="1" thickBot="1" x14ac:dyDescent="0.25">
      <c r="A41" s="1758" t="s">
        <v>676</v>
      </c>
      <c r="B41" s="1728"/>
      <c r="C41" s="1710">
        <f>(SUM(C34,C37,C38,C39))</f>
        <v>6192660</v>
      </c>
      <c r="D41" s="1710">
        <f t="shared" ref="D41:L41" si="2">SUM(D34,D37,D38:D39)</f>
        <v>878199</v>
      </c>
      <c r="E41" s="1710">
        <f t="shared" si="2"/>
        <v>489030</v>
      </c>
      <c r="F41" s="1710">
        <f t="shared" si="2"/>
        <v>851389</v>
      </c>
      <c r="G41" s="1710">
        <f t="shared" si="2"/>
        <v>32131</v>
      </c>
      <c r="H41" s="1710">
        <f t="shared" si="2"/>
        <v>220945</v>
      </c>
      <c r="I41" s="1710">
        <f t="shared" si="2"/>
        <v>3978</v>
      </c>
      <c r="J41" s="1710">
        <f t="shared" si="2"/>
        <v>80065</v>
      </c>
      <c r="K41" s="1710">
        <f t="shared" si="2"/>
        <v>0</v>
      </c>
      <c r="L41" s="1710">
        <f t="shared" si="2"/>
        <v>74541</v>
      </c>
      <c r="M41" s="1710">
        <f>SUM(M40)</f>
        <v>22963612</v>
      </c>
      <c r="N41" s="1710">
        <f>SUM(N37)</f>
        <v>7706508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7" activePane="bottomLeft" state="frozenSplit"/>
      <selection activeCell="X26" sqref="X26"/>
      <selection pane="bottomLeft" activeCell="X26" sqref="X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3" t="s">
        <v>1579</v>
      </c>
      <c r="B4" s="1954">
        <v>1000</v>
      </c>
      <c r="C4" s="1764">
        <f>'Revenues 9-14'!C109</f>
        <v>14856580</v>
      </c>
      <c r="D4" s="1764">
        <f>'Revenues 9-14'!D109</f>
        <v>1700385</v>
      </c>
      <c r="E4" s="1764">
        <f>'Revenues 9-14'!E109</f>
        <v>1191857</v>
      </c>
      <c r="F4" s="1764">
        <f>'Revenues 9-14'!F109</f>
        <v>1148321</v>
      </c>
      <c r="G4" s="1764">
        <f>'Revenues 9-14'!G109</f>
        <v>591154</v>
      </c>
      <c r="H4" s="1764">
        <f>'Revenues 9-14'!H109</f>
        <v>216</v>
      </c>
      <c r="I4" s="1764">
        <f>'Revenues 9-14'!I109</f>
        <v>45</v>
      </c>
      <c r="J4" s="1764">
        <f>'Revenues 9-14'!J109</f>
        <v>208131</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2198527</v>
      </c>
      <c r="D6" s="1765">
        <f>'Revenues 9-14'!D173</f>
        <v>0</v>
      </c>
      <c r="E6" s="1765">
        <f>'Revenues 9-14'!E173</f>
        <v>0</v>
      </c>
      <c r="F6" s="1765">
        <f>'Revenues 9-14'!F173</f>
        <v>502183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1044899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18100006</v>
      </c>
      <c r="D8" s="1710">
        <f t="shared" ref="D8:K8" si="0">SUM(D4:D7)</f>
        <v>1700385</v>
      </c>
      <c r="E8" s="1710">
        <f t="shared" si="0"/>
        <v>1191857</v>
      </c>
      <c r="F8" s="1710">
        <f t="shared" si="0"/>
        <v>1650504</v>
      </c>
      <c r="G8" s="1710">
        <f t="shared" si="0"/>
        <v>591154</v>
      </c>
      <c r="H8" s="1710">
        <f t="shared" si="0"/>
        <v>216</v>
      </c>
      <c r="I8" s="1710">
        <f t="shared" si="0"/>
        <v>45</v>
      </c>
      <c r="J8" s="1710">
        <f t="shared" si="0"/>
        <v>208131</v>
      </c>
      <c r="K8" s="1710">
        <f t="shared" si="0"/>
        <v>0</v>
      </c>
      <c r="L8" s="347"/>
    </row>
    <row r="9" spans="1:13" ht="15.75" thickTop="1" x14ac:dyDescent="0.2">
      <c r="A9" s="514" t="s">
        <v>1752</v>
      </c>
      <c r="B9" s="515">
        <v>3998</v>
      </c>
      <c r="C9" s="481">
        <v>7662158</v>
      </c>
      <c r="D9" s="516"/>
      <c r="E9" s="481"/>
      <c r="F9" s="481"/>
      <c r="G9" s="517"/>
      <c r="H9" s="481"/>
      <c r="I9" s="509" t="s">
        <v>1231</v>
      </c>
      <c r="J9" s="478"/>
      <c r="K9" s="481"/>
      <c r="L9" s="347"/>
    </row>
    <row r="10" spans="1:13" s="519" customFormat="1" ht="13.5" thickBot="1" x14ac:dyDescent="0.25">
      <c r="A10" s="1758" t="s">
        <v>1235</v>
      </c>
      <c r="B10" s="1731"/>
      <c r="C10" s="1710">
        <f>SUM(C8:C9)</f>
        <v>25762164</v>
      </c>
      <c r="D10" s="1710">
        <f t="shared" ref="D10:K10" si="1">SUM(D8:D9)</f>
        <v>1700385</v>
      </c>
      <c r="E10" s="1710">
        <f t="shared" si="1"/>
        <v>1191857</v>
      </c>
      <c r="F10" s="1710">
        <f t="shared" si="1"/>
        <v>1650504</v>
      </c>
      <c r="G10" s="1710">
        <f t="shared" si="1"/>
        <v>591154</v>
      </c>
      <c r="H10" s="1710">
        <f t="shared" si="1"/>
        <v>216</v>
      </c>
      <c r="I10" s="1710">
        <f t="shared" si="1"/>
        <v>45</v>
      </c>
      <c r="J10" s="1710">
        <f t="shared" si="1"/>
        <v>208131</v>
      </c>
      <c r="K10" s="1710">
        <f t="shared" si="1"/>
        <v>0</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10946924</v>
      </c>
      <c r="D12" s="520" t="s">
        <v>1231</v>
      </c>
      <c r="E12" s="468" t="s">
        <v>1231</v>
      </c>
      <c r="F12" s="468" t="s">
        <v>1231</v>
      </c>
      <c r="G12" s="1764">
        <f>'Expenditures 15-22'!K229</f>
        <v>274720</v>
      </c>
      <c r="H12" s="521"/>
      <c r="I12" s="468" t="s">
        <v>1231</v>
      </c>
      <c r="J12" s="468" t="s">
        <v>1231</v>
      </c>
      <c r="K12" s="521" t="s">
        <v>1231</v>
      </c>
      <c r="L12" s="347"/>
    </row>
    <row r="13" spans="1:13" ht="15.75" customHeight="1" x14ac:dyDescent="0.2">
      <c r="A13" s="1598" t="s">
        <v>477</v>
      </c>
      <c r="B13" s="1600">
        <v>2000</v>
      </c>
      <c r="C13" s="1765">
        <f>'Expenditures 15-22'!K74</f>
        <v>6068891</v>
      </c>
      <c r="D13" s="1765">
        <f>'Expenditures 15-22'!K129</f>
        <v>1422763</v>
      </c>
      <c r="E13" s="469" t="s">
        <v>1231</v>
      </c>
      <c r="F13" s="1765">
        <f>'Expenditures 15-22'!K184</f>
        <v>1369930</v>
      </c>
      <c r="G13" s="1765">
        <f>'Expenditures 15-22'!K279</f>
        <v>381018</v>
      </c>
      <c r="H13" s="1765">
        <f>'Expenditures 15-22'!K303</f>
        <v>0</v>
      </c>
      <c r="I13" s="468" t="s">
        <v>1231</v>
      </c>
      <c r="J13" s="1765">
        <f>'Expenditures 15-22'!K330</f>
        <v>157702</v>
      </c>
      <c r="K13" s="1769">
        <f>'Expenditures 15-22'!K352</f>
        <v>0</v>
      </c>
      <c r="L13" s="347"/>
    </row>
    <row r="14" spans="1:13" ht="15.75" customHeight="1" x14ac:dyDescent="0.2">
      <c r="A14" s="1598" t="s">
        <v>469</v>
      </c>
      <c r="B14" s="1600">
        <v>3000</v>
      </c>
      <c r="C14" s="1765">
        <f>'Expenditures 15-22'!K75</f>
        <v>193554</v>
      </c>
      <c r="D14" s="1765">
        <f>'Expenditures 15-22'!K130</f>
        <v>0</v>
      </c>
      <c r="E14" s="520" t="s">
        <v>1231</v>
      </c>
      <c r="F14" s="1765">
        <f>'Expenditures 15-22'!K185</f>
        <v>0</v>
      </c>
      <c r="G14" s="1765">
        <f>'Expenditures 15-22'!K280</f>
        <v>14833</v>
      </c>
      <c r="H14" s="512"/>
      <c r="I14" s="468" t="s">
        <v>1231</v>
      </c>
      <c r="J14" s="468" t="s">
        <v>1231</v>
      </c>
      <c r="K14" s="512" t="s">
        <v>1231</v>
      </c>
      <c r="L14" s="347"/>
    </row>
    <row r="15" spans="1:13" ht="15.75" customHeight="1" x14ac:dyDescent="0.2">
      <c r="A15" s="1598" t="s">
        <v>109</v>
      </c>
      <c r="B15" s="1600">
        <v>4000</v>
      </c>
      <c r="C15" s="1765">
        <f>'Expenditures 15-22'!K102</f>
        <v>552440</v>
      </c>
      <c r="D15" s="1765">
        <f>'Expenditures 15-22'!K139</f>
        <v>0</v>
      </c>
      <c r="E15" s="1765">
        <f>'Expenditures 15-22'!K160</f>
        <v>0</v>
      </c>
      <c r="F15" s="1765">
        <f>'Expenditures 15-22'!K196</f>
        <v>66645</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1299393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17761809</v>
      </c>
      <c r="D17" s="1710">
        <f t="shared" si="2"/>
        <v>1422763</v>
      </c>
      <c r="E17" s="1710">
        <f t="shared" si="2"/>
        <v>1299393</v>
      </c>
      <c r="F17" s="1710">
        <f t="shared" si="2"/>
        <v>1436575</v>
      </c>
      <c r="G17" s="1710">
        <f t="shared" si="2"/>
        <v>670571</v>
      </c>
      <c r="H17" s="1710">
        <f t="shared" si="2"/>
        <v>0</v>
      </c>
      <c r="I17" s="468"/>
      <c r="J17" s="1710">
        <f>SUM(J12:J16)</f>
        <v>157702</v>
      </c>
      <c r="K17" s="1710">
        <f>SUM(K12:K16)</f>
        <v>0</v>
      </c>
      <c r="L17" s="347"/>
    </row>
    <row r="18" spans="1:12" ht="15" customHeight="1" thickTop="1" x14ac:dyDescent="0.2">
      <c r="A18" s="1766" t="s">
        <v>1753</v>
      </c>
      <c r="B18" s="1767">
        <v>4180</v>
      </c>
      <c r="C18" s="1764">
        <f t="shared" ref="C18:H18" si="3">C9</f>
        <v>7662158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25423967</v>
      </c>
      <c r="D19" s="1710">
        <f t="shared" si="4"/>
        <v>1422763</v>
      </c>
      <c r="E19" s="1710">
        <f t="shared" si="4"/>
        <v>1299393</v>
      </c>
      <c r="F19" s="1710">
        <f t="shared" si="4"/>
        <v>1436575</v>
      </c>
      <c r="G19" s="1710">
        <f t="shared" si="4"/>
        <v>670571</v>
      </c>
      <c r="H19" s="1710">
        <f t="shared" si="4"/>
        <v>0</v>
      </c>
      <c r="I19" s="468"/>
      <c r="J19" s="1710">
        <f>SUM(J17:J18)</f>
        <v>157702</v>
      </c>
      <c r="K19" s="1710">
        <f>SUM(K17:K18)</f>
        <v>0</v>
      </c>
      <c r="L19" s="347"/>
    </row>
    <row r="20" spans="1:12" ht="16.5" thickTop="1" thickBot="1" x14ac:dyDescent="0.25">
      <c r="A20" s="2149" t="s">
        <v>1754</v>
      </c>
      <c r="B20" s="2150"/>
      <c r="C20" s="1768">
        <f>C8-C17</f>
        <v>338197</v>
      </c>
      <c r="D20" s="1768">
        <f t="shared" ref="D20:K20" si="5">D8-D17</f>
        <v>277622</v>
      </c>
      <c r="E20" s="1768">
        <f t="shared" si="5"/>
        <v>-107536</v>
      </c>
      <c r="F20" s="1768">
        <f t="shared" si="5"/>
        <v>213929</v>
      </c>
      <c r="G20" s="1768">
        <f t="shared" si="5"/>
        <v>-79417</v>
      </c>
      <c r="H20" s="1768">
        <f t="shared" si="5"/>
        <v>216</v>
      </c>
      <c r="I20" s="1768">
        <f t="shared" si="5"/>
        <v>45</v>
      </c>
      <c r="J20" s="1768">
        <f t="shared" si="5"/>
        <v>50429</v>
      </c>
      <c r="K20" s="1768">
        <f t="shared" si="5"/>
        <v>0</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132437</v>
      </c>
      <c r="F37" s="475"/>
      <c r="G37" s="475"/>
      <c r="H37" s="475"/>
      <c r="I37" s="477"/>
      <c r="J37" s="475"/>
      <c r="K37" s="475"/>
      <c r="L37" s="524"/>
    </row>
    <row r="38" spans="1:12" s="485" customFormat="1" x14ac:dyDescent="0.2">
      <c r="A38" s="1511" t="s">
        <v>462</v>
      </c>
      <c r="B38" s="525">
        <v>7500</v>
      </c>
      <c r="C38" s="477"/>
      <c r="D38" s="477"/>
      <c r="E38" s="1765">
        <f>SUM(C58:D61,H58:H61)</f>
        <v>8594</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215000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19498</v>
      </c>
      <c r="D43" s="467"/>
      <c r="E43" s="467"/>
      <c r="F43" s="467"/>
      <c r="G43" s="467"/>
      <c r="H43" s="467"/>
      <c r="I43" s="467"/>
      <c r="J43" s="467"/>
      <c r="K43" s="467"/>
      <c r="L43" s="524"/>
    </row>
    <row r="44" spans="1:12" s="485" customFormat="1" ht="13.5" customHeight="1" thickBot="1" x14ac:dyDescent="0.25">
      <c r="A44" s="2163" t="s">
        <v>392</v>
      </c>
      <c r="B44" s="2164"/>
      <c r="C44" s="1725">
        <f>SUM(C24:C43)</f>
        <v>19498</v>
      </c>
      <c r="D44" s="1725">
        <f t="shared" ref="D44:K44" si="6">SUM(D24:D43)</f>
        <v>0</v>
      </c>
      <c r="E44" s="1725">
        <f t="shared" si="6"/>
        <v>141031</v>
      </c>
      <c r="F44" s="1725">
        <f t="shared" si="6"/>
        <v>0</v>
      </c>
      <c r="G44" s="1725">
        <f t="shared" si="6"/>
        <v>0</v>
      </c>
      <c r="H44" s="1725">
        <f t="shared" si="6"/>
        <v>215000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132437</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8594</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v>150000</v>
      </c>
      <c r="D72" s="531">
        <v>65000</v>
      </c>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5">
        <f t="shared" ref="C76:K76" si="7">SUM(C47:C75)</f>
        <v>291031</v>
      </c>
      <c r="D76" s="1725">
        <f t="shared" si="7"/>
        <v>65000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1" t="s">
        <v>1239</v>
      </c>
      <c r="B77" s="2142"/>
      <c r="C77" s="1725">
        <f t="shared" ref="C77:K77" si="8">C44-C76</f>
        <v>-271533</v>
      </c>
      <c r="D77" s="1725">
        <f t="shared" si="8"/>
        <v>-65000</v>
      </c>
      <c r="E77" s="1725">
        <f t="shared" si="8"/>
        <v>141031</v>
      </c>
      <c r="F77" s="1725">
        <f t="shared" si="8"/>
        <v>0</v>
      </c>
      <c r="G77" s="1725">
        <f t="shared" si="8"/>
        <v>0</v>
      </c>
      <c r="H77" s="1725">
        <f t="shared" si="8"/>
        <v>215000</v>
      </c>
      <c r="I77" s="1725">
        <f t="shared" si="8"/>
        <v>0</v>
      </c>
      <c r="J77" s="1725">
        <f t="shared" si="8"/>
        <v>0</v>
      </c>
      <c r="K77" s="1725">
        <f t="shared" si="8"/>
        <v>0</v>
      </c>
      <c r="L77" s="347"/>
    </row>
    <row r="78" spans="1:12" ht="21.75" customHeight="1" thickTop="1" thickBot="1" x14ac:dyDescent="0.25">
      <c r="A78" s="2145" t="s">
        <v>618</v>
      </c>
      <c r="B78" s="2146"/>
      <c r="C78" s="1724">
        <f t="shared" ref="C78:K78" si="9">C20+C77</f>
        <v>66664</v>
      </c>
      <c r="D78" s="1724">
        <f t="shared" si="9"/>
        <v>212622</v>
      </c>
      <c r="E78" s="1724">
        <f t="shared" si="9"/>
        <v>33495</v>
      </c>
      <c r="F78" s="1724">
        <f t="shared" si="9"/>
        <v>213929</v>
      </c>
      <c r="G78" s="1724">
        <f t="shared" si="9"/>
        <v>-79417</v>
      </c>
      <c r="H78" s="1724">
        <f t="shared" si="9"/>
        <v>215216</v>
      </c>
      <c r="I78" s="1724">
        <f t="shared" si="9"/>
        <v>45</v>
      </c>
      <c r="J78" s="1724">
        <f t="shared" si="9"/>
        <v>50429</v>
      </c>
      <c r="K78" s="1724">
        <f t="shared" si="9"/>
        <v>0</v>
      </c>
      <c r="L78" s="533"/>
    </row>
    <row r="79" spans="1:12" ht="13.5" thickTop="1" x14ac:dyDescent="0.2">
      <c r="A79" s="1516" t="s">
        <v>2071</v>
      </c>
      <c r="B79" s="534"/>
      <c r="C79" s="478">
        <v>5989873</v>
      </c>
      <c r="D79" s="535">
        <v>668450</v>
      </c>
      <c r="E79" s="535">
        <v>455535</v>
      </c>
      <c r="F79" s="535">
        <v>637424</v>
      </c>
      <c r="G79" s="535">
        <v>111548</v>
      </c>
      <c r="H79" s="535">
        <v>5729</v>
      </c>
      <c r="I79" s="535">
        <v>3933</v>
      </c>
      <c r="J79" s="535">
        <v>29636</v>
      </c>
      <c r="K79" s="535"/>
      <c r="L79" s="347"/>
    </row>
    <row r="80" spans="1:12" x14ac:dyDescent="0.2">
      <c r="A80" s="2151" t="s">
        <v>1896</v>
      </c>
      <c r="B80" s="2152"/>
      <c r="C80" s="467"/>
      <c r="D80" s="467"/>
      <c r="E80" s="467"/>
      <c r="F80" s="467"/>
      <c r="G80" s="467"/>
      <c r="H80" s="467"/>
      <c r="I80" s="467"/>
      <c r="J80" s="467"/>
      <c r="K80" s="467"/>
      <c r="L80" s="347"/>
    </row>
    <row r="81" spans="1:12" ht="13.5" thickBot="1" x14ac:dyDescent="0.25">
      <c r="A81" s="2143" t="s">
        <v>2072</v>
      </c>
      <c r="B81" s="2144"/>
      <c r="C81" s="1710">
        <f>(SUM(C78:C80))</f>
        <v>6056537</v>
      </c>
      <c r="D81" s="1710">
        <f>SUM(D78:D80)</f>
        <v>881072</v>
      </c>
      <c r="E81" s="1710">
        <f t="shared" ref="E81:K81" si="10">SUM(E78:E80)</f>
        <v>489030</v>
      </c>
      <c r="F81" s="1710">
        <f t="shared" si="10"/>
        <v>851353</v>
      </c>
      <c r="G81" s="1710">
        <f t="shared" si="10"/>
        <v>32131</v>
      </c>
      <c r="H81" s="1710">
        <f t="shared" si="10"/>
        <v>220945</v>
      </c>
      <c r="I81" s="1710">
        <f t="shared" si="10"/>
        <v>3978</v>
      </c>
      <c r="J81" s="1710">
        <f t="shared" si="10"/>
        <v>80065</v>
      </c>
      <c r="K81" s="1710">
        <f t="shared" si="10"/>
        <v>0</v>
      </c>
      <c r="L81" s="347"/>
    </row>
    <row r="82" spans="1:12" ht="0.75" customHeight="1" thickTop="1" thickBot="1" x14ac:dyDescent="0.25">
      <c r="A82" s="536" t="s">
        <v>361</v>
      </c>
      <c r="B82" s="537"/>
      <c r="C82" s="538">
        <f>(C81-C79)</f>
        <v>66664</v>
      </c>
      <c r="D82" s="538">
        <f t="shared" ref="D82:K82" si="11">(D81-D79)</f>
        <v>212622</v>
      </c>
      <c r="E82" s="538">
        <f t="shared" si="11"/>
        <v>33495</v>
      </c>
      <c r="F82" s="538">
        <f t="shared" si="11"/>
        <v>213929</v>
      </c>
      <c r="G82" s="538">
        <f t="shared" si="11"/>
        <v>-79417</v>
      </c>
      <c r="H82" s="538">
        <f t="shared" si="11"/>
        <v>215216</v>
      </c>
      <c r="I82" s="538">
        <f t="shared" si="11"/>
        <v>45</v>
      </c>
      <c r="J82" s="538">
        <f t="shared" si="11"/>
        <v>50429</v>
      </c>
      <c r="K82" s="538">
        <f t="shared" si="11"/>
        <v>0</v>
      </c>
    </row>
    <row r="83" spans="1:12" ht="14.25" hidden="1" thickTop="1" thickBot="1" x14ac:dyDescent="0.25">
      <c r="A83" s="539" t="s">
        <v>362</v>
      </c>
      <c r="B83" s="464"/>
      <c r="C83" s="540">
        <f>C82/C81</f>
        <v>1.1006950011202771E-2</v>
      </c>
      <c r="D83" s="540">
        <f t="shared" ref="D83:K83" si="12">D82/D81</f>
        <v>0.24132193509724517</v>
      </c>
      <c r="E83" s="540">
        <f t="shared" si="12"/>
        <v>6.8492730507330832E-2</v>
      </c>
      <c r="F83" s="540">
        <f t="shared" si="12"/>
        <v>0.25128119593165232</v>
      </c>
      <c r="G83" s="540">
        <f t="shared" si="12"/>
        <v>-2.4716628800846534</v>
      </c>
      <c r="H83" s="540">
        <f t="shared" si="12"/>
        <v>0.97407047002647718</v>
      </c>
      <c r="I83" s="540">
        <f t="shared" si="12"/>
        <v>1.1312217194570135E-2</v>
      </c>
      <c r="J83" s="540">
        <f t="shared" si="12"/>
        <v>0.62985074626865667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1903</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13933498</v>
      </c>
      <c r="D5" s="481">
        <v>1558141</v>
      </c>
      <c r="E5" s="466">
        <v>1187985</v>
      </c>
      <c r="F5" s="548">
        <v>1120551</v>
      </c>
      <c r="G5" s="466">
        <v>293747</v>
      </c>
      <c r="H5" s="466"/>
      <c r="I5" s="466"/>
      <c r="J5" s="467">
        <v>204635</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293747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13933498</v>
      </c>
      <c r="D12" s="1729">
        <f t="shared" si="0"/>
        <v>1558141</v>
      </c>
      <c r="E12" s="1729">
        <f t="shared" si="0"/>
        <v>1187985</v>
      </c>
      <c r="F12" s="1729">
        <f t="shared" si="0"/>
        <v>1120551</v>
      </c>
      <c r="G12" s="1729">
        <f t="shared" si="0"/>
        <v>587494</v>
      </c>
      <c r="H12" s="1729">
        <f t="shared" si="0"/>
        <v>0</v>
      </c>
      <c r="I12" s="1729">
        <f t="shared" si="0"/>
        <v>0</v>
      </c>
      <c r="J12" s="1729">
        <f t="shared" si="0"/>
        <v>204635</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68653</v>
      </c>
      <c r="D16" s="466"/>
      <c r="E16" s="466"/>
      <c r="F16" s="466"/>
      <c r="G16" s="466">
        <v>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68653</v>
      </c>
      <c r="D18" s="1732">
        <f t="shared" ref="D18:K18" si="1">SUM(D14:D17)</f>
        <v>0</v>
      </c>
      <c r="E18" s="1732">
        <f t="shared" si="1"/>
        <v>0</v>
      </c>
      <c r="F18" s="1732">
        <f t="shared" si="1"/>
        <v>0</v>
      </c>
      <c r="G18" s="1732">
        <f t="shared" si="1"/>
        <v>1000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2400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2400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110838</v>
      </c>
      <c r="D65" s="466">
        <v>9243</v>
      </c>
      <c r="E65" s="466">
        <v>3872</v>
      </c>
      <c r="F65" s="467">
        <v>9770</v>
      </c>
      <c r="G65" s="466">
        <v>2660</v>
      </c>
      <c r="H65" s="466">
        <v>216</v>
      </c>
      <c r="I65" s="466">
        <v>45</v>
      </c>
      <c r="J65" s="467">
        <v>255</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110838</v>
      </c>
      <c r="D67" s="1710">
        <f t="shared" ref="D67:K67" si="2">SUM(D65:D66)</f>
        <v>9243</v>
      </c>
      <c r="E67" s="1710">
        <f t="shared" si="2"/>
        <v>3872</v>
      </c>
      <c r="F67" s="1710">
        <f t="shared" si="2"/>
        <v>9770</v>
      </c>
      <c r="G67" s="1710">
        <f t="shared" si="2"/>
        <v>2660</v>
      </c>
      <c r="H67" s="1710">
        <f t="shared" si="2"/>
        <v>216</v>
      </c>
      <c r="I67" s="1710">
        <f t="shared" si="2"/>
        <v>45</v>
      </c>
      <c r="J67" s="1710">
        <f t="shared" si="2"/>
        <v>255</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177998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177998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28273</v>
      </c>
      <c r="D79" s="466"/>
      <c r="E79" s="468"/>
      <c r="F79" s="468"/>
      <c r="G79" s="468"/>
      <c r="H79" s="468"/>
      <c r="I79" s="468"/>
      <c r="J79" s="468"/>
      <c r="K79" s="468"/>
    </row>
    <row r="80" spans="1:11" ht="12.75" customHeight="1" x14ac:dyDescent="0.2">
      <c r="A80" s="463" t="s">
        <v>572</v>
      </c>
      <c r="B80" s="470">
        <v>1730</v>
      </c>
      <c r="C80" s="551">
        <v>7784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36057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78972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78972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111872</v>
      </c>
      <c r="E95" s="521"/>
      <c r="F95" s="521"/>
      <c r="G95" s="521"/>
      <c r="H95" s="521"/>
      <c r="I95" s="521"/>
      <c r="J95" s="521"/>
      <c r="K95" s="521"/>
    </row>
    <row r="96" spans="1:11" ht="12.75" customHeight="1" x14ac:dyDescent="0.2">
      <c r="A96" s="463" t="s">
        <v>409</v>
      </c>
      <c r="B96" s="470">
        <v>1920</v>
      </c>
      <c r="C96" s="551"/>
      <c r="D96" s="551">
        <v>3525</v>
      </c>
      <c r="E96" s="479"/>
      <c r="F96" s="478"/>
      <c r="G96" s="478"/>
      <c r="H96" s="478"/>
      <c r="I96" s="478"/>
      <c r="J96" s="478"/>
      <c r="K96" s="478"/>
    </row>
    <row r="97" spans="1:12" ht="12.75" customHeight="1" x14ac:dyDescent="0.2">
      <c r="A97" s="1517" t="s">
        <v>262</v>
      </c>
      <c r="B97" s="559">
        <v>1930</v>
      </c>
      <c r="C97" s="489">
        <v>1600</v>
      </c>
      <c r="D97" s="467">
        <v>15776</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88505</v>
      </c>
      <c r="D99" s="466">
        <v>87</v>
      </c>
      <c r="E99" s="466"/>
      <c r="F99" s="466"/>
      <c r="G99" s="466"/>
      <c r="H99" s="466"/>
      <c r="I99" s="468"/>
      <c r="J99" s="467">
        <v>3241</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266276</v>
      </c>
      <c r="D106" s="489"/>
      <c r="E106" s="467"/>
      <c r="F106" s="467"/>
      <c r="G106" s="467"/>
      <c r="H106" s="467"/>
      <c r="I106" s="521"/>
      <c r="J106" s="467"/>
      <c r="K106" s="467"/>
    </row>
    <row r="107" spans="1:12" ht="12.75" customHeight="1" x14ac:dyDescent="0.2">
      <c r="A107" s="463" t="s">
        <v>80</v>
      </c>
      <c r="B107" s="470">
        <v>1999</v>
      </c>
      <c r="C107" s="551">
        <v>91783</v>
      </c>
      <c r="D107" s="466">
        <v>1741</v>
      </c>
      <c r="E107" s="466"/>
      <c r="F107" s="466">
        <v>18000</v>
      </c>
      <c r="G107" s="466"/>
      <c r="H107" s="466"/>
      <c r="I107" s="466"/>
      <c r="J107" s="467"/>
      <c r="K107" s="466"/>
    </row>
    <row r="108" spans="1:12" ht="12.75" customHeight="1" thickBot="1" x14ac:dyDescent="0.25">
      <c r="A108" s="1730" t="s">
        <v>508</v>
      </c>
      <c r="B108" s="1734"/>
      <c r="C108" s="1729">
        <f>SUM(C95:C107)</f>
        <v>448164</v>
      </c>
      <c r="D108" s="1729">
        <f t="shared" ref="D108:K108" si="3">SUM(D95:D107)</f>
        <v>133001</v>
      </c>
      <c r="E108" s="1729">
        <f t="shared" si="3"/>
        <v>0</v>
      </c>
      <c r="F108" s="1729">
        <f t="shared" si="3"/>
        <v>18000</v>
      </c>
      <c r="G108" s="1729">
        <f t="shared" si="3"/>
        <v>0</v>
      </c>
      <c r="H108" s="1729">
        <f t="shared" si="3"/>
        <v>0</v>
      </c>
      <c r="I108" s="1729">
        <f t="shared" si="3"/>
        <v>0</v>
      </c>
      <c r="J108" s="1729">
        <f t="shared" si="3"/>
        <v>3241</v>
      </c>
      <c r="K108" s="1710">
        <f t="shared" si="3"/>
        <v>0</v>
      </c>
    </row>
    <row r="109" spans="1:12" ht="14.25" thickTop="1" thickBot="1" x14ac:dyDescent="0.25">
      <c r="A109" s="1735" t="s">
        <v>266</v>
      </c>
      <c r="B109" s="1736" t="s">
        <v>591</v>
      </c>
      <c r="C109" s="1737">
        <f t="shared" ref="C109:K109" si="4">SUM(C12,C18,C40,C63,C67,C75,C82,C93,C108,)</f>
        <v>14856580</v>
      </c>
      <c r="D109" s="1737">
        <f t="shared" si="4"/>
        <v>1700385</v>
      </c>
      <c r="E109" s="1737">
        <f t="shared" si="4"/>
        <v>1191857</v>
      </c>
      <c r="F109" s="1737">
        <f t="shared" si="4"/>
        <v>1148321</v>
      </c>
      <c r="G109" s="1737">
        <f t="shared" si="4"/>
        <v>591154</v>
      </c>
      <c r="H109" s="1737">
        <f t="shared" si="4"/>
        <v>216</v>
      </c>
      <c r="I109" s="1737">
        <f t="shared" si="4"/>
        <v>45</v>
      </c>
      <c r="J109" s="1737">
        <f t="shared" si="4"/>
        <v>208131</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1712590</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1712590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10471</v>
      </c>
      <c r="D124" s="561"/>
      <c r="E124" s="468"/>
      <c r="F124" s="548"/>
      <c r="G124" s="468"/>
      <c r="H124" s="468"/>
      <c r="I124" s="468"/>
      <c r="J124" s="468"/>
      <c r="K124" s="468"/>
    </row>
    <row r="125" spans="1:11" ht="12.75" customHeight="1" x14ac:dyDescent="0.2">
      <c r="A125" s="463" t="s">
        <v>1521</v>
      </c>
      <c r="B125" s="562">
        <v>3105</v>
      </c>
      <c r="C125" s="466">
        <v>100183</v>
      </c>
      <c r="D125" s="561"/>
      <c r="E125" s="468"/>
      <c r="F125" s="466"/>
      <c r="G125" s="468"/>
      <c r="H125" s="468"/>
      <c r="I125" s="468"/>
      <c r="J125" s="468"/>
      <c r="K125" s="468"/>
    </row>
    <row r="126" spans="1:11" ht="12.75" customHeight="1" x14ac:dyDescent="0.2">
      <c r="A126" s="463" t="s">
        <v>922</v>
      </c>
      <c r="B126" s="562">
        <v>3110</v>
      </c>
      <c r="C126" s="551">
        <v>197289</v>
      </c>
      <c r="D126" s="466"/>
      <c r="E126" s="468"/>
      <c r="F126" s="466"/>
      <c r="G126" s="468"/>
      <c r="H126" s="468"/>
      <c r="I126" s="468"/>
      <c r="J126" s="468"/>
      <c r="K126" s="468"/>
    </row>
    <row r="127" spans="1:11" ht="12.75" customHeight="1" x14ac:dyDescent="0.2">
      <c r="A127" s="463" t="s">
        <v>107</v>
      </c>
      <c r="B127" s="562">
        <v>3120</v>
      </c>
      <c r="C127" s="466">
        <v>40681</v>
      </c>
      <c r="D127" s="561"/>
      <c r="E127" s="468"/>
      <c r="F127" s="466"/>
      <c r="G127" s="468"/>
      <c r="H127" s="468"/>
      <c r="I127" s="468"/>
      <c r="J127" s="468"/>
      <c r="K127" s="468"/>
    </row>
    <row r="128" spans="1:11" ht="12.75" customHeight="1" x14ac:dyDescent="0.2">
      <c r="A128" s="463" t="s">
        <v>1522</v>
      </c>
      <c r="B128" s="562">
        <v>3130</v>
      </c>
      <c r="C128" s="466">
        <v>2380</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351004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129057</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129057</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276966</v>
      </c>
      <c r="G151" s="467"/>
      <c r="H151" s="468"/>
      <c r="I151" s="468"/>
      <c r="J151" s="468"/>
      <c r="K151" s="468"/>
    </row>
    <row r="152" spans="1:11" ht="12.75" customHeight="1" x14ac:dyDescent="0.2">
      <c r="A152" s="463" t="s">
        <v>1117</v>
      </c>
      <c r="B152" s="562">
        <v>3510</v>
      </c>
      <c r="C152" s="551"/>
      <c r="D152" s="466"/>
      <c r="E152" s="561"/>
      <c r="F152" s="466">
        <v>225217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502183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3252</v>
      </c>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485937</v>
      </c>
      <c r="D172" s="1744">
        <f t="shared" si="6"/>
        <v>0</v>
      </c>
      <c r="E172" s="1744">
        <f t="shared" si="6"/>
        <v>0</v>
      </c>
      <c r="F172" s="1744">
        <f t="shared" si="6"/>
        <v>502183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2198527</v>
      </c>
      <c r="D173" s="1737">
        <f>SUM(D121,D172)</f>
        <v>0</v>
      </c>
      <c r="E173" s="1737">
        <f>SUM(E121,E172)</f>
        <v>0</v>
      </c>
      <c r="F173" s="1737">
        <f t="shared" ref="F173:K173" si="7">SUM(F121,F172)</f>
        <v>502183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1904</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191703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22541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15</v>
      </c>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214259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192082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192082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29028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490119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519147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42057</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15877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61477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1044899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1044899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18100006</v>
      </c>
      <c r="D275" s="1737">
        <f t="shared" si="12"/>
        <v>1700385</v>
      </c>
      <c r="E275" s="1737">
        <f t="shared" si="12"/>
        <v>1191857</v>
      </c>
      <c r="F275" s="1737">
        <f t="shared" si="12"/>
        <v>1650504</v>
      </c>
      <c r="G275" s="1737">
        <f t="shared" si="12"/>
        <v>591154</v>
      </c>
      <c r="H275" s="1737">
        <f t="shared" si="12"/>
        <v>216</v>
      </c>
      <c r="I275" s="1737">
        <f t="shared" si="12"/>
        <v>45</v>
      </c>
      <c r="J275" s="1737">
        <f t="shared" si="12"/>
        <v>208131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3" activePane="bottomLeft" state="frozen"/>
      <selection activeCell="A47" sqref="A47"/>
      <selection pane="bottomLeft" activeCell="H62" sqref="H6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5825570</v>
      </c>
      <c r="D5" s="466">
        <v>1077968</v>
      </c>
      <c r="E5" s="466">
        <v>35260</v>
      </c>
      <c r="F5" s="466">
        <v>240025</v>
      </c>
      <c r="G5" s="466">
        <v>46692</v>
      </c>
      <c r="H5" s="466">
        <v>3188</v>
      </c>
      <c r="I5" s="467"/>
      <c r="J5" s="467"/>
      <c r="K5" s="1693">
        <f>SUM(C5:J5)</f>
        <v>7228703</v>
      </c>
      <c r="L5" s="466">
        <v>7278135</v>
      </c>
    </row>
    <row r="6" spans="1:14" x14ac:dyDescent="0.2">
      <c r="A6" s="1526" t="s">
        <v>1508</v>
      </c>
      <c r="B6" s="615" t="s">
        <v>1506</v>
      </c>
      <c r="C6" s="477"/>
      <c r="D6" s="477"/>
      <c r="E6" s="466"/>
      <c r="F6" s="477"/>
      <c r="G6" s="477"/>
      <c r="H6" s="477"/>
      <c r="I6" s="477"/>
      <c r="J6" s="477"/>
      <c r="K6" s="1693">
        <f>SUM(C6,E6)</f>
        <v>0</v>
      </c>
      <c r="L6" s="466">
        <v>16030</v>
      </c>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1812825</v>
      </c>
      <c r="D8" s="466">
        <v>539040</v>
      </c>
      <c r="E8" s="466">
        <v>27540</v>
      </c>
      <c r="F8" s="466">
        <v>15630</v>
      </c>
      <c r="G8" s="466">
        <v>10703</v>
      </c>
      <c r="H8" s="466">
        <v>360</v>
      </c>
      <c r="I8" s="467"/>
      <c r="J8" s="467"/>
      <c r="K8" s="1693">
        <f t="shared" si="0"/>
        <v>2406098</v>
      </c>
      <c r="L8" s="466">
        <v>2487945</v>
      </c>
    </row>
    <row r="9" spans="1:14" x14ac:dyDescent="0.2">
      <c r="A9" s="1526" t="s">
        <v>745</v>
      </c>
      <c r="B9" s="615" t="s">
        <v>1025</v>
      </c>
      <c r="C9" s="467">
        <v>168410</v>
      </c>
      <c r="D9" s="467">
        <v>41507</v>
      </c>
      <c r="E9" s="467"/>
      <c r="F9" s="467">
        <v>9306</v>
      </c>
      <c r="G9" s="467"/>
      <c r="H9" s="467"/>
      <c r="I9" s="467"/>
      <c r="J9" s="467"/>
      <c r="K9" s="1693">
        <f t="shared" si="0"/>
        <v>219223</v>
      </c>
      <c r="L9" s="466">
        <v>222748</v>
      </c>
    </row>
    <row r="10" spans="1:14" x14ac:dyDescent="0.2">
      <c r="A10" s="1526" t="s">
        <v>746</v>
      </c>
      <c r="B10" s="615">
        <v>1250</v>
      </c>
      <c r="C10" s="466">
        <v>81619</v>
      </c>
      <c r="D10" s="466">
        <v>491</v>
      </c>
      <c r="E10" s="466">
        <v>26363</v>
      </c>
      <c r="F10" s="466"/>
      <c r="G10" s="466"/>
      <c r="H10" s="466"/>
      <c r="I10" s="467"/>
      <c r="J10" s="467"/>
      <c r="K10" s="1693">
        <f t="shared" si="0"/>
        <v>108473</v>
      </c>
      <c r="L10" s="466">
        <v>110529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93159</v>
      </c>
      <c r="D13" s="466">
        <v>17833</v>
      </c>
      <c r="E13" s="466"/>
      <c r="F13" s="466">
        <v>7425</v>
      </c>
      <c r="G13" s="466"/>
      <c r="H13" s="466"/>
      <c r="I13" s="467"/>
      <c r="J13" s="467"/>
      <c r="K13" s="1693">
        <f t="shared" si="0"/>
        <v>118417</v>
      </c>
      <c r="L13" s="466">
        <v>124157</v>
      </c>
    </row>
    <row r="14" spans="1:14" x14ac:dyDescent="0.2">
      <c r="A14" s="1526" t="s">
        <v>1020</v>
      </c>
      <c r="B14" s="615">
        <v>1500</v>
      </c>
      <c r="C14" s="466">
        <v>135677</v>
      </c>
      <c r="D14" s="466"/>
      <c r="E14" s="466">
        <v>6667</v>
      </c>
      <c r="F14" s="466">
        <v>900</v>
      </c>
      <c r="G14" s="466"/>
      <c r="H14" s="466">
        <v>2010</v>
      </c>
      <c r="I14" s="467"/>
      <c r="J14" s="467"/>
      <c r="K14" s="1693">
        <f t="shared" si="0"/>
        <v>145254</v>
      </c>
      <c r="L14" s="466">
        <v>146329</v>
      </c>
    </row>
    <row r="15" spans="1:14" x14ac:dyDescent="0.2">
      <c r="A15" s="1526" t="s">
        <v>1021</v>
      </c>
      <c r="B15" s="615">
        <v>1600</v>
      </c>
      <c r="C15" s="466">
        <v>76279</v>
      </c>
      <c r="D15" s="466"/>
      <c r="E15" s="466">
        <v>2700</v>
      </c>
      <c r="F15" s="466">
        <v>1086</v>
      </c>
      <c r="G15" s="466"/>
      <c r="H15" s="466"/>
      <c r="I15" s="467"/>
      <c r="J15" s="467"/>
      <c r="K15" s="1693">
        <f t="shared" si="0"/>
        <v>80065</v>
      </c>
      <c r="L15" s="466">
        <v>83939</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542144</v>
      </c>
      <c r="D18" s="466">
        <v>88057</v>
      </c>
      <c r="E18" s="466">
        <v>1823</v>
      </c>
      <c r="F18" s="466">
        <v>8667</v>
      </c>
      <c r="G18" s="466"/>
      <c r="H18" s="466"/>
      <c r="I18" s="467"/>
      <c r="J18" s="467"/>
      <c r="K18" s="1693">
        <f t="shared" si="0"/>
        <v>640691</v>
      </c>
      <c r="L18" s="466">
        <v>668394</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8735683</v>
      </c>
      <c r="D33" s="1692">
        <f t="shared" ref="D33:L33" si="1">SUM(D5:D32)</f>
        <v>1764896</v>
      </c>
      <c r="E33" s="1692">
        <f t="shared" si="1"/>
        <v>100353</v>
      </c>
      <c r="F33" s="1692">
        <f t="shared" si="1"/>
        <v>283039</v>
      </c>
      <c r="G33" s="1692">
        <f t="shared" si="1"/>
        <v>57395</v>
      </c>
      <c r="H33" s="1692">
        <f t="shared" si="1"/>
        <v>5558</v>
      </c>
      <c r="I33" s="1692">
        <f t="shared" si="1"/>
        <v>0</v>
      </c>
      <c r="J33" s="1692">
        <f t="shared" si="1"/>
        <v>0</v>
      </c>
      <c r="K33" s="1692">
        <f t="shared" si="1"/>
        <v>10946924</v>
      </c>
      <c r="L33" s="1692">
        <f t="shared" si="1"/>
        <v>11138206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296589</v>
      </c>
      <c r="D36" s="481">
        <v>46182</v>
      </c>
      <c r="E36" s="481">
        <v>15846</v>
      </c>
      <c r="F36" s="481">
        <v>1425</v>
      </c>
      <c r="G36" s="481"/>
      <c r="H36" s="481"/>
      <c r="I36" s="467"/>
      <c r="J36" s="467"/>
      <c r="K36" s="1693">
        <f t="shared" ref="K36:K41" si="2">SUM(C36:J36)</f>
        <v>360042</v>
      </c>
      <c r="L36" s="466">
        <v>362426</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409970</v>
      </c>
      <c r="D38" s="466">
        <v>114555</v>
      </c>
      <c r="E38" s="466">
        <v>48644</v>
      </c>
      <c r="F38" s="466">
        <v>5585</v>
      </c>
      <c r="G38" s="466">
        <v>2096</v>
      </c>
      <c r="H38" s="466">
        <v>100</v>
      </c>
      <c r="I38" s="467"/>
      <c r="J38" s="467"/>
      <c r="K38" s="1693">
        <f t="shared" si="2"/>
        <v>580950</v>
      </c>
      <c r="L38" s="466">
        <v>601602</v>
      </c>
    </row>
    <row r="39" spans="1:14" x14ac:dyDescent="0.2">
      <c r="A39" s="1526" t="s">
        <v>208</v>
      </c>
      <c r="B39" s="615">
        <v>2140</v>
      </c>
      <c r="C39" s="466">
        <v>242398</v>
      </c>
      <c r="D39" s="466">
        <v>40201</v>
      </c>
      <c r="E39" s="466">
        <v>1047</v>
      </c>
      <c r="F39" s="466">
        <v>330</v>
      </c>
      <c r="G39" s="466"/>
      <c r="H39" s="466">
        <v>375</v>
      </c>
      <c r="I39" s="467"/>
      <c r="J39" s="467"/>
      <c r="K39" s="1693">
        <f t="shared" si="2"/>
        <v>284351</v>
      </c>
      <c r="L39" s="466">
        <v>287936</v>
      </c>
    </row>
    <row r="40" spans="1:14" x14ac:dyDescent="0.2">
      <c r="A40" s="1526" t="s">
        <v>209</v>
      </c>
      <c r="B40" s="615">
        <v>2150</v>
      </c>
      <c r="C40" s="466">
        <v>408022</v>
      </c>
      <c r="D40" s="466">
        <v>52301</v>
      </c>
      <c r="E40" s="466">
        <v>1694</v>
      </c>
      <c r="F40" s="466">
        <v>12550</v>
      </c>
      <c r="G40" s="466"/>
      <c r="H40" s="466">
        <v>200</v>
      </c>
      <c r="I40" s="467"/>
      <c r="J40" s="467"/>
      <c r="K40" s="1693">
        <f t="shared" si="2"/>
        <v>474767</v>
      </c>
      <c r="L40" s="466">
        <v>514440</v>
      </c>
    </row>
    <row r="41" spans="1:14" x14ac:dyDescent="0.2">
      <c r="A41" s="1526" t="s">
        <v>1768</v>
      </c>
      <c r="B41" s="615">
        <v>2190</v>
      </c>
      <c r="C41" s="466"/>
      <c r="D41" s="466"/>
      <c r="E41" s="466">
        <v>51596</v>
      </c>
      <c r="F41" s="466"/>
      <c r="G41" s="466"/>
      <c r="H41" s="466"/>
      <c r="I41" s="467"/>
      <c r="J41" s="467"/>
      <c r="K41" s="1693">
        <f t="shared" si="2"/>
        <v>51596</v>
      </c>
      <c r="L41" s="466">
        <v>44500</v>
      </c>
    </row>
    <row r="42" spans="1:14" ht="12.75" customHeight="1" thickBot="1" x14ac:dyDescent="0.25">
      <c r="A42" s="1690" t="s">
        <v>581</v>
      </c>
      <c r="B42" s="1691" t="s">
        <v>740</v>
      </c>
      <c r="C42" s="1692">
        <f>SUM(C36:C41)</f>
        <v>1356979</v>
      </c>
      <c r="D42" s="1692">
        <f t="shared" ref="D42:L42" si="3">SUM(D36:D41)</f>
        <v>253239</v>
      </c>
      <c r="E42" s="1692">
        <f t="shared" si="3"/>
        <v>118827</v>
      </c>
      <c r="F42" s="1692">
        <f t="shared" si="3"/>
        <v>19890</v>
      </c>
      <c r="G42" s="1692">
        <f t="shared" si="3"/>
        <v>2096</v>
      </c>
      <c r="H42" s="1692">
        <f t="shared" si="3"/>
        <v>675</v>
      </c>
      <c r="I42" s="1692">
        <f t="shared" si="3"/>
        <v>0</v>
      </c>
      <c r="J42" s="1692">
        <f t="shared" si="3"/>
        <v>0</v>
      </c>
      <c r="K42" s="1692">
        <f t="shared" si="3"/>
        <v>1751706</v>
      </c>
      <c r="L42" s="1692">
        <f t="shared" si="3"/>
        <v>1810904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154892</v>
      </c>
      <c r="D44" s="481">
        <v>39593</v>
      </c>
      <c r="E44" s="481">
        <v>11773</v>
      </c>
      <c r="F44" s="481">
        <v>703</v>
      </c>
      <c r="G44" s="481"/>
      <c r="H44" s="481">
        <v>1334</v>
      </c>
      <c r="I44" s="467"/>
      <c r="J44" s="467"/>
      <c r="K44" s="1694">
        <f>SUM(C44:J44)</f>
        <v>208295</v>
      </c>
      <c r="L44" s="481">
        <v>323327</v>
      </c>
    </row>
    <row r="45" spans="1:14" x14ac:dyDescent="0.2">
      <c r="A45" s="1526" t="s">
        <v>869</v>
      </c>
      <c r="B45" s="615">
        <v>2220</v>
      </c>
      <c r="C45" s="466">
        <v>787330</v>
      </c>
      <c r="D45" s="466">
        <v>151735</v>
      </c>
      <c r="E45" s="466">
        <v>80364</v>
      </c>
      <c r="F45" s="466">
        <v>176187</v>
      </c>
      <c r="G45" s="466">
        <v>108074</v>
      </c>
      <c r="H45" s="466">
        <v>635</v>
      </c>
      <c r="I45" s="467"/>
      <c r="J45" s="467"/>
      <c r="K45" s="1694">
        <f>SUM(C45:J45)</f>
        <v>1304325</v>
      </c>
      <c r="L45" s="466">
        <v>1317358</v>
      </c>
    </row>
    <row r="46" spans="1:14" x14ac:dyDescent="0.2">
      <c r="A46" s="1526" t="s">
        <v>870</v>
      </c>
      <c r="B46" s="615">
        <v>2230</v>
      </c>
      <c r="C46" s="466">
        <v>13610</v>
      </c>
      <c r="D46" s="466"/>
      <c r="E46" s="466"/>
      <c r="F46" s="466">
        <v>28464</v>
      </c>
      <c r="G46" s="466"/>
      <c r="H46" s="466"/>
      <c r="I46" s="467"/>
      <c r="J46" s="467"/>
      <c r="K46" s="1694">
        <f>SUM(C46:J46)</f>
        <v>42074</v>
      </c>
      <c r="L46" s="466">
        <v>40000</v>
      </c>
    </row>
    <row r="47" spans="1:14" ht="12.75" customHeight="1" thickBot="1" x14ac:dyDescent="0.25">
      <c r="A47" s="1690" t="s">
        <v>582</v>
      </c>
      <c r="B47" s="1691" t="s">
        <v>32</v>
      </c>
      <c r="C47" s="1692">
        <f>SUM(C44:C46)</f>
        <v>955832</v>
      </c>
      <c r="D47" s="1692">
        <f t="shared" ref="D47:K47" si="4">SUM(D44:D46)</f>
        <v>191328</v>
      </c>
      <c r="E47" s="1692">
        <f t="shared" si="4"/>
        <v>92137</v>
      </c>
      <c r="F47" s="1692">
        <f t="shared" si="4"/>
        <v>205354</v>
      </c>
      <c r="G47" s="1692">
        <f t="shared" si="4"/>
        <v>108074</v>
      </c>
      <c r="H47" s="1692">
        <f t="shared" si="4"/>
        <v>1969</v>
      </c>
      <c r="I47" s="1692">
        <f t="shared" si="4"/>
        <v>0</v>
      </c>
      <c r="J47" s="1692">
        <f t="shared" si="4"/>
        <v>0</v>
      </c>
      <c r="K47" s="1692">
        <f t="shared" si="4"/>
        <v>1554694</v>
      </c>
      <c r="L47" s="1692">
        <f>SUM(L44:L46)</f>
        <v>1680685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28093</v>
      </c>
      <c r="F49" s="481">
        <v>20233</v>
      </c>
      <c r="G49" s="481"/>
      <c r="H49" s="481">
        <v>7717</v>
      </c>
      <c r="I49" s="467"/>
      <c r="J49" s="467"/>
      <c r="K49" s="1694">
        <f>SUM(C49:J49)</f>
        <v>56043</v>
      </c>
      <c r="L49" s="481">
        <v>74350</v>
      </c>
    </row>
    <row r="50" spans="1:14" x14ac:dyDescent="0.2">
      <c r="A50" s="1526" t="s">
        <v>872</v>
      </c>
      <c r="B50" s="615">
        <v>2320</v>
      </c>
      <c r="C50" s="466">
        <v>307327</v>
      </c>
      <c r="D50" s="466">
        <v>72373</v>
      </c>
      <c r="E50" s="466">
        <v>8331</v>
      </c>
      <c r="F50" s="466">
        <v>5660</v>
      </c>
      <c r="G50" s="466"/>
      <c r="H50" s="466">
        <v>3246</v>
      </c>
      <c r="I50" s="467"/>
      <c r="J50" s="467"/>
      <c r="K50" s="1694">
        <f>SUM(C50:J50)</f>
        <v>396937</v>
      </c>
      <c r="L50" s="466">
        <v>402096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22344</v>
      </c>
      <c r="F52" s="474"/>
      <c r="G52" s="474"/>
      <c r="H52" s="474"/>
      <c r="I52" s="474"/>
      <c r="J52" s="474"/>
      <c r="K52" s="1694">
        <f>SUM(C52:J52)</f>
        <v>22344</v>
      </c>
      <c r="L52" s="474">
        <v>45000</v>
      </c>
    </row>
    <row r="53" spans="1:14" ht="12.75" customHeight="1" thickBot="1" x14ac:dyDescent="0.25">
      <c r="A53" s="1690" t="s">
        <v>741</v>
      </c>
      <c r="B53" s="1691" t="s">
        <v>33</v>
      </c>
      <c r="C53" s="1692">
        <f>SUM(C49:C52)</f>
        <v>307327</v>
      </c>
      <c r="D53" s="1692">
        <f t="shared" ref="D53:L53" si="5">SUM(D49:D52)</f>
        <v>72373</v>
      </c>
      <c r="E53" s="1692">
        <f t="shared" si="5"/>
        <v>58768</v>
      </c>
      <c r="F53" s="1692">
        <f t="shared" si="5"/>
        <v>25893</v>
      </c>
      <c r="G53" s="1692">
        <f t="shared" si="5"/>
        <v>0</v>
      </c>
      <c r="H53" s="1692">
        <f t="shared" si="5"/>
        <v>10963</v>
      </c>
      <c r="I53" s="1692">
        <f t="shared" si="5"/>
        <v>0</v>
      </c>
      <c r="J53" s="1692">
        <f t="shared" si="5"/>
        <v>0</v>
      </c>
      <c r="K53" s="1692">
        <f t="shared" si="5"/>
        <v>475324</v>
      </c>
      <c r="L53" s="1692">
        <f t="shared" si="5"/>
        <v>521446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855377</v>
      </c>
      <c r="D55" s="481">
        <v>247170</v>
      </c>
      <c r="E55" s="481">
        <v>2674</v>
      </c>
      <c r="F55" s="481">
        <v>16645</v>
      </c>
      <c r="G55" s="481"/>
      <c r="H55" s="481">
        <v>1142</v>
      </c>
      <c r="I55" s="467"/>
      <c r="J55" s="467"/>
      <c r="K55" s="1694">
        <f>SUM(C55:J55)</f>
        <v>1123008</v>
      </c>
      <c r="L55" s="481">
        <v>1133065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855377</v>
      </c>
      <c r="D57" s="1696">
        <f t="shared" ref="D57:K57" si="6">SUM(D55:D56)</f>
        <v>247170</v>
      </c>
      <c r="E57" s="1696">
        <f t="shared" si="6"/>
        <v>2674</v>
      </c>
      <c r="F57" s="1696">
        <f t="shared" si="6"/>
        <v>16645</v>
      </c>
      <c r="G57" s="1696">
        <f t="shared" si="6"/>
        <v>0</v>
      </c>
      <c r="H57" s="1696">
        <f t="shared" si="6"/>
        <v>1142</v>
      </c>
      <c r="I57" s="1696">
        <f t="shared" si="6"/>
        <v>0</v>
      </c>
      <c r="J57" s="1696">
        <f t="shared" si="6"/>
        <v>0</v>
      </c>
      <c r="K57" s="1696">
        <f t="shared" si="6"/>
        <v>1123008</v>
      </c>
      <c r="L57" s="1692">
        <f>SUM(L55:L56)</f>
        <v>1133065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128242</v>
      </c>
      <c r="D59" s="481">
        <v>16610</v>
      </c>
      <c r="E59" s="481">
        <v>3557</v>
      </c>
      <c r="F59" s="481"/>
      <c r="G59" s="481"/>
      <c r="H59" s="481">
        <v>559</v>
      </c>
      <c r="I59" s="467"/>
      <c r="J59" s="467"/>
      <c r="K59" s="1694">
        <f t="shared" ref="K59:K64" si="7">SUM(C59:J59)</f>
        <v>148968</v>
      </c>
      <c r="L59" s="481">
        <v>152553</v>
      </c>
      <c r="M59" s="610"/>
      <c r="N59" s="610"/>
    </row>
    <row r="60" spans="1:14" s="343" customFormat="1" x14ac:dyDescent="0.2">
      <c r="A60" s="1526" t="s">
        <v>483</v>
      </c>
      <c r="B60" s="615">
        <v>2520</v>
      </c>
      <c r="C60" s="466">
        <v>105273</v>
      </c>
      <c r="D60" s="466">
        <v>44504</v>
      </c>
      <c r="E60" s="466">
        <v>22247</v>
      </c>
      <c r="F60" s="466">
        <v>1781</v>
      </c>
      <c r="G60" s="466">
        <v>1249</v>
      </c>
      <c r="H60" s="466"/>
      <c r="I60" s="467"/>
      <c r="J60" s="467"/>
      <c r="K60" s="1694">
        <f t="shared" si="7"/>
        <v>175054</v>
      </c>
      <c r="L60" s="466">
        <v>176931</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76652</v>
      </c>
      <c r="D63" s="466"/>
      <c r="E63" s="466">
        <v>382941</v>
      </c>
      <c r="F63" s="466">
        <f>37801-34620</f>
        <v>3181</v>
      </c>
      <c r="G63" s="466">
        <v>5055</v>
      </c>
      <c r="H63" s="466"/>
      <c r="I63" s="467"/>
      <c r="J63" s="467"/>
      <c r="K63" s="1694">
        <f t="shared" si="7"/>
        <v>467829</v>
      </c>
      <c r="L63" s="466">
        <v>460899</v>
      </c>
    </row>
    <row r="64" spans="1:14" s="610" customFormat="1" x14ac:dyDescent="0.2">
      <c r="A64" s="1531" t="s">
        <v>103</v>
      </c>
      <c r="B64" s="631">
        <v>2570</v>
      </c>
      <c r="C64" s="481"/>
      <c r="D64" s="481"/>
      <c r="E64" s="481">
        <v>31968</v>
      </c>
      <c r="F64" s="481"/>
      <c r="G64" s="481"/>
      <c r="H64" s="481"/>
      <c r="I64" s="467"/>
      <c r="J64" s="467"/>
      <c r="K64" s="1694">
        <f t="shared" si="7"/>
        <v>31968</v>
      </c>
      <c r="L64" s="481">
        <v>36500</v>
      </c>
    </row>
    <row r="65" spans="1:14" s="343" customFormat="1" ht="12.75" customHeight="1" thickBot="1" x14ac:dyDescent="0.25">
      <c r="A65" s="1690" t="s">
        <v>743</v>
      </c>
      <c r="B65" s="1691" t="s">
        <v>35</v>
      </c>
      <c r="C65" s="1692">
        <f>SUM(C59:C64)</f>
        <v>310167</v>
      </c>
      <c r="D65" s="1692">
        <f t="shared" ref="D65:L65" si="8">SUM(D59:D64)</f>
        <v>61114</v>
      </c>
      <c r="E65" s="1692">
        <f t="shared" si="8"/>
        <v>440713</v>
      </c>
      <c r="F65" s="1692">
        <f t="shared" si="8"/>
        <v>4962</v>
      </c>
      <c r="G65" s="1692">
        <f t="shared" si="8"/>
        <v>6304</v>
      </c>
      <c r="H65" s="1692">
        <f t="shared" si="8"/>
        <v>559</v>
      </c>
      <c r="I65" s="1692">
        <f t="shared" si="8"/>
        <v>0</v>
      </c>
      <c r="J65" s="1692">
        <f t="shared" si="8"/>
        <v>0</v>
      </c>
      <c r="K65" s="1692">
        <f t="shared" si="8"/>
        <v>823819</v>
      </c>
      <c r="L65" s="1692">
        <f t="shared" si="8"/>
        <v>826883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v>44612</v>
      </c>
      <c r="F68" s="466"/>
      <c r="G68" s="466"/>
      <c r="H68" s="466"/>
      <c r="I68" s="467"/>
      <c r="J68" s="467"/>
      <c r="K68" s="1694">
        <f>SUM(C68:J68)</f>
        <v>44612</v>
      </c>
      <c r="L68" s="466">
        <v>25000</v>
      </c>
      <c r="M68" s="610"/>
      <c r="N68" s="610"/>
    </row>
    <row r="69" spans="1:14" s="343" customFormat="1" x14ac:dyDescent="0.2">
      <c r="A69" s="1526" t="s">
        <v>1121</v>
      </c>
      <c r="B69" s="615">
        <v>2630</v>
      </c>
      <c r="C69" s="466"/>
      <c r="D69" s="466"/>
      <c r="E69" s="466">
        <v>98881</v>
      </c>
      <c r="F69" s="466">
        <v>1276</v>
      </c>
      <c r="G69" s="466"/>
      <c r="H69" s="466"/>
      <c r="I69" s="467"/>
      <c r="J69" s="467"/>
      <c r="K69" s="1694">
        <f>SUM(C69:J69)</f>
        <v>100157</v>
      </c>
      <c r="L69" s="466">
        <v>110950</v>
      </c>
      <c r="M69" s="610"/>
      <c r="N69" s="610"/>
    </row>
    <row r="70" spans="1:14" s="343" customFormat="1" x14ac:dyDescent="0.2">
      <c r="A70" s="1526" t="s">
        <v>423</v>
      </c>
      <c r="B70" s="615">
        <v>2640</v>
      </c>
      <c r="C70" s="466">
        <v>64846</v>
      </c>
      <c r="D70" s="466">
        <v>48318</v>
      </c>
      <c r="E70" s="466">
        <v>30849</v>
      </c>
      <c r="F70" s="466">
        <v>13664</v>
      </c>
      <c r="G70" s="466"/>
      <c r="H70" s="466">
        <v>703</v>
      </c>
      <c r="I70" s="467"/>
      <c r="J70" s="467"/>
      <c r="K70" s="1694">
        <f>SUM(C70:J70)</f>
        <v>158380</v>
      </c>
      <c r="L70" s="466">
        <v>178090</v>
      </c>
      <c r="M70" s="610"/>
      <c r="N70" s="610"/>
    </row>
    <row r="71" spans="1:14" s="343" customFormat="1" x14ac:dyDescent="0.2">
      <c r="A71" s="1526" t="s">
        <v>424</v>
      </c>
      <c r="B71" s="615">
        <v>2660</v>
      </c>
      <c r="C71" s="466"/>
      <c r="D71" s="466"/>
      <c r="E71" s="466">
        <v>26117</v>
      </c>
      <c r="F71" s="466">
        <v>4223</v>
      </c>
      <c r="G71" s="466"/>
      <c r="H71" s="466"/>
      <c r="I71" s="467"/>
      <c r="J71" s="467"/>
      <c r="K71" s="1694">
        <f>SUM(C71:J71)</f>
        <v>30340</v>
      </c>
      <c r="L71" s="466">
        <v>28250</v>
      </c>
      <c r="M71" s="610"/>
      <c r="N71" s="610"/>
    </row>
    <row r="72" spans="1:14" s="343" customFormat="1" ht="12.75" customHeight="1" thickBot="1" x14ac:dyDescent="0.25">
      <c r="A72" s="1690" t="s">
        <v>37</v>
      </c>
      <c r="B72" s="1697" t="s">
        <v>36</v>
      </c>
      <c r="C72" s="1692">
        <f>SUM(C67:C71)</f>
        <v>64846</v>
      </c>
      <c r="D72" s="1692">
        <f t="shared" ref="D72:K72" si="9">SUM(D67:D71)</f>
        <v>48318</v>
      </c>
      <c r="E72" s="1692">
        <f t="shared" si="9"/>
        <v>200459</v>
      </c>
      <c r="F72" s="1692">
        <f t="shared" si="9"/>
        <v>19163</v>
      </c>
      <c r="G72" s="1692">
        <f t="shared" si="9"/>
        <v>0</v>
      </c>
      <c r="H72" s="1692">
        <f t="shared" si="9"/>
        <v>703</v>
      </c>
      <c r="I72" s="1692">
        <f t="shared" si="9"/>
        <v>0</v>
      </c>
      <c r="J72" s="1692">
        <f t="shared" si="9"/>
        <v>0</v>
      </c>
      <c r="K72" s="1692">
        <f t="shared" si="9"/>
        <v>333489</v>
      </c>
      <c r="L72" s="1692">
        <f>SUM(L67:L71)</f>
        <v>342290</v>
      </c>
      <c r="M72" s="610"/>
      <c r="N72" s="610"/>
    </row>
    <row r="73" spans="1:14" s="343" customFormat="1" ht="14.25" thickTop="1" thickBot="1" x14ac:dyDescent="0.25">
      <c r="A73" s="1532" t="s">
        <v>1037</v>
      </c>
      <c r="B73" s="633" t="s">
        <v>595</v>
      </c>
      <c r="C73" s="573">
        <v>450</v>
      </c>
      <c r="D73" s="573"/>
      <c r="E73" s="573">
        <v>6126</v>
      </c>
      <c r="F73" s="573">
        <v>275</v>
      </c>
      <c r="G73" s="573"/>
      <c r="H73" s="573"/>
      <c r="I73" s="531"/>
      <c r="J73" s="531"/>
      <c r="K73" s="1692">
        <f>SUM(C73:J73)</f>
        <v>6851</v>
      </c>
      <c r="L73" s="576">
        <v>3750</v>
      </c>
      <c r="M73" s="610"/>
      <c r="N73" s="610"/>
    </row>
    <row r="74" spans="1:14" ht="12.75" customHeight="1" thickTop="1" thickBot="1" x14ac:dyDescent="0.25">
      <c r="A74" s="1690" t="s">
        <v>865</v>
      </c>
      <c r="B74" s="1698">
        <v>2000</v>
      </c>
      <c r="C74" s="1699">
        <f>SUM(C42,C47,C53,C57,C65,C72,C73)</f>
        <v>3850978</v>
      </c>
      <c r="D74" s="1699">
        <f t="shared" ref="D74:K74" si="10">SUM(D42,D47,D53,D57,D65,D72,D73)</f>
        <v>873542</v>
      </c>
      <c r="E74" s="1699">
        <f t="shared" si="10"/>
        <v>919704</v>
      </c>
      <c r="F74" s="1699">
        <f t="shared" si="10"/>
        <v>292182</v>
      </c>
      <c r="G74" s="1699">
        <f t="shared" si="10"/>
        <v>116474</v>
      </c>
      <c r="H74" s="1699">
        <f t="shared" si="10"/>
        <v>16011</v>
      </c>
      <c r="I74" s="1699">
        <f t="shared" si="10"/>
        <v>0</v>
      </c>
      <c r="J74" s="1699">
        <f t="shared" si="10"/>
        <v>0</v>
      </c>
      <c r="K74" s="1699">
        <f t="shared" si="10"/>
        <v>6068891</v>
      </c>
      <c r="L74" s="1699">
        <f>SUM(L42,L47,L53,L57,L65,L72,L73)</f>
        <v>6319023</v>
      </c>
    </row>
    <row r="75" spans="1:14" s="259" customFormat="1" ht="15.75" customHeight="1" thickTop="1" thickBot="1" x14ac:dyDescent="0.25">
      <c r="A75" s="1632" t="s">
        <v>49</v>
      </c>
      <c r="B75" s="1633" t="s">
        <v>596</v>
      </c>
      <c r="C75" s="573">
        <v>135077</v>
      </c>
      <c r="D75" s="573">
        <v>13734</v>
      </c>
      <c r="E75" s="573">
        <v>39253</v>
      </c>
      <c r="F75" s="573">
        <v>5490</v>
      </c>
      <c r="G75" s="573"/>
      <c r="H75" s="573"/>
      <c r="I75" s="531"/>
      <c r="J75" s="531"/>
      <c r="K75" s="1692">
        <f>SUM(C75:J75)</f>
        <v>193554</v>
      </c>
      <c r="L75" s="576">
        <v>160844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220467</v>
      </c>
      <c r="F79" s="617"/>
      <c r="G79" s="617"/>
      <c r="H79" s="466">
        <v>331973</v>
      </c>
      <c r="I79" s="477"/>
      <c r="J79" s="477"/>
      <c r="K79" s="1693">
        <f t="shared" si="11"/>
        <v>552440</v>
      </c>
      <c r="L79" s="466">
        <v>583018</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220467</v>
      </c>
      <c r="F84" s="617"/>
      <c r="G84" s="617"/>
      <c r="H84" s="1692">
        <f>SUM(H78:H83)</f>
        <v>331973</v>
      </c>
      <c r="I84" s="477"/>
      <c r="J84" s="477"/>
      <c r="K84" s="1692">
        <f>SUM(K78:K83)</f>
        <v>552440</v>
      </c>
      <c r="L84" s="1692">
        <f>SUM(L78:L83)</f>
        <v>583018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220467</v>
      </c>
      <c r="F102" s="617"/>
      <c r="G102" s="617"/>
      <c r="H102" s="1699">
        <f>SUM(H84,H92,H100,H101)</f>
        <v>331973</v>
      </c>
      <c r="I102" s="477"/>
      <c r="J102" s="477"/>
      <c r="K102" s="1699">
        <f>SUM(K84,K92,K100,K101)</f>
        <v>552440</v>
      </c>
      <c r="L102" s="1699">
        <f>SUM(L84,L92,L100,L101)</f>
        <v>583018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12721738</v>
      </c>
      <c r="D114" s="1692">
        <f t="shared" ref="D114:K114" si="13">SUM(D33,D74,D75,D102,D112,D113)</f>
        <v>2652172</v>
      </c>
      <c r="E114" s="1692">
        <f t="shared" si="13"/>
        <v>1279777</v>
      </c>
      <c r="F114" s="1692">
        <f t="shared" si="13"/>
        <v>580711</v>
      </c>
      <c r="G114" s="1692">
        <f t="shared" si="13"/>
        <v>173869</v>
      </c>
      <c r="H114" s="1692">
        <f>SUM(H33,H74,H75,H102,H112,H113)</f>
        <v>353542</v>
      </c>
      <c r="I114" s="1692">
        <f t="shared" si="13"/>
        <v>0</v>
      </c>
      <c r="J114" s="1692">
        <f t="shared" si="13"/>
        <v>0</v>
      </c>
      <c r="K114" s="1692">
        <f t="shared" si="13"/>
        <v>17761809</v>
      </c>
      <c r="L114" s="1692">
        <f>SUM(L33,L74,L75,L102,L112,L113)</f>
        <v>18201091</v>
      </c>
    </row>
    <row r="115" spans="1:14" ht="13.5" thickTop="1" x14ac:dyDescent="0.2">
      <c r="A115" s="2179" t="s">
        <v>1053</v>
      </c>
      <c r="B115" s="2180"/>
      <c r="C115" s="619"/>
      <c r="D115" s="619"/>
      <c r="E115" s="619"/>
      <c r="F115" s="619"/>
      <c r="G115" s="619"/>
      <c r="H115" s="619"/>
      <c r="I115" s="619"/>
      <c r="J115" s="619"/>
      <c r="K115" s="1706">
        <f>'Revenues 9-14'!C275-'Expenditures 15-22'!K114</f>
        <v>338197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704946</v>
      </c>
      <c r="D124" s="466">
        <v>136417</v>
      </c>
      <c r="E124" s="466">
        <v>293407</v>
      </c>
      <c r="F124" s="466">
        <v>206756</v>
      </c>
      <c r="G124" s="466">
        <v>80957</v>
      </c>
      <c r="H124" s="466">
        <v>280</v>
      </c>
      <c r="I124" s="467"/>
      <c r="J124" s="467"/>
      <c r="K124" s="1692">
        <f>SUM(C124:J124)</f>
        <v>1422763</v>
      </c>
      <c r="L124" s="466">
        <v>1531196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704946</v>
      </c>
      <c r="D127" s="1692">
        <f t="shared" ref="D127:L127" si="14">SUM(D122:D126)</f>
        <v>136417</v>
      </c>
      <c r="E127" s="1692">
        <f t="shared" si="14"/>
        <v>293407</v>
      </c>
      <c r="F127" s="1692">
        <f t="shared" si="14"/>
        <v>206756</v>
      </c>
      <c r="G127" s="1692">
        <f t="shared" si="14"/>
        <v>80957</v>
      </c>
      <c r="H127" s="1692">
        <f t="shared" si="14"/>
        <v>280</v>
      </c>
      <c r="I127" s="1692">
        <f t="shared" si="14"/>
        <v>0</v>
      </c>
      <c r="J127" s="1692">
        <f t="shared" si="14"/>
        <v>0</v>
      </c>
      <c r="K127" s="1692">
        <f t="shared" si="14"/>
        <v>1422763</v>
      </c>
      <c r="L127" s="1692">
        <f t="shared" si="14"/>
        <v>1531196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704946</v>
      </c>
      <c r="D129" s="1699">
        <f t="shared" ref="D129:L129" si="15">SUM(D120,D127,D128)</f>
        <v>136417</v>
      </c>
      <c r="E129" s="1699">
        <f t="shared" si="15"/>
        <v>293407</v>
      </c>
      <c r="F129" s="1699">
        <f t="shared" si="15"/>
        <v>206756</v>
      </c>
      <c r="G129" s="1699">
        <f t="shared" si="15"/>
        <v>80957</v>
      </c>
      <c r="H129" s="1699">
        <f t="shared" si="15"/>
        <v>280</v>
      </c>
      <c r="I129" s="1699">
        <f t="shared" si="15"/>
        <v>0</v>
      </c>
      <c r="J129" s="1699">
        <f t="shared" si="15"/>
        <v>0</v>
      </c>
      <c r="K129" s="1699">
        <f t="shared" si="15"/>
        <v>1422763</v>
      </c>
      <c r="L129" s="1699">
        <f t="shared" si="15"/>
        <v>1531196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6" t="s">
        <v>641</v>
      </c>
      <c r="B151" s="2176"/>
      <c r="C151" s="1692">
        <f>SUM(C129,C130,C139,C149,C150)</f>
        <v>704946</v>
      </c>
      <c r="D151" s="1692">
        <f t="shared" ref="D151:K151" si="16">SUM(D129,D130,D139,D149,D150)</f>
        <v>136417</v>
      </c>
      <c r="E151" s="1692">
        <f t="shared" si="16"/>
        <v>293407</v>
      </c>
      <c r="F151" s="1692">
        <f t="shared" si="16"/>
        <v>206756</v>
      </c>
      <c r="G151" s="1692">
        <f t="shared" si="16"/>
        <v>80957</v>
      </c>
      <c r="H151" s="1692">
        <f t="shared" si="16"/>
        <v>280</v>
      </c>
      <c r="I151" s="1692">
        <f t="shared" si="16"/>
        <v>0</v>
      </c>
      <c r="J151" s="1692">
        <f t="shared" si="16"/>
        <v>0</v>
      </c>
      <c r="K151" s="1692">
        <f t="shared" si="16"/>
        <v>1422763</v>
      </c>
      <c r="L151" s="1692">
        <f>SUM(L129,L130,L139,L149,L150)</f>
        <v>1531196</v>
      </c>
    </row>
    <row r="152" spans="1:14" ht="12.75" customHeight="1" thickTop="1" x14ac:dyDescent="0.2">
      <c r="A152" s="2199" t="s">
        <v>1240</v>
      </c>
      <c r="B152" s="2200"/>
      <c r="C152" s="619"/>
      <c r="D152" s="619"/>
      <c r="E152" s="619"/>
      <c r="F152" s="619"/>
      <c r="G152" s="619"/>
      <c r="H152" s="619"/>
      <c r="I152" s="619"/>
      <c r="J152" s="617"/>
      <c r="K152" s="1706">
        <f>'Revenues 9-14'!D275-'Expenditures 15-22'!K151</f>
        <v>277622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326006</v>
      </c>
      <c r="I169" s="617"/>
      <c r="J169" s="617"/>
      <c r="K169" s="1693">
        <f>SUM(C169:H169)</f>
        <v>326006</v>
      </c>
      <c r="L169" s="657">
        <v>342012</v>
      </c>
    </row>
    <row r="170" spans="1:14" ht="33.75" customHeight="1" x14ac:dyDescent="0.2">
      <c r="A170" s="670" t="s">
        <v>1769</v>
      </c>
      <c r="B170" s="672" t="s">
        <v>31</v>
      </c>
      <c r="C170" s="617"/>
      <c r="D170" s="617"/>
      <c r="E170" s="617"/>
      <c r="F170" s="617"/>
      <c r="G170" s="617"/>
      <c r="H170" s="569">
        <v>972437</v>
      </c>
      <c r="I170" s="617"/>
      <c r="J170" s="617"/>
      <c r="K170" s="1693">
        <f>SUM(C170:J170)</f>
        <v>972437</v>
      </c>
      <c r="L170" s="569">
        <v>1031767</v>
      </c>
    </row>
    <row r="171" spans="1:14" ht="15.75" customHeight="1" x14ac:dyDescent="0.2">
      <c r="A171" s="622" t="s">
        <v>790</v>
      </c>
      <c r="B171" s="673" t="s">
        <v>86</v>
      </c>
      <c r="C171" s="617"/>
      <c r="D171" s="617"/>
      <c r="E171" s="466"/>
      <c r="F171" s="617"/>
      <c r="G171" s="617"/>
      <c r="H171" s="569">
        <v>950</v>
      </c>
      <c r="I171" s="477"/>
      <c r="J171" s="617"/>
      <c r="K171" s="1693">
        <f>SUM(C171:J171)</f>
        <v>950</v>
      </c>
      <c r="L171" s="569">
        <v>0</v>
      </c>
    </row>
    <row r="172" spans="1:14" ht="12.75" customHeight="1" thickBot="1" x14ac:dyDescent="0.25">
      <c r="A172" s="1690" t="s">
        <v>659</v>
      </c>
      <c r="B172" s="1691" t="s">
        <v>513</v>
      </c>
      <c r="C172" s="617"/>
      <c r="D172" s="617"/>
      <c r="E172" s="1699">
        <f>SUM(E168,E169,E170,E171)</f>
        <v>0</v>
      </c>
      <c r="F172" s="617"/>
      <c r="G172" s="617"/>
      <c r="H172" s="1699">
        <f>SUM(H168,H169,H170,H171)</f>
        <v>1299393</v>
      </c>
      <c r="I172" s="639"/>
      <c r="J172" s="617"/>
      <c r="K172" s="1699">
        <f>SUM(K168,K169,K170,K171)</f>
        <v>1299393</v>
      </c>
      <c r="L172" s="1699">
        <f>SUM(L168,L169,L170,L171)</f>
        <v>1373779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1299393</v>
      </c>
      <c r="I174" s="639"/>
      <c r="J174" s="617"/>
      <c r="K174" s="1699">
        <f>SUM(K160,K172,K173)</f>
        <v>1299393</v>
      </c>
      <c r="L174" s="1699">
        <f>SUM(L160,L172,L173)</f>
        <v>1373779</v>
      </c>
    </row>
    <row r="175" spans="1:14" ht="13.5" thickTop="1" x14ac:dyDescent="0.2">
      <c r="A175" s="2179" t="s">
        <v>1053</v>
      </c>
      <c r="B175" s="2180"/>
      <c r="C175" s="617"/>
      <c r="D175" s="617"/>
      <c r="E175" s="617"/>
      <c r="F175" s="617"/>
      <c r="G175" s="617"/>
      <c r="H175" s="619"/>
      <c r="I175" s="617"/>
      <c r="J175" s="617"/>
      <c r="K175" s="1706">
        <f>'Revenues 9-14'!E275-'Expenditures 15-22'!K174</f>
        <v>-107536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22852</v>
      </c>
      <c r="D182" s="466"/>
      <c r="E182" s="466">
        <v>1275462</v>
      </c>
      <c r="F182" s="466">
        <v>71616</v>
      </c>
      <c r="G182" s="466"/>
      <c r="H182" s="466"/>
      <c r="I182" s="467"/>
      <c r="J182" s="467"/>
      <c r="K182" s="1693">
        <f>SUM(C182:J182)</f>
        <v>1369930</v>
      </c>
      <c r="L182" s="466">
        <v>1339855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22852</v>
      </c>
      <c r="D184" s="1699">
        <f t="shared" ref="D184:J184" si="17">SUM(D180,D182,D183)</f>
        <v>0</v>
      </c>
      <c r="E184" s="1699">
        <f t="shared" si="17"/>
        <v>1275462</v>
      </c>
      <c r="F184" s="1699">
        <f t="shared" si="17"/>
        <v>71616</v>
      </c>
      <c r="G184" s="1699">
        <f t="shared" si="17"/>
        <v>0</v>
      </c>
      <c r="H184" s="1699">
        <f t="shared" si="17"/>
        <v>0</v>
      </c>
      <c r="I184" s="1699">
        <f t="shared" si="17"/>
        <v>0</v>
      </c>
      <c r="J184" s="1699">
        <f t="shared" si="17"/>
        <v>0</v>
      </c>
      <c r="K184" s="1699">
        <f>SUM(K180,K182,K183)</f>
        <v>1369930</v>
      </c>
      <c r="L184" s="1699">
        <f>SUM(L180, L182:L183)</f>
        <v>1339855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v>66645</v>
      </c>
      <c r="F193" s="617"/>
      <c r="G193" s="617"/>
      <c r="H193" s="466"/>
      <c r="I193" s="477"/>
      <c r="J193" s="617"/>
      <c r="K193" s="1693">
        <f t="shared" si="18"/>
        <v>66645</v>
      </c>
      <c r="L193" s="466">
        <v>115000</v>
      </c>
    </row>
    <row r="194" spans="1:14" ht="12.75" customHeight="1" thickBot="1" x14ac:dyDescent="0.25">
      <c r="A194" s="1690" t="s">
        <v>1202</v>
      </c>
      <c r="B194" s="1691" t="s">
        <v>580</v>
      </c>
      <c r="C194" s="617"/>
      <c r="D194" s="617"/>
      <c r="E194" s="1692">
        <f>SUM(E188:E193)</f>
        <v>66645</v>
      </c>
      <c r="F194" s="617"/>
      <c r="G194" s="617"/>
      <c r="H194" s="1692">
        <f>SUM(H188:H193)</f>
        <v>0</v>
      </c>
      <c r="I194" s="477"/>
      <c r="J194" s="617"/>
      <c r="K194" s="1692">
        <f>SUM(K188:K193)</f>
        <v>66645</v>
      </c>
      <c r="L194" s="1692">
        <f>SUM(L188:L193)</f>
        <v>115000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66645</v>
      </c>
      <c r="F196" s="617"/>
      <c r="G196" s="617"/>
      <c r="H196" s="1699">
        <f>SUM(H194,H195)</f>
        <v>0</v>
      </c>
      <c r="I196" s="477"/>
      <c r="J196" s="617"/>
      <c r="K196" s="1699">
        <f>SUM(K194,K195)</f>
        <v>66645</v>
      </c>
      <c r="L196" s="1699">
        <f>SUM(L194,L195)</f>
        <v>115000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22852</v>
      </c>
      <c r="D210" s="1692">
        <f>SUM(D184,D185)</f>
        <v>0</v>
      </c>
      <c r="E210" s="1692">
        <f>SUM(E184,E185,E196)</f>
        <v>1342107</v>
      </c>
      <c r="F210" s="1692">
        <f>SUM(F184,F185)</f>
        <v>71616</v>
      </c>
      <c r="G210" s="1692">
        <f>SUM(G184,G185)</f>
        <v>0</v>
      </c>
      <c r="H210" s="1692">
        <f>SUM(H184,H185,H196,H208,H209)</f>
        <v>0</v>
      </c>
      <c r="I210" s="1692">
        <f>SUM(I184,I185)</f>
        <v>0</v>
      </c>
      <c r="J210" s="1692">
        <f>SUM(J184,J185)</f>
        <v>0</v>
      </c>
      <c r="K210" s="1693">
        <f>SUM(K184,K185,K196,K208,K209)</f>
        <v>1436575</v>
      </c>
      <c r="L210" s="1692">
        <f>SUM(L184,L185,L196,L208,L209)</f>
        <v>1454855</v>
      </c>
    </row>
    <row r="211" spans="1:14" ht="13.5" thickTop="1" x14ac:dyDescent="0.2">
      <c r="A211" s="2179" t="s">
        <v>1053</v>
      </c>
      <c r="B211" s="2180"/>
      <c r="C211" s="619"/>
      <c r="D211" s="619"/>
      <c r="E211" s="619"/>
      <c r="F211" s="619"/>
      <c r="G211" s="619"/>
      <c r="H211" s="619"/>
      <c r="I211" s="617"/>
      <c r="J211" s="617"/>
      <c r="K211" s="1706">
        <f>'Revenues 9-14'!F275-'Expenditures 15-22'!K210</f>
        <v>213929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81890</v>
      </c>
      <c r="E215" s="617"/>
      <c r="F215" s="617"/>
      <c r="G215" s="617"/>
      <c r="H215" s="617"/>
      <c r="I215" s="617"/>
      <c r="J215" s="617"/>
      <c r="K215" s="1693">
        <f>D215</f>
        <v>81890</v>
      </c>
      <c r="L215" s="466">
        <v>75833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157593</v>
      </c>
      <c r="E217" s="617"/>
      <c r="F217" s="617"/>
      <c r="G217" s="617"/>
      <c r="H217" s="617"/>
      <c r="I217" s="617"/>
      <c r="J217" s="617"/>
      <c r="K217" s="1693">
        <f t="shared" si="19"/>
        <v>157593</v>
      </c>
      <c r="L217" s="466">
        <v>154290</v>
      </c>
    </row>
    <row r="218" spans="1:14" x14ac:dyDescent="0.2">
      <c r="A218" s="1526" t="s">
        <v>296</v>
      </c>
      <c r="B218" s="615" t="s">
        <v>1025</v>
      </c>
      <c r="C218" s="617"/>
      <c r="D218" s="467"/>
      <c r="E218" s="617"/>
      <c r="F218" s="617"/>
      <c r="G218" s="617"/>
      <c r="H218" s="617"/>
      <c r="I218" s="617"/>
      <c r="J218" s="617"/>
      <c r="K218" s="1693">
        <f t="shared" si="19"/>
        <v>0</v>
      </c>
      <c r="L218" s="466">
        <v>5703</v>
      </c>
    </row>
    <row r="219" spans="1:14" x14ac:dyDescent="0.2">
      <c r="A219" s="1526" t="s">
        <v>297</v>
      </c>
      <c r="B219" s="615">
        <v>1250</v>
      </c>
      <c r="C219" s="617"/>
      <c r="D219" s="466">
        <v>7022</v>
      </c>
      <c r="E219" s="617"/>
      <c r="F219" s="617"/>
      <c r="G219" s="617"/>
      <c r="H219" s="617"/>
      <c r="I219" s="617"/>
      <c r="J219" s="617"/>
      <c r="K219" s="1693">
        <f t="shared" si="19"/>
        <v>7022</v>
      </c>
      <c r="L219" s="466">
        <v>59</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1334</v>
      </c>
      <c r="E222" s="617"/>
      <c r="F222" s="617"/>
      <c r="G222" s="617"/>
      <c r="H222" s="617"/>
      <c r="I222" s="617"/>
      <c r="J222" s="617"/>
      <c r="K222" s="1693">
        <f t="shared" si="19"/>
        <v>1334</v>
      </c>
      <c r="L222" s="466">
        <v>1333</v>
      </c>
    </row>
    <row r="223" spans="1:14" x14ac:dyDescent="0.2">
      <c r="A223" s="1526" t="s">
        <v>1020</v>
      </c>
      <c r="B223" s="615">
        <v>1500</v>
      </c>
      <c r="C223" s="617"/>
      <c r="D223" s="466">
        <v>2307</v>
      </c>
      <c r="E223" s="617"/>
      <c r="F223" s="617"/>
      <c r="G223" s="617"/>
      <c r="H223" s="617"/>
      <c r="I223" s="617"/>
      <c r="J223" s="617"/>
      <c r="K223" s="1693">
        <f t="shared" si="19"/>
        <v>2307</v>
      </c>
      <c r="L223" s="466">
        <v>2491</v>
      </c>
    </row>
    <row r="224" spans="1:14" x14ac:dyDescent="0.2">
      <c r="A224" s="1526" t="s">
        <v>1021</v>
      </c>
      <c r="B224" s="615">
        <v>1600</v>
      </c>
      <c r="C224" s="617"/>
      <c r="D224" s="466">
        <v>5584</v>
      </c>
      <c r="E224" s="617"/>
      <c r="F224" s="617"/>
      <c r="G224" s="617"/>
      <c r="H224" s="617"/>
      <c r="I224" s="617"/>
      <c r="J224" s="617"/>
      <c r="K224" s="1693">
        <f t="shared" si="19"/>
        <v>5584</v>
      </c>
      <c r="L224" s="466">
        <v>1609</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18990</v>
      </c>
      <c r="E227" s="617"/>
      <c r="F227" s="617"/>
      <c r="G227" s="617"/>
      <c r="H227" s="617"/>
      <c r="I227" s="617"/>
      <c r="J227" s="617"/>
      <c r="K227" s="1693">
        <f t="shared" si="19"/>
        <v>18990</v>
      </c>
      <c r="L227" s="466">
        <v>16088</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274720</v>
      </c>
      <c r="E229" s="617"/>
      <c r="F229" s="617"/>
      <c r="G229" s="617"/>
      <c r="H229" s="617"/>
      <c r="I229" s="617"/>
      <c r="J229" s="617"/>
      <c r="K229" s="1692">
        <f>SUM(K215:K228)</f>
        <v>274720</v>
      </c>
      <c r="L229" s="1692">
        <f>SUM(L215:L228)</f>
        <v>257406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4455</v>
      </c>
      <c r="E232" s="617"/>
      <c r="F232" s="617"/>
      <c r="G232" s="617"/>
      <c r="H232" s="617"/>
      <c r="I232" s="617"/>
      <c r="J232" s="617"/>
      <c r="K232" s="1693">
        <f t="shared" ref="K232:K237" si="20">D232</f>
        <v>4455</v>
      </c>
      <c r="L232" s="466">
        <v>4445</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75087</v>
      </c>
      <c r="E234" s="617"/>
      <c r="F234" s="617"/>
      <c r="G234" s="617"/>
      <c r="H234" s="617"/>
      <c r="I234" s="617"/>
      <c r="J234" s="617"/>
      <c r="K234" s="1693">
        <f t="shared" si="20"/>
        <v>75087</v>
      </c>
      <c r="L234" s="466">
        <v>76247</v>
      </c>
    </row>
    <row r="235" spans="1:12" x14ac:dyDescent="0.2">
      <c r="A235" s="1526" t="s">
        <v>208</v>
      </c>
      <c r="B235" s="615">
        <v>2140</v>
      </c>
      <c r="C235" s="617"/>
      <c r="D235" s="466">
        <v>3408</v>
      </c>
      <c r="E235" s="617"/>
      <c r="F235" s="617"/>
      <c r="G235" s="617"/>
      <c r="H235" s="617"/>
      <c r="I235" s="617"/>
      <c r="J235" s="617"/>
      <c r="K235" s="1693">
        <f t="shared" si="20"/>
        <v>3408</v>
      </c>
      <c r="L235" s="466">
        <v>3251</v>
      </c>
    </row>
    <row r="236" spans="1:12" x14ac:dyDescent="0.2">
      <c r="A236" s="1526" t="s">
        <v>209</v>
      </c>
      <c r="B236" s="615">
        <v>2150</v>
      </c>
      <c r="C236" s="617"/>
      <c r="D236" s="466">
        <v>5878</v>
      </c>
      <c r="E236" s="617"/>
      <c r="F236" s="617"/>
      <c r="G236" s="617"/>
      <c r="H236" s="617"/>
      <c r="I236" s="617"/>
      <c r="J236" s="617"/>
      <c r="K236" s="1693">
        <f t="shared" si="20"/>
        <v>5878</v>
      </c>
      <c r="L236" s="466">
        <v>5877</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88828</v>
      </c>
      <c r="E238" s="617"/>
      <c r="F238" s="617"/>
      <c r="G238" s="617"/>
      <c r="H238" s="617"/>
      <c r="I238" s="617"/>
      <c r="J238" s="617"/>
      <c r="K238" s="1692">
        <f>SUM(K232:K237)</f>
        <v>88828</v>
      </c>
      <c r="L238" s="1692">
        <f>SUM(L232:L237)</f>
        <v>89820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2294</v>
      </c>
      <c r="E240" s="617"/>
      <c r="F240" s="617"/>
      <c r="G240" s="617"/>
      <c r="H240" s="617"/>
      <c r="I240" s="617"/>
      <c r="J240" s="617"/>
      <c r="K240" s="1694">
        <f>D240</f>
        <v>2294</v>
      </c>
      <c r="L240" s="481">
        <v>2203</v>
      </c>
    </row>
    <row r="241" spans="1:12" x14ac:dyDescent="0.2">
      <c r="A241" s="1526" t="s">
        <v>869</v>
      </c>
      <c r="B241" s="615">
        <v>2220</v>
      </c>
      <c r="C241" s="617"/>
      <c r="D241" s="466">
        <v>40743</v>
      </c>
      <c r="E241" s="617"/>
      <c r="F241" s="617"/>
      <c r="G241" s="617"/>
      <c r="H241" s="617"/>
      <c r="I241" s="617"/>
      <c r="J241" s="617"/>
      <c r="K241" s="1694">
        <f>D241</f>
        <v>40743</v>
      </c>
      <c r="L241" s="466">
        <v>39612</v>
      </c>
    </row>
    <row r="242" spans="1:12" x14ac:dyDescent="0.2">
      <c r="A242" s="1526" t="s">
        <v>870</v>
      </c>
      <c r="B242" s="615">
        <v>2230</v>
      </c>
      <c r="C242" s="617"/>
      <c r="D242" s="466">
        <v>206</v>
      </c>
      <c r="E242" s="617"/>
      <c r="F242" s="617"/>
      <c r="G242" s="617"/>
      <c r="H242" s="617"/>
      <c r="I242" s="617"/>
      <c r="J242" s="617"/>
      <c r="K242" s="1694">
        <f>D242</f>
        <v>206</v>
      </c>
      <c r="L242" s="466"/>
    </row>
    <row r="243" spans="1:12" ht="12.75" customHeight="1" thickBot="1" x14ac:dyDescent="0.25">
      <c r="A243" s="1716" t="s">
        <v>582</v>
      </c>
      <c r="B243" s="1717">
        <v>2200</v>
      </c>
      <c r="C243" s="617"/>
      <c r="D243" s="1692">
        <f>SUM(D240:D242)</f>
        <v>43243</v>
      </c>
      <c r="E243" s="617"/>
      <c r="F243" s="617"/>
      <c r="G243" s="617"/>
      <c r="H243" s="617"/>
      <c r="I243" s="617"/>
      <c r="J243" s="617"/>
      <c r="K243" s="1692">
        <f>SUM(K240:K242)</f>
        <v>43243</v>
      </c>
      <c r="L243" s="1692">
        <f>SUM(L240:L242)</f>
        <v>41815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18009</v>
      </c>
      <c r="E246" s="617"/>
      <c r="F246" s="617"/>
      <c r="G246" s="617"/>
      <c r="H246" s="617"/>
      <c r="I246" s="617"/>
      <c r="J246" s="617"/>
      <c r="K246" s="1694">
        <f t="shared" ref="K246:K256" si="21">D246</f>
        <v>18009</v>
      </c>
      <c r="L246" s="466">
        <v>18028</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18009</v>
      </c>
      <c r="E257" s="617"/>
      <c r="F257" s="617"/>
      <c r="G257" s="617"/>
      <c r="H257" s="617"/>
      <c r="I257" s="617"/>
      <c r="J257" s="617"/>
      <c r="K257" s="1692">
        <f>SUM(K245:K256)</f>
        <v>18009</v>
      </c>
      <c r="L257" s="1692">
        <f>SUM(L245:L256)</f>
        <v>18028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63452</v>
      </c>
      <c r="E259" s="617"/>
      <c r="F259" s="617"/>
      <c r="G259" s="617"/>
      <c r="H259" s="617"/>
      <c r="I259" s="617"/>
      <c r="J259" s="617"/>
      <c r="K259" s="1694">
        <f>D259</f>
        <v>63452</v>
      </c>
      <c r="L259" s="481">
        <v>63904</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63452</v>
      </c>
      <c r="E261" s="617"/>
      <c r="F261" s="617"/>
      <c r="G261" s="617"/>
      <c r="H261" s="617"/>
      <c r="I261" s="617"/>
      <c r="J261" s="617"/>
      <c r="K261" s="1692">
        <f>SUM(K259:K260)</f>
        <v>63452</v>
      </c>
      <c r="L261" s="1692">
        <f>SUM(L259:L260)</f>
        <v>63904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1862</v>
      </c>
      <c r="E263" s="617"/>
      <c r="F263" s="617"/>
      <c r="G263" s="617"/>
      <c r="H263" s="617"/>
      <c r="I263" s="617"/>
      <c r="J263" s="617"/>
      <c r="K263" s="1694">
        <f>D263</f>
        <v>1862</v>
      </c>
      <c r="L263" s="481">
        <v>1860</v>
      </c>
    </row>
    <row r="264" spans="1:14" x14ac:dyDescent="0.2">
      <c r="A264" s="1526" t="s">
        <v>483</v>
      </c>
      <c r="B264" s="686">
        <v>2520</v>
      </c>
      <c r="C264" s="617"/>
      <c r="D264" s="466">
        <v>19300</v>
      </c>
      <c r="E264" s="617"/>
      <c r="F264" s="617"/>
      <c r="G264" s="617"/>
      <c r="H264" s="617"/>
      <c r="I264" s="617"/>
      <c r="J264" s="617"/>
      <c r="K264" s="1694">
        <f t="shared" ref="K264:K269" si="22">D264</f>
        <v>19300</v>
      </c>
      <c r="L264" s="466">
        <v>19606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128318</v>
      </c>
      <c r="E266" s="617"/>
      <c r="F266" s="617"/>
      <c r="G266" s="617"/>
      <c r="H266" s="617"/>
      <c r="I266" s="617"/>
      <c r="J266" s="617"/>
      <c r="K266" s="1694">
        <f t="shared" si="22"/>
        <v>128318</v>
      </c>
      <c r="L266" s="466">
        <v>124324</v>
      </c>
    </row>
    <row r="267" spans="1:14" x14ac:dyDescent="0.2">
      <c r="A267" s="1526" t="s">
        <v>1010</v>
      </c>
      <c r="B267" s="615">
        <v>2550</v>
      </c>
      <c r="C267" s="617"/>
      <c r="D267" s="466">
        <v>1014</v>
      </c>
      <c r="E267" s="617"/>
      <c r="F267" s="617"/>
      <c r="G267" s="617"/>
      <c r="H267" s="617"/>
      <c r="I267" s="617"/>
      <c r="J267" s="617"/>
      <c r="K267" s="1694">
        <f t="shared" si="22"/>
        <v>1014</v>
      </c>
      <c r="L267" s="466">
        <v>48</v>
      </c>
    </row>
    <row r="268" spans="1:14" x14ac:dyDescent="0.2">
      <c r="A268" s="1526" t="s">
        <v>102</v>
      </c>
      <c r="B268" s="615">
        <v>2560</v>
      </c>
      <c r="C268" s="617"/>
      <c r="D268" s="466">
        <v>5489</v>
      </c>
      <c r="E268" s="617"/>
      <c r="F268" s="617"/>
      <c r="G268" s="617"/>
      <c r="H268" s="617"/>
      <c r="I268" s="617"/>
      <c r="J268" s="617"/>
      <c r="K268" s="1694">
        <f t="shared" si="22"/>
        <v>5489</v>
      </c>
      <c r="L268" s="466">
        <v>255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155983</v>
      </c>
      <c r="E270" s="617"/>
      <c r="F270" s="617"/>
      <c r="G270" s="617"/>
      <c r="H270" s="617"/>
      <c r="I270" s="617"/>
      <c r="J270" s="617"/>
      <c r="K270" s="1692">
        <f>SUM(K263:K269)</f>
        <v>155983</v>
      </c>
      <c r="L270" s="1692">
        <f>SUM(L263:L269)</f>
        <v>146093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v>11469</v>
      </c>
      <c r="E275" s="617"/>
      <c r="F275" s="617"/>
      <c r="G275" s="617"/>
      <c r="H275" s="617"/>
      <c r="I275" s="617"/>
      <c r="J275" s="617"/>
      <c r="K275" s="1694">
        <f>D275</f>
        <v>11469</v>
      </c>
      <c r="L275" s="466">
        <v>11499</v>
      </c>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11469</v>
      </c>
      <c r="E277" s="617"/>
      <c r="F277" s="617"/>
      <c r="G277" s="617"/>
      <c r="H277" s="617"/>
      <c r="I277" s="617"/>
      <c r="J277" s="617"/>
      <c r="K277" s="1692">
        <f>SUM(K272:K276)</f>
        <v>11469</v>
      </c>
      <c r="L277" s="1692">
        <f>SUM(L272:L276)</f>
        <v>11499</v>
      </c>
    </row>
    <row r="278" spans="1:12" ht="13.5" customHeight="1" thickTop="1" x14ac:dyDescent="0.2">
      <c r="A278" s="1532" t="s">
        <v>1037</v>
      </c>
      <c r="B278" s="656" t="s">
        <v>595</v>
      </c>
      <c r="C278" s="617"/>
      <c r="D278" s="657">
        <v>34</v>
      </c>
      <c r="E278" s="617"/>
      <c r="F278" s="617"/>
      <c r="G278" s="617"/>
      <c r="H278" s="617"/>
      <c r="I278" s="617"/>
      <c r="J278" s="617"/>
      <c r="K278" s="1707">
        <f>D278</f>
        <v>34</v>
      </c>
      <c r="L278" s="657">
        <v>1</v>
      </c>
    </row>
    <row r="279" spans="1:12" ht="12.75" customHeight="1" thickBot="1" x14ac:dyDescent="0.25">
      <c r="A279" s="1720" t="s">
        <v>865</v>
      </c>
      <c r="B279" s="1703">
        <v>2000</v>
      </c>
      <c r="C279" s="617"/>
      <c r="D279" s="1699">
        <f>SUM(D238,D243,D257,D261,D270,D277,D278)</f>
        <v>381018</v>
      </c>
      <c r="E279" s="617"/>
      <c r="F279" s="617"/>
      <c r="G279" s="617"/>
      <c r="H279" s="617"/>
      <c r="I279" s="617"/>
      <c r="J279" s="617"/>
      <c r="K279" s="1699">
        <f>SUM(K238,K243,K257,K261,K270,K277,K278)</f>
        <v>381018</v>
      </c>
      <c r="L279" s="1699">
        <f>SUM(L238,L243,L257,L261,L270,L277,L278)</f>
        <v>371160</v>
      </c>
    </row>
    <row r="280" spans="1:12" ht="15.75" customHeight="1" thickTop="1" thickBot="1" x14ac:dyDescent="0.25">
      <c r="A280" s="1646" t="s">
        <v>930</v>
      </c>
      <c r="B280" s="1635">
        <v>3000</v>
      </c>
      <c r="C280" s="617"/>
      <c r="D280" s="576">
        <v>14833</v>
      </c>
      <c r="E280" s="617"/>
      <c r="F280" s="617"/>
      <c r="G280" s="617"/>
      <c r="H280" s="617"/>
      <c r="I280" s="617"/>
      <c r="J280" s="617"/>
      <c r="K280" s="1701">
        <f>D280</f>
        <v>14833</v>
      </c>
      <c r="L280" s="576">
        <v>7159</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2">
        <f>SUM(D229,D279,D280,D285)</f>
        <v>670571</v>
      </c>
      <c r="E295" s="617"/>
      <c r="F295" s="617"/>
      <c r="G295" s="617"/>
      <c r="H295" s="1692">
        <f>H293</f>
        <v>0</v>
      </c>
      <c r="I295" s="617"/>
      <c r="J295" s="617"/>
      <c r="K295" s="1692">
        <f>SUM(K229,K279,K280,K285,K293,K294)</f>
        <v>670571</v>
      </c>
      <c r="L295" s="1692">
        <f>SUM(L229,L279,L280,L285,L293,L294)</f>
        <v>635725</v>
      </c>
    </row>
    <row r="296" spans="1:14" ht="13.5" thickTop="1" x14ac:dyDescent="0.2">
      <c r="A296" s="2179" t="s">
        <v>1053</v>
      </c>
      <c r="B296" s="2180"/>
      <c r="C296" s="617"/>
      <c r="D296" s="619"/>
      <c r="E296" s="617"/>
      <c r="F296" s="617"/>
      <c r="G296" s="617"/>
      <c r="H296" s="688"/>
      <c r="I296" s="617"/>
      <c r="J296" s="617"/>
      <c r="K296" s="1706">
        <f>'Revenues 9-14'!G275-'Expenditures 15-22'!K295</f>
        <v>-79417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0" t="s">
        <v>1053</v>
      </c>
      <c r="B313" s="2191"/>
      <c r="C313" s="627"/>
      <c r="D313" s="627"/>
      <c r="E313" s="627"/>
      <c r="F313" s="627"/>
      <c r="G313" s="627"/>
      <c r="H313" s="627"/>
      <c r="I313" s="627"/>
      <c r="J313" s="627"/>
      <c r="K313" s="1707">
        <f>'Revenues 9-14'!H275-'Expenditures 15-22'!K312</f>
        <v>216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v>99441</v>
      </c>
      <c r="F320" s="467"/>
      <c r="G320" s="467"/>
      <c r="H320" s="467"/>
      <c r="I320" s="467"/>
      <c r="J320" s="467"/>
      <c r="K320" s="1693">
        <f t="shared" ref="K320:K327" si="24">SUM(C320:J320)</f>
        <v>99441</v>
      </c>
      <c r="L320" s="467">
        <v>99441</v>
      </c>
      <c r="M320" s="666"/>
      <c r="N320" s="666"/>
    </row>
    <row r="321" spans="1:14" s="675" customFormat="1" x14ac:dyDescent="0.2">
      <c r="A321" s="1541" t="s">
        <v>318</v>
      </c>
      <c r="B321" s="698" t="s">
        <v>301</v>
      </c>
      <c r="C321" s="467"/>
      <c r="D321" s="467"/>
      <c r="E321" s="467">
        <v>490</v>
      </c>
      <c r="F321" s="467"/>
      <c r="G321" s="467"/>
      <c r="H321" s="467"/>
      <c r="I321" s="467"/>
      <c r="J321" s="467"/>
      <c r="K321" s="1693">
        <f t="shared" si="24"/>
        <v>490</v>
      </c>
      <c r="L321" s="467">
        <v>3500</v>
      </c>
      <c r="M321" s="666"/>
      <c r="N321" s="666"/>
    </row>
    <row r="322" spans="1:14" s="675" customFormat="1" x14ac:dyDescent="0.2">
      <c r="A322" s="1541" t="s">
        <v>256</v>
      </c>
      <c r="B322" s="698" t="s">
        <v>302</v>
      </c>
      <c r="C322" s="467"/>
      <c r="D322" s="467"/>
      <c r="E322" s="467">
        <v>57771</v>
      </c>
      <c r="F322" s="467"/>
      <c r="G322" s="467"/>
      <c r="H322" s="467"/>
      <c r="I322" s="467"/>
      <c r="J322" s="467"/>
      <c r="K322" s="1693">
        <f t="shared" si="24"/>
        <v>57771</v>
      </c>
      <c r="L322" s="467">
        <v>58500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157702</v>
      </c>
      <c r="F330" s="1692">
        <f t="shared" si="25"/>
        <v>0</v>
      </c>
      <c r="G330" s="1692">
        <f t="shared" si="25"/>
        <v>0</v>
      </c>
      <c r="H330" s="1692">
        <f t="shared" si="25"/>
        <v>0</v>
      </c>
      <c r="I330" s="1692">
        <f t="shared" si="25"/>
        <v>0</v>
      </c>
      <c r="J330" s="1692">
        <f t="shared" si="25"/>
        <v>0</v>
      </c>
      <c r="K330" s="1692">
        <f>SUM(K319:K329)</f>
        <v>157702</v>
      </c>
      <c r="L330" s="1692">
        <f>SUM(L319:L329)</f>
        <v>161441</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157702</v>
      </c>
      <c r="F342" s="1692">
        <f>SUM(F330)</f>
        <v>0</v>
      </c>
      <c r="G342" s="1692">
        <f>SUM(G330)</f>
        <v>0</v>
      </c>
      <c r="H342" s="1692">
        <f>SUM(H330,H334,H340)</f>
        <v>0</v>
      </c>
      <c r="I342" s="1692">
        <f>SUM(I330)</f>
        <v>0</v>
      </c>
      <c r="J342" s="1692">
        <f>SUM(J330)</f>
        <v>0</v>
      </c>
      <c r="K342" s="1692">
        <f>SUM(K330,K334,K340)</f>
        <v>157702</v>
      </c>
      <c r="L342" s="1699">
        <f>SUM(L330,L340,L341)</f>
        <v>161441</v>
      </c>
    </row>
    <row r="343" spans="1:14" ht="12.75" customHeight="1" thickTop="1" x14ac:dyDescent="0.2">
      <c r="A343" s="2192" t="s">
        <v>1053</v>
      </c>
      <c r="B343" s="2193"/>
      <c r="C343" s="617"/>
      <c r="D343" s="617"/>
      <c r="E343" s="617"/>
      <c r="F343" s="617"/>
      <c r="G343" s="617"/>
      <c r="H343" s="617"/>
      <c r="I343" s="617"/>
      <c r="J343" s="617"/>
      <c r="K343" s="1706">
        <f>'Revenues 9-14'!J275-'Expenditures 15-22'!K342</f>
        <v>50429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9" t="s">
        <v>1053</v>
      </c>
      <c r="B368" s="218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purl.org/dc/terms/"/>
    <ds:schemaRef ds:uri="http://schemas.microsoft.com/office/2006/metadata/properties"/>
    <ds:schemaRef ds:uri="http://schemas.openxmlformats.org/package/2006/metadata/core-properties"/>
    <ds:schemaRef ds:uri="6ce3111e-7420-4802-b50a-75d4e9a0b980"/>
    <ds:schemaRef ds:uri="http://purl.org/dc/dcmitype/"/>
    <ds:schemaRef ds:uri="http://schemas.microsoft.com/office/infopath/2007/PartnerControls"/>
    <ds:schemaRef ds:uri="4d435f69-8686-490b-bd6d-b153bf22ab50"/>
    <ds:schemaRef ds:uri="http://schemas.microsoft.com/office/2006/documentManagement/type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2018-10-10T19:27:52Z</cp:lastPrinted>
  <dcterms:created xsi:type="dcterms:W3CDTF">2003-10-29T19:06:34Z</dcterms:created>
  <dcterms:modified xsi:type="dcterms:W3CDTF">2018-11-05T21:53:45Z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