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950" windowWidth="28830" windowHeight="61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SEFA NOTES" sheetId="173" r:id="rId31"/>
    <sheet name="SF&amp;QC Sec-1" sheetId="174" r:id="rId32"/>
    <sheet name="SF&amp;QC Sec-2" sheetId="175" r:id="rId33"/>
    <sheet name="SF&amp;QC Sec-3" sheetId="176" r:id="rId34"/>
    <sheet name="SSPAF" sheetId="177" r:id="rId35"/>
  </sheets>
  <definedNames>
    <definedName name="_xlnm.Print_Area" localSheetId="27">' SEFA'!$B$1:$M$46</definedName>
    <definedName name="_xlnm.Print_Area" localSheetId="28">' SEFA (2)'!$B$1:$M$46</definedName>
    <definedName name="_xlnm.Print_Area" localSheetId="29">' SEFA (3)'!$B$1:$M$46</definedName>
    <definedName name="_xlnm.Print_Area" localSheetId="30">'SEFA NOTES'!$A$1:$F$52</definedName>
    <definedName name="_xlnm.Print_Area" localSheetId="26">'SEFA Reconcile'!$A$1:$E$49</definedName>
    <definedName name="_xlnm.Print_Area" localSheetId="31">'SF&amp;QC Sec-1'!$A$1:$J$63</definedName>
    <definedName name="_xlnm.Print_Area" localSheetId="33">'SF&amp;QC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17">#REF!</definedName>
    <definedName name="SCHADDRS" localSheetId="21">#REF!</definedName>
    <definedName name="SCHADDRS" localSheetId="4">#REF!</definedName>
    <definedName name="SCHADDRS" localSheetId="30">#REF!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28">#REF!</definedName>
    <definedName name="SCHCTY" localSheetId="29">#REF!</definedName>
    <definedName name="SCHCTY" localSheetId="17">#REF!</definedName>
    <definedName name="SCHCTY" localSheetId="21">#REF!</definedName>
    <definedName name="SCHCTY" localSheetId="4">#REF!</definedName>
    <definedName name="SCHCTY" localSheetId="30">#REF!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28">#REF!</definedName>
    <definedName name="SCHNMBR" localSheetId="29">#REF!</definedName>
    <definedName name="SCHNMBR" localSheetId="17">#REF!</definedName>
    <definedName name="SCHNMBR" localSheetId="21">#REF!</definedName>
    <definedName name="SCHNMBR" localSheetId="4">#REF!</definedName>
    <definedName name="SCHNMBR" localSheetId="30">#REF!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28">#REF!</definedName>
    <definedName name="SCHNME" localSheetId="29">#REF!</definedName>
    <definedName name="SCHNME" localSheetId="17">#REF!</definedName>
    <definedName name="SCHNME" localSheetId="21">#REF!</definedName>
    <definedName name="SCHNME" localSheetId="4">#REF!</definedName>
    <definedName name="SCHNME" localSheetId="30">#REF!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28">#REF!</definedName>
    <definedName name="SUPT" localSheetId="29">#REF!</definedName>
    <definedName name="SUPT" localSheetId="17">#REF!</definedName>
    <definedName name="SUPT" localSheetId="21">#REF!</definedName>
    <definedName name="SUPT" localSheetId="4">#REF!</definedName>
    <definedName name="SUPT" localSheetId="30">#REF!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62913"/>
</workbook>
</file>

<file path=xl/calcChain.xml><?xml version="1.0" encoding="utf-8"?>
<calcChain xmlns="http://schemas.openxmlformats.org/spreadsheetml/2006/main">
  <c r="C39" i="3" l="1"/>
  <c r="C30" i="3"/>
  <c r="D5" i="29"/>
  <c r="L27" i="184" l="1"/>
  <c r="L26" i="184"/>
  <c r="L25" i="184"/>
  <c r="L24" i="184"/>
  <c r="L23" i="184"/>
  <c r="L22" i="184"/>
  <c r="L21" i="184"/>
  <c r="L20" i="184"/>
  <c r="L19" i="184"/>
  <c r="L18" i="184"/>
  <c r="L17" i="184"/>
  <c r="L16" i="184"/>
  <c r="L15" i="184"/>
  <c r="L14" i="184"/>
  <c r="L13" i="184"/>
  <c r="L12" i="184"/>
  <c r="L11" i="184"/>
  <c r="B4" i="184"/>
  <c r="L27" i="183"/>
  <c r="L26" i="183"/>
  <c r="L25" i="183"/>
  <c r="L24" i="183"/>
  <c r="L23" i="183"/>
  <c r="L22" i="183"/>
  <c r="L21" i="183"/>
  <c r="L20" i="183"/>
  <c r="L19" i="183"/>
  <c r="L18" i="183"/>
  <c r="L17" i="183"/>
  <c r="L16" i="183"/>
  <c r="L15" i="183"/>
  <c r="L14" i="183"/>
  <c r="L13" i="183"/>
  <c r="L12" i="183"/>
  <c r="L11" i="183"/>
  <c r="B4" i="18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3" l="1"/>
  <c r="B1" i="184"/>
  <c r="B2" i="184"/>
  <c r="B2" i="183"/>
  <c r="B2" i="179"/>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B5246" i="106" s="1"/>
  <c r="D5246" i="106" s="1"/>
  <c r="C211" i="5"/>
  <c r="C216" i="5"/>
  <c r="C224" i="5"/>
  <c r="B5286" i="106" s="1"/>
  <c r="D5286" i="106" s="1"/>
  <c r="C228" i="5"/>
  <c r="C259" i="5"/>
  <c r="B7761" i="106"/>
  <c r="L127" i="29"/>
  <c r="L129" i="29" s="1"/>
  <c r="L139" i="29"/>
  <c r="L149" i="29"/>
  <c r="I7" i="145"/>
  <c r="I6" i="145"/>
  <c r="D78" i="36"/>
  <c r="K75" i="29"/>
  <c r="K130" i="29"/>
  <c r="K185" i="29"/>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I24" i="12"/>
  <c r="B1996" i="106" s="1"/>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0" i="29"/>
  <c r="B3670" i="106" s="1"/>
  <c r="D3670" i="106" s="1"/>
  <c r="K351" i="29"/>
  <c r="B3671" i="106" s="1"/>
  <c r="D3671" i="106" s="1"/>
  <c r="K352" i="29"/>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c r="J10" i="37"/>
  <c r="D11" i="37"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c r="B5100" i="106"/>
  <c r="D5100" i="106"/>
  <c r="B5101" i="106"/>
  <c r="D5101" i="106"/>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c r="B5118" i="106"/>
  <c r="D5118" i="106"/>
  <c r="B5119" i="106"/>
  <c r="D5119" i="106" s="1"/>
  <c r="B5122" i="106"/>
  <c r="D5122" i="106" s="1"/>
  <c r="B5123" i="106"/>
  <c r="D5123" i="106" s="1"/>
  <c r="B5124" i="106"/>
  <c r="D5124" i="106" s="1"/>
  <c r="B5126" i="106"/>
  <c r="D5126" i="106" s="1"/>
  <c r="B5127" i="106"/>
  <c r="D5127" i="106"/>
  <c r="D5128" i="106"/>
  <c r="D5129" i="106"/>
  <c r="D5130" i="106"/>
  <c r="D5131" i="106"/>
  <c r="B5133" i="106"/>
  <c r="D5133" i="106"/>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5" i="106"/>
  <c r="D6285"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2" i="36"/>
  <c r="D68" i="36"/>
  <c r="D69" i="36"/>
  <c r="D71" i="36"/>
  <c r="D72" i="36"/>
  <c r="D79" i="36"/>
  <c r="B64" i="127"/>
  <c r="B65" i="127"/>
  <c r="E26" i="108"/>
  <c r="G26" i="108"/>
  <c r="D27" i="108"/>
  <c r="E27" i="108"/>
  <c r="F27" i="108"/>
  <c r="G27" i="108"/>
  <c r="F31" i="108"/>
  <c r="F36" i="108"/>
  <c r="F37" i="108"/>
  <c r="G28" i="108"/>
  <c r="E30" i="108"/>
  <c r="G30" i="108"/>
  <c r="D31" i="108"/>
  <c r="D36" i="108"/>
  <c r="D37" i="108"/>
  <c r="E31" i="108"/>
  <c r="G31" i="108"/>
  <c r="E33" i="108"/>
  <c r="G33" i="108"/>
  <c r="E34" i="108"/>
  <c r="G34"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F35" i="34"/>
  <c r="C36" i="34"/>
  <c r="D36" i="34"/>
  <c r="F36" i="34"/>
  <c r="C37" i="34"/>
  <c r="D37" i="34"/>
  <c r="F37" i="34"/>
  <c r="C38" i="34"/>
  <c r="D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5"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B5066" i="106" s="1"/>
  <c r="D5066" i="106" s="1"/>
  <c r="D12" i="5"/>
  <c r="B5334" i="106"/>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c r="D5878" i="106" s="1"/>
  <c r="I18" i="5"/>
  <c r="B5923" i="106"/>
  <c r="D5923" i="106" s="1"/>
  <c r="J18" i="5"/>
  <c r="B6306" i="106"/>
  <c r="D6306" i="106" s="1"/>
  <c r="K18" i="5"/>
  <c r="B5992" i="106"/>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c r="D5886" i="106" s="1"/>
  <c r="I108" i="5"/>
  <c r="B5930" i="106" s="1"/>
  <c r="D5930" i="106" s="1"/>
  <c r="J108" i="5"/>
  <c r="B6351" i="106" s="1"/>
  <c r="D6351" i="106" s="1"/>
  <c r="K108" i="5"/>
  <c r="B5999" i="106" s="1"/>
  <c r="D5999" i="106" s="1"/>
  <c r="E109" i="5"/>
  <c r="E4" i="4" s="1"/>
  <c r="B2630" i="106" s="1"/>
  <c r="D26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72" i="5"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D5" i="4"/>
  <c r="B3406" i="106" s="1"/>
  <c r="D3406" i="106" s="1"/>
  <c r="G5" i="4"/>
  <c r="B3409" i="106" s="1"/>
  <c r="D3409" i="106" s="1"/>
  <c r="K13" i="4"/>
  <c r="B3572" i="106" s="1"/>
  <c r="D3572"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H33" i="118"/>
  <c r="D22" i="37"/>
  <c r="H22" i="37"/>
  <c r="J22" i="37"/>
  <c r="L22" i="37"/>
  <c r="D24" i="37"/>
  <c r="B4270" i="106" s="1"/>
  <c r="D4270" i="106" s="1"/>
  <c r="L5" i="11"/>
  <c r="B2056" i="106" s="1"/>
  <c r="D2056" i="106" s="1"/>
  <c r="D5" i="7"/>
  <c r="B1761" i="106" s="1"/>
  <c r="D1761" i="106" s="1"/>
  <c r="D13" i="7"/>
  <c r="B3726" i="106" s="1"/>
  <c r="D3726" i="106" s="1"/>
  <c r="D9" i="7"/>
  <c r="B1767" i="106" s="1"/>
  <c r="D1767" i="106" s="1"/>
  <c r="F136" i="34"/>
  <c r="F131" i="34"/>
  <c r="F130" i="34"/>
  <c r="F128" i="34"/>
  <c r="F127" i="34"/>
  <c r="F111" i="34"/>
  <c r="B5847" i="106"/>
  <c r="D5847" i="106" s="1"/>
  <c r="B5752" i="106"/>
  <c r="D5752" i="106" s="1"/>
  <c r="B5599" i="106"/>
  <c r="D5599" i="106" s="1"/>
  <c r="K274" i="5"/>
  <c r="H173" i="5"/>
  <c r="B5906" i="106" s="1"/>
  <c r="D5906" i="106" s="1"/>
  <c r="H109" i="5"/>
  <c r="B6025" i="106" s="1"/>
  <c r="D6025" i="106" s="1"/>
  <c r="F106" i="34"/>
  <c r="D7" i="7"/>
  <c r="B1763" i="106" s="1"/>
  <c r="D1763" i="106" s="1"/>
  <c r="H6" i="4"/>
  <c r="B2656" i="106" s="1"/>
  <c r="D2656" i="106" s="1"/>
  <c r="B1746" i="106"/>
  <c r="D1746" i="106" s="1"/>
  <c r="D17" i="7"/>
  <c r="B4104" i="106" s="1"/>
  <c r="D4104" i="106" s="1"/>
  <c r="D12" i="7"/>
  <c r="B1769" i="106" s="1"/>
  <c r="D1769" i="106" s="1"/>
  <c r="D11" i="7"/>
  <c r="B1768" i="106" s="1"/>
  <c r="D1768" i="106" s="1"/>
  <c r="D15" i="7"/>
  <c r="B1772" i="106" s="1"/>
  <c r="D1772" i="106" s="1"/>
  <c r="G173" i="5" l="1"/>
  <c r="B5778" i="106" s="1"/>
  <c r="D5778" i="106" s="1"/>
  <c r="B5770" i="106"/>
  <c r="D5770" i="106" s="1"/>
  <c r="H4" i="4"/>
  <c r="B2655" i="106" s="1"/>
  <c r="D2655" i="106" s="1"/>
  <c r="K28" i="118"/>
  <c r="O27" i="118" s="1"/>
  <c r="O29" i="118" s="1"/>
  <c r="I173" i="5"/>
  <c r="B4216" i="106" s="1"/>
  <c r="D4216" i="106" s="1"/>
  <c r="L312" i="29"/>
  <c r="D7245" i="106"/>
  <c r="I342" i="29"/>
  <c r="B7222" i="106" s="1"/>
  <c r="D7222" i="106" s="1"/>
  <c r="J41" i="3"/>
  <c r="G352" i="29"/>
  <c r="B3621" i="106"/>
  <c r="D3621" i="106" s="1"/>
  <c r="C367" i="29"/>
  <c r="K285" i="29"/>
  <c r="E174" i="29"/>
  <c r="B1309" i="106" s="1"/>
  <c r="D1309" i="106" s="1"/>
  <c r="K24" i="12"/>
  <c r="D6103" i="106"/>
  <c r="K76" i="4"/>
  <c r="B3586" i="106" s="1"/>
  <c r="D3586" i="106" s="1"/>
  <c r="F19" i="7"/>
  <c r="B1807" i="106" s="1"/>
  <c r="D1807" i="106" s="1"/>
  <c r="L342" i="29"/>
  <c r="G14" i="4"/>
  <c r="B2609" i="106" s="1"/>
  <c r="D2609" i="106" s="1"/>
  <c r="B1410" i="106"/>
  <c r="D1410" i="106" s="1"/>
  <c r="G29" i="108"/>
  <c r="E29" i="108"/>
  <c r="K184" i="29"/>
  <c r="F13" i="4" s="1"/>
  <c r="B2596" i="106" s="1"/>
  <c r="D2596" i="106" s="1"/>
  <c r="B1329" i="106"/>
  <c r="D1329" i="106" s="1"/>
  <c r="F61" i="34"/>
  <c r="F28" i="108"/>
  <c r="E28" i="108"/>
  <c r="G38" i="108"/>
  <c r="B1126" i="106"/>
  <c r="D1126" i="106" s="1"/>
  <c r="F26" i="108"/>
  <c r="D26" i="108"/>
  <c r="D41" i="108" s="1"/>
  <c r="E43" i="108" s="1"/>
  <c r="B2724" i="106"/>
  <c r="D2724" i="106" s="1"/>
  <c r="F38" i="34"/>
  <c r="F34" i="34"/>
  <c r="C172" i="5"/>
  <c r="B5214" i="106" s="1"/>
  <c r="D5214" i="106" s="1"/>
  <c r="D109" i="5"/>
  <c r="B5356" i="106" s="1"/>
  <c r="D5356" i="106" s="1"/>
  <c r="B5096" i="106"/>
  <c r="D5096" i="106" s="1"/>
  <c r="C109" i="5"/>
  <c r="B5121" i="106" s="1"/>
  <c r="D5121" i="106" s="1"/>
  <c r="G109" i="5"/>
  <c r="B6024" i="106" s="1"/>
  <c r="D6024" i="106" s="1"/>
  <c r="D4" i="4"/>
  <c r="B2564" i="106" s="1"/>
  <c r="D2564" i="106" s="1"/>
  <c r="D4" i="7"/>
  <c r="B1760" i="106" s="1"/>
  <c r="D1760" i="106" s="1"/>
  <c r="B3254" i="106"/>
  <c r="D3254" i="106" s="1"/>
  <c r="D54" i="36"/>
  <c r="B4268" i="106"/>
  <c r="D4268" i="106" s="1"/>
  <c r="D31" i="36"/>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F6" i="4" s="1"/>
  <c r="B2593" i="106" s="1"/>
  <c r="D259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G6" i="4"/>
  <c r="B2604" i="106" s="1"/>
  <c r="D2604" i="106" s="1"/>
  <c r="B6022" i="106"/>
  <c r="D6022" i="106" s="1"/>
  <c r="F274" i="5"/>
  <c r="E273" i="5"/>
  <c r="B6835" i="106"/>
  <c r="D6835" i="106" s="1"/>
  <c r="G273" i="5"/>
  <c r="B4398" i="106"/>
  <c r="D4398" i="106" s="1"/>
  <c r="B5537" i="106"/>
  <c r="D5537" i="106" s="1"/>
  <c r="E173" i="5"/>
  <c r="I109" i="5"/>
  <c r="B5527" i="106"/>
  <c r="D5527" i="106" s="1"/>
  <c r="L279" i="29"/>
  <c r="L295" i="29" s="1"/>
  <c r="L74" i="29"/>
  <c r="L114" i="29" s="1"/>
  <c r="K33" i="29"/>
  <c r="B720" i="106"/>
  <c r="D720"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73"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72" i="106"/>
  <c r="D3672" i="106" s="1"/>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K367" i="29" s="1"/>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B2657" i="106"/>
  <c r="D2657" i="106" s="1"/>
  <c r="H8" i="4"/>
  <c r="D274" i="5"/>
  <c r="D19" i="7"/>
  <c r="B1775" i="106" s="1"/>
  <c r="D1775" i="106" s="1"/>
  <c r="B7270" i="106"/>
  <c r="F41" i="108" l="1"/>
  <c r="G43" i="108" s="1"/>
  <c r="B3649" i="106"/>
  <c r="D3649" i="106" s="1"/>
  <c r="G367" i="29"/>
  <c r="B3650" i="106" s="1"/>
  <c r="D3650" i="106" s="1"/>
  <c r="D7255" i="106"/>
  <c r="D7253" i="106"/>
  <c r="D7252" i="106"/>
  <c r="H367" i="29"/>
  <c r="B3660" i="106" s="1"/>
  <c r="D3660" i="106" s="1"/>
  <c r="B7733" i="106"/>
  <c r="D7733" i="106" s="1"/>
  <c r="K26" i="12"/>
  <c r="B7743" i="106" s="1"/>
  <c r="D7743" i="106" s="1"/>
  <c r="F73" i="34"/>
  <c r="G15" i="4"/>
  <c r="B6032" i="106" s="1"/>
  <c r="D6032" i="106" s="1"/>
  <c r="L16" i="11"/>
  <c r="B2061" i="106" s="1"/>
  <c r="D2061" i="106" s="1"/>
  <c r="K342" i="29"/>
  <c r="F13" i="34" s="1"/>
  <c r="B1317" i="106"/>
  <c r="D1317" i="106" s="1"/>
  <c r="C114" i="29"/>
  <c r="B757" i="106" s="1"/>
  <c r="D757" i="106" s="1"/>
  <c r="B5653" i="106"/>
  <c r="D5653" i="106" s="1"/>
  <c r="F275" i="5"/>
  <c r="C173" i="5"/>
  <c r="B5223" i="106" s="1"/>
  <c r="D5223" i="106" s="1"/>
  <c r="C4" i="4"/>
  <c r="B2551" i="106" s="1"/>
  <c r="D2551" i="106" s="1"/>
  <c r="G4" i="4"/>
  <c r="B2603" i="106" s="1"/>
  <c r="D2603" i="106" s="1"/>
  <c r="D44" i="36"/>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J8" i="4"/>
  <c r="B2658" i="106"/>
  <c r="D2658" i="106" s="1"/>
  <c r="H10" i="4"/>
  <c r="B4127" i="106" s="1"/>
  <c r="D4127" i="106" s="1"/>
  <c r="D7" i="4"/>
  <c r="D275" i="5"/>
  <c r="B5507" i="106"/>
  <c r="D5507" i="106" s="1"/>
  <c r="B7298" i="106"/>
  <c r="B7299" i="106"/>
  <c r="B1145" i="106" l="1"/>
  <c r="D1145" i="106" s="1"/>
  <c r="E41" i="108"/>
  <c r="E44" i="108" s="1"/>
  <c r="E45" i="108" s="1"/>
  <c r="G41" i="108"/>
  <c r="G44" i="108" s="1"/>
  <c r="G45" i="108" s="1"/>
  <c r="C6" i="4"/>
  <c r="B2553" i="106" s="1"/>
  <c r="D2553" i="106" s="1"/>
  <c r="F8" i="4"/>
  <c r="B2595" i="106" s="1"/>
  <c r="D259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F10" i="4"/>
  <c r="B4125" i="106" s="1"/>
  <c r="D4125" i="106" s="1"/>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F76" i="34" l="1"/>
  <c r="D10" i="171"/>
  <c r="D19" i="171" s="1"/>
  <c r="D32" i="171" s="1"/>
  <c r="D49" i="171" s="1"/>
  <c r="D8" i="146"/>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<sst xmlns="http://schemas.openxmlformats.org/spreadsheetml/2006/main" count="5288" uniqueCount="2190">
  <si>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</si>
  <si>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</si>
  <si>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</si>
  <si>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</si>
  <si>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</si>
  <si>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</si>
  <si>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</si>
  <si>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</si>
  <si>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</si>
  <si>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</si>
  <si>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</si>
  <si>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</si>
  <si>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</si>
  <si>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</si>
  <si>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</si>
  <si>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</si>
  <si>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</si>
  <si>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</si>
  <si>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</si>
  <si>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</si>
  <si>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</si>
  <si>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</si>
  <si>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</si>
  <si>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</si>
  <si>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</si>
  <si>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</si>
  <si>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</si>
  <si>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</si>
  <si>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</si>
  <si>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</si>
  <si>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</si>
  <si>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</si>
  <si>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</si>
  <si>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</si>
  <si>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</si>
  <si>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</si>
  <si>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</si>
  <si>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</si>
  <si>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</si>
  <si>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</si>
  <si>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</si>
  <si>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</si>
  <si>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</si>
  <si>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</si>
  <si>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</si>
  <si>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</si>
  <si>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</si>
  <si>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</si>
  <si>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</si>
  <si>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</si>
  <si>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</si>
  <si>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</si>
  <si>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</si>
  <si>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</si>
  <si>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</si>
  <si>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</si>
  <si>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</si>
  <si>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</si>
  <si>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</si>
  <si>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</si>
  <si>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</si>
  <si>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</si>
  <si>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</si>
  <si>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</si>
  <si>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</si>
  <si>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</si>
  <si>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</si>
  <si>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</si>
  <si>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</si>
  <si>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</si>
  <si>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</si>
  <si>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</si>
  <si>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</si>
  <si>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</si>
  <si>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</si>
  <si>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</si>
  <si>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</si>
  <si>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</si>
  <si>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</si>
  <si>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</si>
  <si>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</si>
  <si>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</si>
  <si>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</si>
  <si>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</si>
  <si>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</si>
  <si>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</si>
  <si>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</si>
  <si>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</si>
  <si>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</si>
  <si>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</si>
  <si>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</si>
  <si>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</si>
  <si>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</si>
  <si>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</si>
  <si>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</si>
  <si>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</si>
  <si>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</si>
  <si>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</si>
  <si>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</si>
  <si>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</si>
  <si>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</si>
  <si>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</si>
  <si>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</si>
  <si>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</si>
  <si>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</si>
  <si>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</si>
  <si>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</si>
  <si>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</si>
  <si>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</si>
  <si>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</si>
  <si>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</si>
  <si>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</si>
  <si>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</si>
  <si>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</si>
  <si>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</si>
  <si>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</si>
  <si>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</si>
  <si>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</si>
  <si>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</si>
  <si>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</si>
  <si>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</si>
  <si>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</si>
  <si>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</si>
  <si>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</si>
  <si>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</si>
  <si>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</si>
  <si>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</si>
  <si>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</si>
  <si>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</si>
  <si>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</si>
  <si>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</si>
  <si>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</si>
  <si>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</si>
  <si>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</si>
  <si>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</si>
  <si>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</si>
  <si>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</si>
  <si>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</si>
  <si>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</si>
  <si>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</si>
  <si>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</si>
  <si>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</si>
  <si>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</si>
  <si>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</si>
  <si>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</si>
  <si>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</si>
  <si>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</si>
  <si>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</si>
  <si>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</si>
  <si>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</si>
  <si>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</si>
  <si>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</si>
  <si>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</si>
  <si>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</si>
  <si>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</si>
  <si>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</si>
  <si>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</si>
  <si>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</si>
  <si>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</si>
  <si>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</si>
  <si>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</si>
  <si>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</si>
  <si>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</si>
  <si>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</si>
  <si>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</si>
  <si>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</si>
  <si>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</si>
  <si>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</si>
  <si>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</si>
  <si>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</si>
  <si>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</si>
  <si>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</si>
  <si>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</si>
  <si>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</si>
  <si>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</si>
  <si>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</si>
  <si>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</si>
  <si>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</si>
  <si>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</si>
  <si>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</si>
  <si>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</si>
  <si>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</si>
  <si>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</si>
  <si>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</si>
  <si>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</si>
  <si>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</si>
  <si>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</si>
  <si>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</si>
  <si>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</si>
  <si>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</si>
  <si>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</si>
  <si>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</si>
  <si>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</si>
  <si>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</si>
  <si>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</si>
  <si>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</si>
  <si>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</si>
  <si>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</si>
  <si>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</si>
  <si>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</si>
  <si>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</si>
  <si>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</si>
  <si>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</si>
  <si>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</si>
  <si>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</si>
  <si>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</si>
  <si>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</si>
  <si>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</si>
  <si>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</si>
  <si>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</si>
  <si>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</si>
  <si>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</si>
  <si>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</si>
  <si>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</si>
  <si>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</si>
  <si>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</si>
  <si>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</si>
  <si>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</si>
  <si>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</si>
  <si>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</si>
  <si>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</si>
  <si>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</si>
  <si>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</si>
  <si>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</si>
  <si>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</si>
  <si>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</si>
  <si>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</si>
  <si>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</si>
  <si>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</si>
  <si>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</si>
  <si>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</si>
  <si>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</si>
  <si>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</si>
  <si>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</si>
  <si>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</si>
  <si>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</si>
  <si>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</si>
  <si>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</si>
  <si>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</si>
  <si>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</si>
  <si>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</si>
  <si>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</si>
  <si>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</si>
  <si>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</si>
  <si>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</si>
  <si>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</si>
  <si>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</si>
  <si>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</si>
  <si>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</si>
  <si>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</si>
  <si>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</si>
  <si>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</si>
  <si>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</si>
  <si>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</si>
  <si>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</si>
  <si>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</si>
  <si>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</si>
  <si>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</si>
  <si>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</si>
  <si>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</si>
  <si>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</si>
  <si>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</si>
  <si>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</si>
  <si>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</si>
  <si>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</si>
  <si>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</si>
  <si>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</si>
  <si>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</si>
  <si>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</si>
  <si>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</si>
  <si>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</si>
  <si>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</si>
  <si>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</si>
  <si>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</si>
  <si>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</si>
  <si>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</si>
  <si>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</si>
  <si>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</si>
  <si>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</si>
  <si>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</si>
  <si>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</si>
  <si>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</si>
  <si>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</si>
  <si>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</si>
  <si>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</si>
  <si>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</si>
  <si>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</si>
  <si>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</si>
  <si>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</si>
  <si>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</si>
  <si>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</si>
  <si>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</si>
  <si>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</si>
  <si>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</si>
  <si>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</si>
  <si>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</si>
  <si>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</si>
  <si>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</si>
  <si>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</si>
  <si>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</si>
  <si>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</si>
  <si>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</si>
  <si>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</si>
  <si>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</si>
  <si>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</si>
  <si>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</si>
  <si>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</si>
  <si>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</si>
  <si>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</si>
  <si>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</si>
  <si>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</si>
  <si>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</si>
  <si>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</si>
  <si>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</si>
  <si>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</si>
  <si>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</si>
  <si>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</si>
  <si>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</si>
  <si>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</si>
  <si>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</si>
  <si>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</si>
  <si>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</si>
  <si>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</si>
  <si>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</si>
  <si>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</si>
  <si>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</si>
  <si>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</si>
  <si>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</si>
  <si>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</si>
  <si>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</si>
  <si>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</si>
  <si>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</si>
  <si>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</si>
  <si>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</si>
  <si>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</si>
  <si>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</si>
  <si>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</si>
  <si>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</si>
  <si>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</si>
  <si>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</si>
  <si>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</si>
  <si>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</si>
  <si>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</si>
  <si>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</si>
  <si>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</si>
  <si>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</si>
  <si>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</si>
  <si>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</si>
  <si>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</si>
  <si>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</si>
  <si>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</si>
  <si>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</si>
  <si>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</si>
  <si>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</si>
  <si>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</si>
  <si>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</si>
  <si>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</si>
  <si>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</si>
  <si>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</si>
  <si>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</si>
  <si>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</si>
  <si>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</si>
  <si>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</si>
  <si>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</si>
  <si>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</si>
  <si>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</si>
  <si>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</si>
  <si>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</si>
  <si>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</si>
  <si>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</si>
  <si>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</si>
  <si>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</si>
  <si>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</si>
  <si>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</si>
  <si>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</si>
  <si>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</si>
  <si>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</si>
  <si>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</si>
  <si>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</si>
  <si>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</si>
  <si>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</si>
  <si>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</si>
  <si>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</si>
  <si>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</si>
  <si>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</si>
  <si>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</si>
  <si>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</si>
  <si>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</si>
  <si>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</si>
  <si>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</si>
  <si>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</si>
  <si>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</si>
  <si>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</si>
  <si>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</si>
  <si>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</si>
  <si>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</si>
  <si>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</si>
  <si>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</si>
  <si>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</si>
  <si>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</si>
  <si>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</si>
  <si>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</si>
  <si>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</si>
  <si>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</si>
  <si>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</si>
  <si>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</si>
  <si>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</si>
  <si>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</si>
  <si>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</si>
  <si>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</si>
  <si>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</si>
  <si>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</si>
  <si>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</si>
  <si>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</si>
  <si>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</si>
  <si>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</si>
  <si>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</si>
  <si>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</si>
  <si>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</si>
  <si>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</si>
  <si>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</si>
  <si>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</si>
  <si>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</si>
  <si>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</si>
  <si>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</si>
  <si>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</si>
  <si>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</si>
  <si>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</si>
  <si>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</si>
  <si>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</si>
  <si>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</si>
  <si>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</si>
  <si>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</si>
  <si>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</si>
  <si>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</si>
  <si>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</si>
  <si>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</si>
  <si>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</si>
  <si>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</si>
  <si>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</si>
  <si>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</si>
  <si>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</si>
  <si>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</si>
  <si>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</si>
  <si>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</si>
  <si>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</si>
  <si>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</si>
  <si>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</si>
  <si>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</si>
  <si>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</si>
  <si>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</si>
  <si>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</si>
  <si>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</si>
  <si>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</si>
  <si>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</si>
  <si>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</si>
  <si>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</si>
  <si>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</si>
  <si>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</si>
  <si>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</si>
  <si>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</si>
  <si>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</si>
  <si>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</si>
  <si>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</si>
  <si>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</si>
  <si>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</si>
  <si>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</si>
  <si>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</si>
  <si>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</si>
  <si>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</si>
  <si>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</si>
  <si>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</si>
  <si>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</si>
  <si>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</si>
  <si>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</si>
  <si>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</si>
  <si>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</si>
  <si>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</si>
  <si>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</si>
  <si>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</si>
  <si>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</si>
  <si>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</si>
  <si>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</si>
  <si>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</si>
  <si>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</si>
  <si>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</si>
  <si>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</si>
  <si>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</si>
  <si>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</si>
  <si>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</si>
  <si>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</si>
  <si>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</si>
  <si>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</si>
  <si>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</si>
  <si>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</si>
  <si>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</si>
  <si>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</si>
  <si>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</si>
  <si>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</si>
  <si>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</si>
  <si>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</si>
  <si>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</si>
  <si>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</si>
  <si>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</si>
  <si>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</si>
  <si>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</si>
  <si>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</si>
  <si>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</si>
  <si>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</si>
  <si>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</si>
  <si>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</si>
  <si>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</si>
  <si>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</si>
  <si>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</si>
  <si>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</si>
  <si>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</si>
  <si>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</si>
  <si>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</si>
  <si>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</si>
  <si>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</si>
  <si>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</si>
  <si>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</si>
  <si>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</si>
  <si>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</si>
  <si>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</si>
  <si>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</si>
  <si>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</si>
  <si>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</si>
  <si>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</si>
  <si>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</si>
  <si>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</si>
  <si>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</si>
  <si>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</si>
  <si>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</si>
  <si>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</si>
  <si>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</si>
  <si>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</si>
  <si>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</si>
  <si>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</si>
  <si>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</si>
  <si>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</si>
  <si>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</si>
  <si>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</si>
  <si>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</si>
  <si>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</si>
  <si>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</si>
  <si>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</si>
  <si>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</si>
  <si>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</si>
  <si>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</si>
  <si>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</si>
  <si>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</si>
  <si>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</si>
  <si>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</si>
  <si>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</si>
  <si>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</si>
  <si>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</si>
  <si>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</si>
  <si>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</si>
  <si>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</si>
  <si>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</si>
  <si>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</si>
  <si>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</si>
  <si>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</si>
  <si>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</si>
  <si>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</si>
  <si>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</si>
  <si>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</si>
  <si>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</si>
  <si>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</si>
  <si>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</si>
  <si>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</si>
  <si>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</si>
  <si>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</si>
  <si>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</si>
  <si>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</si>
  <si>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</si>
  <si>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</si>
  <si>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</si>
  <si>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</si>
  <si>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</si>
  <si>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</si>
  <si>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</si>
  <si>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</si>
  <si>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</si>
  <si>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</si>
  <si>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</si>
  <si>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</si>
  <si>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</si>
  <si>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</si>
  <si>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</si>
  <si>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</si>
  <si>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</si>
  <si>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</si>
  <si>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</si>
  <si>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</si>
  <si>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</si>
  <si>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</si>
  <si>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</si>
  <si>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</si>
  <si>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</si>
  <si>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</si>
  <si>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</si>
  <si>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</si>
  <si>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</si>
  <si>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</si>
  <si>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</si>
  <si>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</si>
  <si>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</si>
  <si>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</si>
  <si>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</si>
  <si>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</si>
  <si>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</si>
  <si>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</si>
  <si>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</si>
  <si>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</si>
  <si>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</si>
  <si>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</si>
  <si>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</si>
  <si>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</si>
  <si>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</si>
  <si>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</si>
  <si>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</si>
  <si>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</si>
  <si>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</si>
  <si>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</si>
  <si>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</si>
  <si>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</si>
  <si>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</si>
  <si>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</si>
  <si>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</si>
  <si>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</si>
  <si>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</si>
  <si>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</si>
  <si>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</si>
  <si>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</si>
  <si>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</si>
  <si>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</si>
  <si>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</si>
  <si>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</si>
  <si>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</si>
  <si>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</si>
  <si>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</si>
  <si>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</si>
  <si>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</si>
  <si>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</si>
  <si>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</si>
  <si>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</si>
  <si>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</si>
  <si>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</si>
  <si>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</si>
  <si>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</si>
  <si>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</si>
  <si>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</si>
  <si>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</si>
  <si>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</si>
  <si>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</si>
  <si>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</si>
  <si>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</si>
  <si>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</si>
  <si>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</si>
  <si>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</si>
  <si>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</si>
  <si>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</si>
  <si>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</si>
  <si>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</si>
  <si>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</si>
  <si>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</si>
  <si>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</si>
  <si>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</si>
  <si>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</si>
  <si>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</si>
  <si>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</si>
  <si>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</si>
  <si>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</si>
  <si>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</si>
  <si>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</si>
  <si>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</si>
  <si>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</si>
  <si>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</si>
  <si>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</si>
  <si>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</si>
  <si>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</si>
  <si>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</si>
  <si>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</si>
  <si>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</si>
  <si>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</si>
  <si>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</si>
  <si>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</si>
  <si>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</si>
  <si>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</si>
  <si>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</si>
  <si>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</si>
  <si>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</si>
  <si>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</si>
  <si>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</si>
  <si>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</si>
  <si>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</si>
  <si>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</si>
  <si>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</si>
  <si>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</si>
  <si>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</si>
  <si>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</si>
  <si>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</si>
  <si>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</si>
  <si>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</si>
  <si>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</si>
  <si>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</si>
  <si>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</si>
  <si>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</si>
  <si>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</si>
  <si>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</si>
  <si>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</si>
  <si>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</si>
  <si>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</si>
  <si>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</si>
  <si>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</si>
  <si>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</si>
  <si>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</si>
  <si>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</si>
  <si>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</si>
  <si>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</si>
  <si>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</si>
  <si>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</si>
  <si>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</si>
  <si>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</si>
  <si>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</si>
  <si>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</si>
  <si>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</si>
  <si>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</si>
  <si>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</si>
  <si>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</si>
  <si>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</si>
  <si>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</si>
  <si>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</si>
  <si>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</si>
  <si>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</si>
  <si>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</si>
  <si>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</si>
  <si>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</si>
  <si>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</si>
  <si>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</si>
  <si>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</si>
  <si>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</si>
  <si>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</si>
  <si>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</si>
  <si>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</si>
  <si>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</si>
  <si>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</si>
  <si>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</si>
  <si>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</si>
  <si>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</si>
  <si>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</si>
  <si>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</si>
  <si>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</si>
  <si>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</si>
  <si>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</si>
  <si>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</si>
  <si>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</si>
  <si>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</si>
  <si>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</si>
  <si>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</si>
  <si>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</si>
  <si>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</si>
  <si>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</si>
  <si>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</si>
  <si>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</si>
  <si>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</si>
  <si>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</si>
  <si>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</si>
  <si>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</si>
  <si>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</si>
  <si>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</si>
  <si>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</si>
  <si>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</si>
  <si>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</si>
  <si>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</si>
  <si>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</si>
  <si>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</si>
  <si>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</si>
  <si>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</si>
  <si>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</si>
  <si>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</si>
  <si>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</si>
  <si>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</si>
  <si>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</si>
  <si>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</si>
  <si>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</si>
  <si>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</si>
  <si>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</si>
  <si>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</si>
  <si>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</si>
  <si>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</si>
  <si>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</si>
  <si>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</si>
  <si>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</si>
  <si>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</si>
  <si>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</si>
  <si>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</si>
  <si>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</si>
  <si>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</si>
  <si>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</si>
  <si>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</si>
  <si>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</si>
  <si>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</si>
  <si>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</si>
  <si>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</si>
  <si>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</si>
  <si>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</si>
  <si>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</si>
  <si>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</si>
  <si>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</si>
  <si>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</si>
  <si>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</si>
  <si>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</si>
  <si>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</si>
  <si>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</si>
  <si>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</si>
  <si>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</si>
  <si>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</si>
  <si>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</si>
  <si>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</si>
  <si>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</si>
  <si>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</si>
  <si>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</si>
  <si>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</si>
  <si>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</si>
  <si>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</si>
  <si>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</si>
  <si>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</si>
  <si>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</si>
  <si>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</si>
  <si>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</si>
  <si>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</si>
  <si>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</si>
  <si>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</si>
  <si>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</si>
  <si>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</si>
  <si>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</si>
  <si>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</si>
  <si>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</si>
  <si>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</si>
  <si>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</si>
  <si>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</si>
  <si>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</si>
  <si>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</si>
  <si>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</si>
  <si>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</si>
  <si>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</si>
  <si>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</si>
  <si>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</si>
  <si>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</si>
  <si>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</si>
  <si>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</si>
  <si>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</si>
  <si>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</si>
  <si>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</si>
  <si>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</si>
  <si>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</si>
  <si>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</si>
  <si>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</si>
  <si>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</si>
  <si>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</si>
  <si>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</si>
  <si>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</si>
  <si>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</si>
  <si>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</si>
  <si>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</si>
  <si>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</si>
  <si>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</si>
  <si>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</si>
  <si>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</si>
  <si>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</si>
  <si>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</si>
  <si>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</si>
  <si>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</si>
  <si>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</si>
  <si>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</si>
  <si>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</si>
  <si>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</si>
  <si>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</si>
  <si>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</si>
  <si>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</si>
  <si>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</si>
  <si>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</si>
  <si>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</si>
  <si>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</si>
  <si>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</si>
  <si>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</si>
  <si>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</si>
  <si>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</si>
  <si>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</si>
  <si>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</si>
  <si>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</si>
  <si>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</si>
  <si>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</si>
  <si>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</si>
  <si>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</si>
  <si>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</si>
  <si>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</si>
  <si>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</si>
  <si>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</si>
  <si>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</si>
  <si>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</si>
  <si>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</si>
  <si>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</si>
  <si>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</si>
  <si>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</si>
  <si>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</si>
  <si>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</si>
  <si>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</si>
  <si>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</si>
  <si>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</si>
  <si>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</si>
  <si>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</si>
  <si>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</si>
  <si>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</si>
  <si>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</si>
  <si>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</si>
  <si>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</si>
  <si>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</si>
  <si>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</si>
  <si>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</si>
  <si>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</si>
  <si>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</si>
  <si>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</si>
  <si>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</si>
  <si>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</si>
  <si>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</si>
  <si>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</si>
  <si>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</si>
  <si>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</si>
  <si>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</si>
  <si>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</si>
  <si>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</si>
  <si>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</si>
  <si>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</si>
  <si>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</si>
  <si>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</si>
  <si>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</si>
  <si>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</si>
  <si>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</si>
  <si>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</si>
  <si>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</si>
  <si>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</si>
  <si>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</si>
  <si>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</si>
  <si>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</si>
  <si>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</si>
  <si>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</si>
  <si>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</si>
  <si>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</si>
  <si>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</si>
  <si>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</si>
  <si>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</si>
  <si>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</si>
  <si>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</si>
  <si>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</si>
  <si>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</si>
  <si>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</si>
  <si>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</si>
  <si>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</si>
  <si>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</si>
  <si>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</si>
  <si>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</si>
  <si>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</si>
  <si>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</si>
  <si>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</si>
  <si>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</si>
  <si>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</si>
  <si>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</si>
  <si>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</si>
  <si>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</si>
  <si>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</si>
  <si>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</si>
  <si>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</si>
  <si>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</si>
  <si>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</si>
  <si>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</si>
  <si>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</si>
  <si>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</si>
  <si>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</si>
  <si>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</si>
  <si>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</si>
  <si>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</si>
  <si>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</si>
  <si>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</si>
  <si>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</si>
  <si>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</si>
  <si>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</si>
  <si>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</si>
  <si>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</si>
  <si>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</si>
  <si>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</si>
  <si>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</si>
  <si>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</si>
  <si>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</si>
  <si>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</si>
  <si>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</si>
  <si>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</si>
  <si>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</si>
  <si>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</si>
  <si>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</si>
  <si>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</si>
  <si>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</si>
  <si>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</si>
  <si>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</si>
  <si>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</si>
  <si>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</si>
  <si>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</si>
  <si>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</si>
  <si>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</si>
  <si>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</si>
  <si>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</si>
  <si>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</si>
  <si>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</si>
  <si>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</si>
  <si>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</si>
  <si>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</si>
  <si>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</si>
  <si>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</si>
  <si>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</si>
  <si>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</si>
  <si>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</si>
  <si>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</si>
  <si>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</si>
  <si>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</si>
  <si>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</si>
  <si>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</si>
  <si>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</si>
  <si>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</si>
  <si>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</si>
  <si>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</si>
  <si>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</si>
  <si>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</si>
  <si>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</si>
  <si>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</si>
  <si>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</si>
  <si>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</si>
  <si>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</si>
  <si>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</si>
  <si>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</si>
  <si>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</si>
  <si>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</si>
  <si>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</si>
  <si>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</si>
  <si>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</si>
  <si>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</si>
  <si>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</si>
  <si>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</si>
  <si>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</si>
  <si>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</si>
  <si>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</si>
  <si>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</si>
  <si>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</si>
  <si>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</si>
  <si>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</si>
  <si>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</si>
  <si>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</si>
  <si>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</si>
  <si>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</si>
  <si>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</si>
  <si>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</si>
  <si>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</si>
  <si>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</si>
  <si>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</si>
  <si>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</si>
  <si>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</si>
  <si>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</si>
  <si>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</si>
  <si>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</si>
  <si>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</si>
  <si>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</si>
  <si>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</si>
  <si>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</si>
  <si>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</si>
  <si>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</si>
  <si>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</si>
  <si>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</si>
  <si>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</si>
  <si>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</si>
  <si>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</si>
  <si>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</si>
  <si>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</si>
  <si>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</si>
  <si>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</si>
  <si>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</si>
  <si>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</si>
  <si>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</si>
  <si>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</si>
  <si>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</si>
  <si>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</si>
  <si>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</si>
  <si>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</si>
  <si>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</si>
  <si>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</si>
  <si>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</si>
  <si>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</si>
  <si>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</si>
  <si>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</si>
  <si>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</si>
  <si>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</si>
  <si>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</si>
  <si>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</si>
  <si>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</si>
  <si>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</si>
  <si>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</si>
  <si>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</si>
  <si>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</si>
  <si>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</si>
  <si>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</si>
  <si>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</si>
  <si>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</si>
  <si>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</si>
  <si>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</si>
  <si>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</si>
  <si>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</si>
  <si>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</si>
  <si>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</si>
  <si>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</si>
  <si>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</si>
  <si>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</si>
  <si>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</si>
  <si>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</si>
  <si>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</si>
  <si>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</si>
  <si>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</si>
  <si>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</si>
  <si>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</si>
  <si>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</si>
  <si>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</si>
  <si>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</si>
  <si>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</si>
  <si>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</si>
  <si>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</si>
  <si>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</si>
  <si>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</si>
  <si>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</si>
  <si>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</si>
  <si>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</si>
  <si>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</si>
  <si>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</si>
  <si>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</si>
  <si>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</si>
  <si>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</si>
  <si>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</si>
  <si>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</si>
  <si>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</si>
  <si>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</si>
  <si>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</si>
  <si>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</si>
  <si>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</si>
  <si>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</si>
  <si>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</si>
  <si>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</si>
  <si>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</si>
  <si>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</si>
  <si>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</si>
  <si>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</si>
  <si>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</si>
  <si>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</si>
  <si>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</si>
  <si>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</si>
  <si>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</si>
  <si>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</si>
  <si>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</si>
  <si>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</si>
  <si>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</si>
  <si>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</si>
  <si>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</si>
  <si>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</si>
  <si>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</si>
  <si>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</si>
  <si>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</si>
  <si>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</si>
  <si>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</si>
  <si>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</si>
  <si>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</si>
  <si>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</si>
  <si>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</si>
  <si>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</si>
  <si>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</si>
  <si>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</si>
  <si>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</si>
  <si>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</si>
  <si>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</si>
  <si>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</si>
  <si>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</si>
  <si>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</si>
  <si>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</si>
  <si>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</si>
  <si>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</si>
  <si>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</si>
  <si>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</si>
  <si>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</si>
  <si>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</si>
  <si>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</si>
  <si>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</si>
  <si>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</si>
  <si>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</si>
  <si>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</si>
  <si>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</si>
  <si>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</si>
  <si>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</si>
  <si>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</si>
  <si>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</si>
  <si>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</si>
  <si>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</si>
  <si>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</si>
  <si>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</si>
  <si>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</si>
  <si>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</si>
  <si>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</si>
  <si>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</si>
  <si>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</si>
  <si>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</si>
  <si>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</si>
  <si>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</si>
  <si>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</si>
  <si>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</si>
  <si>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</si>
  <si>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</si>
  <si>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</si>
  <si>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</si>
  <si>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</si>
  <si>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</si>
  <si>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</si>
  <si>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</si>
  <si>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</si>
  <si>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</si>
  <si>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</si>
  <si>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</si>
  <si>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</si>
  <si>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</si>
  <si>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</si>
  <si>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</si>
  <si>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</si>
  <si>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</si>
  <si>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</si>
  <si>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</si>
  <si>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</si>
  <si>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</si>
  <si>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</si>
  <si>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</si>
  <si>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</si>
  <si>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</si>
  <si>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</si>
  <si>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</si>
  <si>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</si>
  <si>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</si>
  <si>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</si>
  <si>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</si>
  <si>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</si>
  <si>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</si>
  <si>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</si>
  <si>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</si>
  <si>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</si>
  <si>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</si>
  <si>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</si>
  <si>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</si>
  <si>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</si>
  <si>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</si>
  <si>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</si>
  <si>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</si>
  <si>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</si>
  <si>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</si>
  <si>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</si>
  <si>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</si>
  <si>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</si>
  <si>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</si>
  <si>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</si>
  <si>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</si>
  <si>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</si>
  <si>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</si>
  <si>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</si>
  <si>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</si>
  <si>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</si>
  <si>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</si>
  <si>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</si>
  <si>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</si>
  <si>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</si>
  <si>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</si>
  <si>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</si>
  <si>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</si>
  <si>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</si>
  <si>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</si>
  <si>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</si>
  <si>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</si>
  <si>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</si>
  <si>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</si>
  <si>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</si>
  <si>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</si>
  <si>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</si>
  <si>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</si>
  <si>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</si>
  <si>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</si>
  <si>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</si>
  <si>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</si>
  <si>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</si>
  <si>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</si>
  <si>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</si>
  <si>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</si>
  <si>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</si>
  <si>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</si>
  <si>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</si>
  <si>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</si>
  <si>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</si>
  <si>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</si>
  <si>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</si>
  <si>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</si>
  <si>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</si>
  <si>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</si>
  <si>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</si>
  <si>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</si>
  <si>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</si>
  <si>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</si>
  <si>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</si>
  <si>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</si>
  <si>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</si>
  <si>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</si>
  <si>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</si>
  <si>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</si>
  <si>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</si>
  <si>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</si>
  <si>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</si>
  <si>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</si>
  <si>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</si>
  <si>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</si>
  <si>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</si>
  <si>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</si>
  <si>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</si>
  <si>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</si>
  <si>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</si>
  <si>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</si>
  <si>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</si>
  <si>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</si>
  <si>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</si>
  <si>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</si>
  <si>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</si>
  <si>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</si>
  <si>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</si>
  <si>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</si>
  <si>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</si>
  <si>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</si>
  <si>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</si>
  <si>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</si>
  <si>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</si>
  <si>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</si>
  <si>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</si>
  <si>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</si>
  <si>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</si>
  <si>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</si>
  <si>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</si>
  <si>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</si>
  <si>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</si>
  <si>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</si>
  <si>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</si>
  <si>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</si>
  <si>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</si>
  <si>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</si>
  <si>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</si>
  <si>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</si>
  <si>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</si>
  <si>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</si>
  <si>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</si>
  <si>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</si>
  <si>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</si>
  <si>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</si>
  <si>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</si>
  <si>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</si>
  <si>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</si>
  <si>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</si>
  <si>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</si>
  <si>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</si>
  <si>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</si>
  <si>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</si>
  <si>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</si>
  <si>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</si>
  <si>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</si>
  <si>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</si>
  <si>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</si>
  <si>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</si>
  <si>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</si>
  <si>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</si>
  <si>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</si>
  <si>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</si>
  <si>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</si>
  <si>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</si>
  <si>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</si>
  <si>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</si>
  <si>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</si>
  <si>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</si>
  <si>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</si>
  <si>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</si>
  <si>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</si>
  <si>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</si>
  <si>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</si>
  <si>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</si>
  <si>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</si>
  <si>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</si>
  <si>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</si>
  <si>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</si>
  <si>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</si>
  <si>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</si>
  <si>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</si>
  <si>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</si>
  <si>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</si>
  <si>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</si>
  <si>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</si>
  <si>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</si>
  <si>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</si>
  <si>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</si>
  <si>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</si>
  <si>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</si>
  <si>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</si>
  <si>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</si>
  <si>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</si>
  <si>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</si>
  <si>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</si>
  <si>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</si>
  <si>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</si>
  <si>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</si>
  <si>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</si>
  <si>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</si>
  <si>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</si>
  <si>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</si>
  <si>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</si>
  <si>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</si>
  <si>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</si>
  <si>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</si>
  <si>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</si>
  <si>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</si>
  <si>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</si>
  <si>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</si>
  <si>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</si>
  <si>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</si>
  <si>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</si>
  <si>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</si>
  <si>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</si>
  <si>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</si>
  <si>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</si>
  <si>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</si>
  <si>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</si>
  <si>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</si>
  <si>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</si>
  <si>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</si>
  <si>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</si>
  <si>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</si>
  <si>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</si>
  <si>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</si>
  <si>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</si>
  <si>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</si>
  <si>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</si>
  <si>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</si>
  <si>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</si>
  <si>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</si>
  <si>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</si>
  <si>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</si>
  <si>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</si>
  <si>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</si>
  <si>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</si>
  <si>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</si>
  <si>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</si>
  <si>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</si>
  <si>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</si>
  <si>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</si>
  <si>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</si>
  <si>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</si>
  <si>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</si>
  <si>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</si>
  <si>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</si>
  <si>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</si>
  <si>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</si>
  <si>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</si>
  <si>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</si>
  <si>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</si>
  <si>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</si>
  <si>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</si>
  <si>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</si>
  <si>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</si>
  <si>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</si>
  <si>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</si>
  <si>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</si>
  <si>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</si>
  <si>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</si>
  <si>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</si>
  <si>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</si>
  <si>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</si>
  <si>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</si>
  <si>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</si>
  <si>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</si>
  <si>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</si>
  <si>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</si>
  <si>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</si>
  <si>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</si>
  <si>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</si>
  <si>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</si>
  <si>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</si>
  <si>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</si>
  <si>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</si>
  <si>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</si>
  <si>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</si>
  <si>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</si>
  <si>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</si>
  <si>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</si>
  <si>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</si>
  <si>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</si>
  <si>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</si>
  <si>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</si>
  <si>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</si>
  <si>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</si>
  <si>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</si>
  <si>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</si>
  <si>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</si>
  <si>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</si>
  <si>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</si>
  <si>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</si>
  <si>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</si>
  <si>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</si>
  <si>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</si>
  <si>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</si>
  <si>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</si>
  <si>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</si>
  <si>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</si>
  <si>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</si>
  <si>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</si>
  <si>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</si>
  <si>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</si>
  <si>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</si>
  <si>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</si>
  <si>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</si>
  <si>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</si>
  <si>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</si>
  <si>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</si>
  <si>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</si>
  <si>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</si>
  <si>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</si>
  <si>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</si>
  <si>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</si>
  <si>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</si>
  <si>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</si>
  <si>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</si>
  <si>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</si>
  <si>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</si>
  <si>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</si>
  <si>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</si>
  <si>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</si>
  <si>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</si>
  <si>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</si>
  <si>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</si>
  <si>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</si>
  <si>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</si>
  <si>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</si>
  <si>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</si>
  <si>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</si>
  <si>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</si>
  <si>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</si>
  <si>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</si>
  <si>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</si>
  <si>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</si>
  <si>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</si>
  <si>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</si>
  <si>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</si>
  <si>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</si>
  <si>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</si>
  <si>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</si>
  <si>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</si>
  <si>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</si>
  <si>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</si>
  <si>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</si>
  <si>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</si>
  <si>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</si>
  <si>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</si>
  <si>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</si>
  <si>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</si>
  <si>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</si>
  <si>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</si>
  <si>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</si>
  <si>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</si>
  <si>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</si>
  <si>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</si>
  <si>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</si>
  <si>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</si>
  <si>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</si>
  <si>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</si>
  <si>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</si>
  <si>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</si>
  <si>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</si>
  <si>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</si>
  <si>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</si>
  <si>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</si>
  <si>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</si>
  <si>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</si>
  <si>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</si>
  <si>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</si>
  <si>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</si>
  <si>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</si>
  <si>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</si>
  <si>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</si>
  <si>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</si>
  <si>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</si>
  <si>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</si>
  <si>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</si>
  <si>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</si>
  <si>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</si>
  <si>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</si>
  <si>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</si>
  <si>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</si>
  <si>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</si>
  <si>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</si>
  <si>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</si>
  <si>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</si>
  <si>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</si>
  <si>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</si>
  <si>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</si>
  <si>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</si>
  <si>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</si>
  <si>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</si>
  <si>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</si>
  <si>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</si>
  <si>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</si>
  <si>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</si>
  <si>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</si>
  <si>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</si>
  <si>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</si>
  <si>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</si>
  <si>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</si>
  <si>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</si>
  <si>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</si>
  <si>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</si>
  <si>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</si>
  <si>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</si>
  <si>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</si>
  <si>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</si>
  <si>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</si>
  <si>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</si>
  <si>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</si>
  <si>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</si>
  <si>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</si>
  <si>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</si>
  <si>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</si>
  <si>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</si>
  <si>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</si>
  <si>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</si>
  <si>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</si>
  <si>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</si>
  <si>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</si>
  <si>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</si>
  <si>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</si>
  <si>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</si>
  <si>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</si>
  <si>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</si>
  <si>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</si>
  <si>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</si>
  <si>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</si>
  <si>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</si>
  <si>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</si>
  <si>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</si>
  <si>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</si>
  <si>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</si>
  <si>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</si>
  <si>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</si>
  <si>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</si>
  <si>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</si>
  <si>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</si>
  <si>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</si>
  <si>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</si>
  <si>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</si>
  <si>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</si>
  <si>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</si>
  <si>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</si>
  <si>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</si>
  <si>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</si>
  <si>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</si>
  <si>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</si>
  <si>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</si>
  <si>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</si>
  <si>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</si>
  <si>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</si>
  <si>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</si>
  <si>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</si>
  <si>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</si>
  <si>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</si>
  <si>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</si>
  <si>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</si>
  <si>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</si>
  <si>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</si>
  <si>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</si>
  <si>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</si>
  <si>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</si>
  <si>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</si>
  <si>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</si>
  <si>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</si>
  <si>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</si>
  <si>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</si>
  <si>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</si>
  <si>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</si>
  <si>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</si>
  <si>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</si>
  <si>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</si>
  <si>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</si>
  <si>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</si>
  <si>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</si>
  <si>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</si>
  <si>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</si>
  <si>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</si>
  <si>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</si>
  <si>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</si>
  <si>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</si>
  <si>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</si>
  <si>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</si>
  <si>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</si>
  <si>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</si>
  <si>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</si>
  <si>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</si>
  <si>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</si>
  <si>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</si>
  <si>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</si>
  <si>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</si>
  <si>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</si>
  <si>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</si>
  <si>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</si>
  <si>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</si>
  <si>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</si>
  <si>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</si>
  <si>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</si>
  <si>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</si>
  <si>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</si>
  <si>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</si>
  <si>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</si>
  <si>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</si>
  <si>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</si>
  <si>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</si>
  <si>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</si>
  <si>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</si>
  <si>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</si>
  <si>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</si>
  <si>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</si>
  <si>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</si>
  <si>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</si>
  <si>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</si>
  <si>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</si>
  <si>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</si>
  <si>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</si>
  <si>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</si>
  <si>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</si>
  <si>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</si>
  <si>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</si>
  <si>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</si>
  <si>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</si>
  <si>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</si>
  <si>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</si>
  <si>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</si>
  <si>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</si>
  <si>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</si>
  <si>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</si>
  <si>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</si>
  <si>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</si>
  <si>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</si>
  <si>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</si>
  <si>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</si>
  <si>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</si>
  <si>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</si>
  <si>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</si>
  <si>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</si>
  <si>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</si>
  <si>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</si>
  <si>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</si>
  <si>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</si>
  <si>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</si>
  <si>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</si>
  <si>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</si>
  <si>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</si>
  <si>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</si>
  <si>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</si>
  <si>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</si>
  <si>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</si>
  <si>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</si>
  <si>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</si>
  <si>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</si>
  <si>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</si>
  <si>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</si>
  <si>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</si>
  <si>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</si>
  <si>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</si>
  <si>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</si>
  <si>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</si>
  <si>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</si>
  <si>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</si>
  <si>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</si>
  <si>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</si>
  <si>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</si>
  <si>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</si>
  <si>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</si>
  <si>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</si>
  <si>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</si>
  <si>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</si>
  <si>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</si>
  <si>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</si>
  <si>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</si>
  <si>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</si>
  <si>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</si>
  <si>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</si>
  <si>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</si>
  <si>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</si>
  <si>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</si>
  <si>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</si>
  <si>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</si>
  <si>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</si>
  <si>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</si>
  <si>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</si>
  <si>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</si>
  <si>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</si>
  <si>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</si>
  <si>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</si>
  <si>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</si>
  <si>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</si>
  <si>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</si>
  <si>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</si>
  <si>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</si>
  <si>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</si>
  <si>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</si>
  <si>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</si>
  <si>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</si>
  <si>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</si>
  <si>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</si>
  <si>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</si>
  <si>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</si>
  <si>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</si>
  <si>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</si>
  <si>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</si>
  <si>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</si>
  <si>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</si>
  <si>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</si>
  <si>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</si>
  <si>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</si>
  <si>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</si>
  <si>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</si>
  <si>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</si>
  <si>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</si>
  <si>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</si>
  <si>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</si>
  <si>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</si>
  <si>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</si>
  <si>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</si>
  <si>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</si>
  <si>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</si>
  <si>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</si>
  <si>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</si>
  <si>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</si>
  <si>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</si>
  <si>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</si>
  <si>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</si>
  <si>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</si>
  <si>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</si>
  <si>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</si>
  <si>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</si>
  <si>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</si>
  <si>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</si>
  <si>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</si>
  <si>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</si>
  <si>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</si>
  <si>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</si>
  <si>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</si>
  <si>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</si>
  <si>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</si>
  <si>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</si>
  <si>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</si>
  <si>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</si>
  <si>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</si>
  <si>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</si>
  <si>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</si>
  <si>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</si>
  <si>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</si>
  <si>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</si>
  <si>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</si>
  <si>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</si>
  <si>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</si>
  <si>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</si>
  <si>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</si>
  <si>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</si>
  <si>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</si>
  <si>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</si>
  <si>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</si>
  <si>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</si>
  <si>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</si>
  <si>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</si>
  <si>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</si>
  <si>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</si>
  <si>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</si>
  <si>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</si>
  <si>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</si>
  <si>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</si>
  <si>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</si>
  <si>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</si>
  <si>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</si>
  <si>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</si>
  <si>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</si>
  <si>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</si>
  <si>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</si>
  <si>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</si>
  <si>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</si>
  <si>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</si>
  <si>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</si>
  <si>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</si>
  <si>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</si>
  <si>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</si>
  <si>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</si>
  <si>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</si>
  <si>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</si>
  <si>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</si>
  <si>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</si>
  <si>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</si>
  <si>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</si>
  <si>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</si>
  <si>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</si>
  <si>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</si>
  <si>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</si>
  <si>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</si>
  <si>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</si>
  <si>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</si>
  <si>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</si>
  <si>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</si>
  <si>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</si>
  <si>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</si>
  <si>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</si>
  <si>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</si>
  <si>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</si>
  <si>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</si>
  <si>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</si>
  <si>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</si>
  <si>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</si>
  <si>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</si>
  <si>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</si>
  <si>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</si>
  <si>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</si>
  <si>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</si>
  <si>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</si>
  <si>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</si>
  <si>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</si>
  <si>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</si>
  <si>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</si>
  <si>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</si>
  <si>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</si>
  <si>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</si>
  <si>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</si>
  <si>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</si>
  <si>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</si>
  <si>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</si>
  <si>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</si>
  <si>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</si>
  <si>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</si>
  <si>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</si>
  <si>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</si>
  <si>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</si>
  <si>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</si>
  <si>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</si>
  <si>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</si>
  <si>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</si>
  <si>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</si>
  <si>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</si>
  <si>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</si>
  <si>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</si>
  <si>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</si>
  <si>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</si>
  <si>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</si>
  <si>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</si>
  <si>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</si>
  <si>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</si>
  <si>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</si>
  <si>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</si>
  <si>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</si>
  <si>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</si>
  <si>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</si>
  <si>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</si>
  <si>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</si>
  <si>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</si>
  <si>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</si>
  <si>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</si>
  <si>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</si>
  <si>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</si>
  <si>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</si>
  <si>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</si>
  <si>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</si>
  <si>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</si>
  <si>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</si>
  <si>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</si>
  <si>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</si>
  <si>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</si>
  <si>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</si>
  <si>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</si>
  <si>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</si>
  <si>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</si>
  <si>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</si>
  <si>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</si>
  <si>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</si>
  <si>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</si>
  <si>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</si>
  <si>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</si>
  <si>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</si>
  <si>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</si>
  <si>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</si>
  <si>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</si>
  <si>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</si>
  <si>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</si>
  <si>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</si>
  <si>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</si>
  <si>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</si>
  <si>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</si>
  <si>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</si>
  <si>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</si>
  <si>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</si>
  <si>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</si>
  <si>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</si>
  <si>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</si>
  <si>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</si>
  <si>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</si>
  <si>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</si>
  <si>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</si>
  <si>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</si>
  <si>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</si>
  <si>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</si>
  <si>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</si>
  <si>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</si>
  <si>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</si>
  <si>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</si>
  <si>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</si>
  <si>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</si>
  <si>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</si>
  <si>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</si>
  <si>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</si>
  <si>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</si>
  <si>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</si>
  <si>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</si>
  <si>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</si>
  <si>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</si>
  <si>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</si>
  <si>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</si>
  <si>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</si>
  <si>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</si>
  <si>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</si>
  <si>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</si>
  <si>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</si>
  <si>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</si>
  <si>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</si>
  <si>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</si>
  <si>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</si>
  <si>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</si>
  <si>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</si>
  <si>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</si>
  <si>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</si>
  <si>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</si>
  <si>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</si>
  <si>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</si>
  <si>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</si>
  <si>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</si>
  <si>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</si>
  <si>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</si>
  <si>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</si>
  <si>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</si>
  <si>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</si>
  <si>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</si>
  <si>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</si>
  <si>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</si>
  <si>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</si>
  <si>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</si>
  <si>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</si>
  <si>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</si>
  <si>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</si>
  <si>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</si>
  <si>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</si>
  <si>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</si>
  <si>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</si>
  <si>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</si>
  <si>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</si>
  <si>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COOK</t>
  </si>
  <si>
    <t>999 West Dundee Road</t>
  </si>
  <si>
    <t xml:space="preserve">Wheeling   </t>
  </si>
  <si>
    <t>Dr. Michael Connolly</t>
  </si>
  <si>
    <t>847-520-7226</t>
  </si>
  <si>
    <t>847-520-2848</t>
  </si>
  <si>
    <t>Evoy, Kamschulte, Jacobs &amp; Co. LLP</t>
  </si>
  <si>
    <t>John D. Aceto, Jr., CPA</t>
  </si>
  <si>
    <t>2122 Yeoman Street</t>
  </si>
  <si>
    <t>Waukegan</t>
  </si>
  <si>
    <t>IL</t>
  </si>
  <si>
    <t>847-662-8300</t>
  </si>
  <si>
    <t>847-6628305</t>
  </si>
  <si>
    <t>066-003289</t>
  </si>
  <si>
    <t>jaceto@ekjllp.com</t>
  </si>
  <si>
    <t>2005A Refunding Bonds</t>
  </si>
  <si>
    <t>2005C Refunding Bonds</t>
  </si>
  <si>
    <t>2013A General Obligation Limited School Bonds</t>
  </si>
  <si>
    <t>2013B Taxable General Obligation Refunding Bonds</t>
  </si>
  <si>
    <t>2013C Taxable General Obligation Refunding Bonds</t>
  </si>
  <si>
    <t>Retired Bond Issues</t>
  </si>
  <si>
    <t>Capital Leases</t>
  </si>
  <si>
    <t>Leases</t>
  </si>
  <si>
    <t>IPF Illinois Public Risk Fund</t>
  </si>
  <si>
    <t>Energy Purchasing COOP with IUPC</t>
  </si>
  <si>
    <t>Education School Insurance COOP ESIC</t>
  </si>
  <si>
    <t>Distric 214 Serves as the POOL Manager</t>
  </si>
  <si>
    <t>NSSEO</t>
  </si>
  <si>
    <t>Share Transportation with District 21, 23 &amp; 214</t>
  </si>
  <si>
    <t>Education Fund</t>
  </si>
  <si>
    <t>Page 11, Line 107, Other Revenue, Intern Program Receipts $25,000; NSSEO Mainstreaming $16,000; Repair reimbursement $161.</t>
  </si>
  <si>
    <t>Page 12, Line 171, Other Income form State Sources, Library Grant - $4,999.</t>
  </si>
  <si>
    <t>Page 11, Line 107, Other Revenue, Scrap Recycling - $2,330.</t>
  </si>
  <si>
    <t>Bond &amp; Interest Fund</t>
  </si>
  <si>
    <t>Page 18, Line 164, Debt Service Other, Bank Fees - $3,982.</t>
  </si>
  <si>
    <t>IMRF Fund</t>
  </si>
  <si>
    <t>Page 11, Line 107, Other Revenue, FICA refund - $2,828; IMRF refund - $3,551</t>
  </si>
  <si>
    <t>US DEPARTMENT OF AGRICULTURE</t>
  </si>
  <si>
    <t>Passed Through ISBE</t>
  </si>
  <si>
    <t>Child Nutrition Cluster</t>
  </si>
  <si>
    <t xml:space="preserve">     National School Lunch</t>
  </si>
  <si>
    <t xml:space="preserve">     School Breakfast Program</t>
  </si>
  <si>
    <t xml:space="preserve">     Nat'l School Lunch ISBE Lanter Commod</t>
  </si>
  <si>
    <t xml:space="preserve">     Nat'l School Lunch DoD Fresh Fruits &amp; Veg</t>
  </si>
  <si>
    <t>TOTAL CHILD NUTRITION CLUSTER</t>
  </si>
  <si>
    <t>4210-2017</t>
  </si>
  <si>
    <t>4210-2018</t>
  </si>
  <si>
    <t>4220-2018</t>
  </si>
  <si>
    <t>4220-2017</t>
  </si>
  <si>
    <t>4210-4018</t>
  </si>
  <si>
    <t>N/A</t>
  </si>
  <si>
    <t xml:space="preserve">     Child &amp; Adult Care Food Program</t>
  </si>
  <si>
    <t>4226-2017</t>
  </si>
  <si>
    <t>4226-2018</t>
  </si>
  <si>
    <t>Sub Total</t>
  </si>
  <si>
    <t>TOTAL US DEPARTMENT OF AGRICULTURE</t>
  </si>
  <si>
    <t>US DEPARTMENT OF HEALTH &amp; HUMAN SERVICES</t>
  </si>
  <si>
    <t xml:space="preserve">     Medicaid Outreach</t>
  </si>
  <si>
    <t>491-2018</t>
  </si>
  <si>
    <t>Total US Department of Health &amp; Human Services</t>
  </si>
  <si>
    <t>US DEPARTMENT OF EDUCATION</t>
  </si>
  <si>
    <t>Passed Through IL Depart of Healthcare &amp; Family Services</t>
  </si>
  <si>
    <t>Passed Through NSSEO Special Education Cluster</t>
  </si>
  <si>
    <t xml:space="preserve">     IDEA - Preschool</t>
  </si>
  <si>
    <t>84.173A</t>
  </si>
  <si>
    <t>4600-2018</t>
  </si>
  <si>
    <t xml:space="preserve">     IDEA - Part B - Flow Through</t>
  </si>
  <si>
    <t>84.027A</t>
  </si>
  <si>
    <t>4620-2018</t>
  </si>
  <si>
    <t>Total US Department of Education Passed Through NSSEO, Special Education Cluster</t>
  </si>
  <si>
    <t>(M) Title I - Low Income</t>
  </si>
  <si>
    <t>84.010A</t>
  </si>
  <si>
    <t>4300-2017</t>
  </si>
  <si>
    <t>4300-2018</t>
  </si>
  <si>
    <t xml:space="preserve">        IDEA - Room &amp; Board, XC</t>
  </si>
  <si>
    <t>4625-2017</t>
  </si>
  <si>
    <t xml:space="preserve">        Title III - IEP</t>
  </si>
  <si>
    <t>84.365A</t>
  </si>
  <si>
    <t>4905-2017</t>
  </si>
  <si>
    <t>4905-2018</t>
  </si>
  <si>
    <t>US DEPARTMENT OF EDUCATION PASSED THROUGH ISBE Continued</t>
  </si>
  <si>
    <t xml:space="preserve">     Title III - LIPLEP</t>
  </si>
  <si>
    <t>4909-2017</t>
  </si>
  <si>
    <t>4909-2018</t>
  </si>
  <si>
    <t xml:space="preserve">     Title II - Teacher Quality</t>
  </si>
  <si>
    <t>84.367A</t>
  </si>
  <si>
    <t>4932-2017</t>
  </si>
  <si>
    <t>4932-2018</t>
  </si>
  <si>
    <t>Total Passed Through ISBE</t>
  </si>
  <si>
    <t>TOTAL US DEPARTMENT OF EDUCATION</t>
  </si>
  <si>
    <t>TOTAL FEDERAL FINANCIAL ASSISTANCE</t>
  </si>
  <si>
    <t>Value of Federal Awards in the Form of Non-Cash Assistance During the Year</t>
  </si>
  <si>
    <t>Federal Insurance in Effect During the Year</t>
  </si>
  <si>
    <t>Federal Loans or Loan Guarantees Including Interest Subsidies, Outstanding at Year End</t>
  </si>
  <si>
    <t>Amount Provided to Subreceipients</t>
  </si>
  <si>
    <t>Unmodified</t>
  </si>
  <si>
    <t>NONE</t>
  </si>
  <si>
    <r>
      <t xml:space="preserve">The accompanying Schedule of Expenditures of Federal Awards includes the federal grant activity of Wheeling CCSD 21 and is presented on the Accrual </t>
    </r>
    <r>
      <rPr>
        <b/>
        <sz val="9"/>
        <rFont val="Calibri"/>
        <family val="2"/>
        <scheme val="minor"/>
      </rPr>
      <t>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</si>
  <si>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t>Of the federal expenditures presented in the schedule, Wheeling CCSD 21 provided federal awards to subrecipients as follows:</t>
  </si>
  <si>
    <t>None</t>
  </si>
  <si>
    <r>
      <t xml:space="preserve">The following amounts were expended in the form of non-cash assistance by Wheeling CCSD 21 and </t>
    </r>
    <r>
      <rPr>
        <b/>
        <sz val="9"/>
        <rFont val="Calibri"/>
        <family val="2"/>
        <scheme val="minor"/>
      </rPr>
      <t>should be</t>
    </r>
    <r>
      <rPr>
        <sz val="9"/>
        <rFont val="Calibri"/>
        <family val="2"/>
        <scheme val="minor"/>
      </rPr>
      <t xml:space="preserve"> included in the Schedule of Expenditures of Federal Awards:</t>
    </r>
  </si>
  <si>
    <t>ED-Direction of Business Spt.Srv- Purchased Services</t>
  </si>
  <si>
    <t>ED-Staff Services-Purchased Services</t>
  </si>
  <si>
    <t>ED-Staff Services-Supplies and Materials</t>
  </si>
  <si>
    <t>10-2510-300</t>
  </si>
  <si>
    <t>10-510-300</t>
  </si>
  <si>
    <t>10-2640-300</t>
  </si>
  <si>
    <t>Duff &amp; Phelps</t>
  </si>
  <si>
    <t>CBIZ Valuation Corp</t>
  </si>
  <si>
    <t>PMA Services</t>
  </si>
  <si>
    <t>Baragar Enterprises, Inc</t>
  </si>
  <si>
    <t>HUB International</t>
  </si>
  <si>
    <t>Curanlinc, LLC</t>
  </si>
  <si>
    <t>Frontline Technologies Grougp LLC</t>
  </si>
  <si>
    <t>Wheeling CCSD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</si>
</sst>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6">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73" fillId="0" borderId="0" xfId="0" applyFont="1"/>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1982932</xdr:colOff>
          <xdr:row>4</xdr:row>
          <xdr:rowOff>43296</xdr:rowOff>
        </xdr:from>
        <xdr:to>
          <xdr:col>1</xdr:col>
          <xdr:colOff>2894734</xdr:colOff>
          <xdr:row>7</xdr:row>
          <xdr:rowOff>71871</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5" t="s">
        <v>425</v>
      </c>
      <c r="J1" s="2036"/>
      <c r="K1" s="2036"/>
      <c r="L1" s="2036"/>
      <c r="M1" s="2036"/>
      <c r="N1" s="2036"/>
      <c r="O1" s="2036"/>
      <c r="P1" s="2036"/>
      <c r="Q1" s="2036"/>
      <c r="R1" s="2036"/>
      <c r="S1" s="2036"/>
    </row>
    <row r="2" spans="1:28" ht="12" customHeight="1" x14ac:dyDescent="0.2">
      <c r="A2" s="47" t="s">
        <v>1684</v>
      </c>
      <c r="D2" s="48"/>
      <c r="I2" s="2037" t="s">
        <v>1036</v>
      </c>
      <c r="J2" s="2036"/>
      <c r="K2" s="2036"/>
      <c r="L2" s="2036"/>
      <c r="M2" s="2036"/>
      <c r="N2" s="2036"/>
      <c r="O2" s="2036"/>
      <c r="P2" s="2036"/>
      <c r="Q2" s="2036"/>
      <c r="R2" s="2036"/>
      <c r="S2" s="2036"/>
    </row>
    <row r="3" spans="1:28" ht="12" customHeight="1" x14ac:dyDescent="0.2">
      <c r="A3" s="155" t="s">
        <v>1685</v>
      </c>
      <c r="B3" s="156"/>
      <c r="C3" s="156"/>
      <c r="D3" s="157"/>
      <c r="I3" s="2037" t="s">
        <v>54</v>
      </c>
      <c r="J3" s="2036"/>
      <c r="K3" s="2036"/>
      <c r="L3" s="2036"/>
      <c r="M3" s="2036"/>
      <c r="N3" s="2036"/>
      <c r="O3" s="2036"/>
      <c r="P3" s="2036"/>
      <c r="Q3" s="2036"/>
      <c r="R3" s="2036"/>
      <c r="S3" s="2036"/>
    </row>
    <row r="4" spans="1:28" ht="12" customHeight="1" x14ac:dyDescent="0.2">
      <c r="A4" s="37"/>
      <c r="I4" s="2037" t="s">
        <v>545</v>
      </c>
      <c r="J4" s="2036"/>
      <c r="K4" s="2036"/>
      <c r="L4" s="2036"/>
      <c r="M4" s="2036"/>
      <c r="N4" s="2036"/>
      <c r="O4" s="2036"/>
      <c r="P4" s="2036"/>
      <c r="Q4" s="2036"/>
      <c r="R4" s="2036"/>
      <c r="S4" s="2036"/>
    </row>
    <row r="5" spans="1:28" ht="14.1" customHeight="1" x14ac:dyDescent="0.2">
      <c r="B5" s="104" t="s">
        <v>2074</v>
      </c>
      <c r="C5" s="26" t="s">
        <v>966</v>
      </c>
      <c r="D5" s="84"/>
      <c r="E5" s="84"/>
      <c r="H5" s="38"/>
      <c r="I5" s="2044" t="s">
        <v>701</v>
      </c>
      <c r="J5" s="1989"/>
      <c r="K5" s="1989"/>
      <c r="L5" s="1989"/>
      <c r="M5" s="1989"/>
      <c r="N5" s="1989"/>
      <c r="O5" s="1989"/>
      <c r="P5" s="1989"/>
      <c r="Q5" s="1989"/>
      <c r="R5" s="1989"/>
      <c r="S5" s="1989"/>
    </row>
    <row r="6" spans="1:28" ht="14.1" customHeight="1" x14ac:dyDescent="0.2">
      <c r="B6" s="104"/>
      <c r="C6" s="26" t="s">
        <v>967</v>
      </c>
      <c r="D6" s="84"/>
      <c r="E6" s="84"/>
      <c r="I6" s="2043" t="s">
        <v>938</v>
      </c>
      <c r="J6" s="1989"/>
      <c r="K6" s="1989"/>
      <c r="L6" s="1989"/>
      <c r="M6" s="1989"/>
      <c r="N6" s="1989"/>
      <c r="O6" s="1989"/>
      <c r="P6" s="1989"/>
      <c r="Q6" s="1989"/>
      <c r="R6" s="1989"/>
      <c r="S6" s="1989"/>
    </row>
    <row r="7" spans="1:28" ht="12.2" customHeight="1" x14ac:dyDescent="0.2">
      <c r="I7" s="2038">
        <v>43281</v>
      </c>
      <c r="J7" s="2039"/>
      <c r="K7" s="2039"/>
      <c r="L7" s="2039"/>
      <c r="M7" s="2039"/>
      <c r="N7" s="2039"/>
      <c r="O7" s="2039"/>
      <c r="P7" s="2039"/>
      <c r="Q7" s="2039"/>
      <c r="R7" s="2039"/>
      <c r="S7" s="203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0" t="s">
        <v>695</v>
      </c>
      <c r="J9" s="2041"/>
      <c r="K9" s="2041"/>
      <c r="L9" s="2041"/>
      <c r="M9" s="2041"/>
      <c r="N9" s="2041"/>
      <c r="O9" s="2041"/>
      <c r="P9" s="2041"/>
      <c r="Q9" s="2041"/>
      <c r="R9" s="2041"/>
      <c r="S9" s="2042"/>
      <c r="T9" s="1985" t="s">
        <v>554</v>
      </c>
      <c r="U9" s="1986"/>
      <c r="V9" s="1986"/>
      <c r="W9" s="1986"/>
      <c r="X9" s="1986"/>
      <c r="Y9" s="1986"/>
      <c r="Z9" s="1986"/>
      <c r="AA9" s="1987"/>
    </row>
    <row r="10" spans="1:28" ht="13.5" customHeight="1" x14ac:dyDescent="0.2">
      <c r="A10" s="1994" t="s">
        <v>696</v>
      </c>
      <c r="B10" s="1995"/>
      <c r="C10" s="1995"/>
      <c r="D10" s="1995"/>
      <c r="E10" s="1995"/>
      <c r="F10" s="1995"/>
      <c r="G10" s="1995"/>
      <c r="H10" s="1996"/>
      <c r="I10" s="29"/>
      <c r="J10" s="30"/>
      <c r="K10" s="28"/>
      <c r="R10" s="30"/>
      <c r="S10" s="30"/>
      <c r="T10" s="1988"/>
      <c r="U10" s="1989"/>
      <c r="V10" s="1989"/>
      <c r="W10" s="1989"/>
      <c r="X10" s="1989"/>
      <c r="Y10" s="1989"/>
      <c r="Z10" s="1989"/>
      <c r="AA10" s="1990"/>
    </row>
    <row r="11" spans="1:28" ht="14.25" customHeight="1" x14ac:dyDescent="0.2">
      <c r="A11" s="1997" t="s">
        <v>1012</v>
      </c>
      <c r="B11" s="1998"/>
      <c r="C11" s="1998"/>
      <c r="D11" s="1998"/>
      <c r="E11" s="1998"/>
      <c r="F11" s="1998"/>
      <c r="G11" s="1998"/>
      <c r="H11" s="1999"/>
      <c r="I11" s="27"/>
      <c r="J11" s="74"/>
      <c r="K11" s="27"/>
      <c r="O11" s="148"/>
      <c r="P11" s="100" t="s">
        <v>210</v>
      </c>
      <c r="Q11" s="30"/>
      <c r="R11" s="28"/>
      <c r="S11" s="27"/>
      <c r="T11" s="1991"/>
      <c r="U11" s="1992"/>
      <c r="V11" s="1992"/>
      <c r="W11" s="1992"/>
      <c r="X11" s="1992"/>
      <c r="Y11" s="1992"/>
      <c r="Z11" s="1992"/>
      <c r="AA11" s="1993"/>
    </row>
    <row r="12" spans="1:28" ht="13.5" customHeight="1" x14ac:dyDescent="0.2">
      <c r="A12" s="85" t="s">
        <v>982</v>
      </c>
      <c r="B12" s="76"/>
      <c r="C12" s="76"/>
      <c r="D12" s="76"/>
      <c r="E12" s="76"/>
      <c r="F12" s="76"/>
      <c r="G12" s="76"/>
      <c r="H12" s="53"/>
      <c r="I12" s="29"/>
      <c r="J12" s="30"/>
      <c r="K12" s="28"/>
      <c r="O12" s="149" t="s">
        <v>2074</v>
      </c>
      <c r="P12" s="100" t="s">
        <v>211</v>
      </c>
      <c r="Q12" s="74"/>
      <c r="R12" s="30"/>
      <c r="S12" s="30"/>
      <c r="T12" s="85" t="s">
        <v>283</v>
      </c>
      <c r="U12" s="51"/>
      <c r="V12" s="51"/>
      <c r="W12" s="51"/>
      <c r="X12" s="51"/>
      <c r="Y12" s="45"/>
      <c r="Z12" s="45"/>
      <c r="AA12" s="46"/>
    </row>
    <row r="13" spans="1:28" ht="13.5" customHeight="1" x14ac:dyDescent="0.2">
      <c r="A13" s="2005">
        <v>5016021004</v>
      </c>
      <c r="B13" s="2006"/>
      <c r="C13" s="2006"/>
      <c r="D13" s="2006"/>
      <c r="E13" s="2006"/>
      <c r="F13" s="2006"/>
      <c r="G13" s="2006"/>
      <c r="H13" s="2007"/>
      <c r="I13" s="31"/>
      <c r="J13" s="30"/>
      <c r="K13" s="28"/>
      <c r="L13" s="30"/>
      <c r="M13" s="30"/>
      <c r="N13" s="30"/>
      <c r="O13" s="30"/>
      <c r="P13" s="30"/>
      <c r="Q13" s="30"/>
      <c r="R13" s="30"/>
      <c r="S13" s="30"/>
      <c r="T13" s="2010" t="s">
        <v>2081</v>
      </c>
      <c r="U13" s="2011"/>
      <c r="V13" s="2011"/>
      <c r="W13" s="2011"/>
      <c r="X13" s="2011"/>
      <c r="Y13" s="2012"/>
      <c r="Z13" s="2012"/>
      <c r="AA13" s="201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3" t="s">
        <v>2075</v>
      </c>
      <c r="B15" s="2008"/>
      <c r="C15" s="2008"/>
      <c r="D15" s="2008"/>
      <c r="E15" s="2008"/>
      <c r="F15" s="2008"/>
      <c r="G15" s="2008"/>
      <c r="H15" s="2009"/>
      <c r="T15" s="1971" t="s">
        <v>2082</v>
      </c>
      <c r="U15" s="1972"/>
      <c r="V15" s="1972"/>
      <c r="W15" s="1972"/>
      <c r="X15" s="1972"/>
      <c r="Y15" s="2014"/>
      <c r="Z15" s="2014"/>
      <c r="AA15" s="201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3" t="s">
        <v>2189</v>
      </c>
      <c r="B17" s="2033"/>
      <c r="C17" s="2033"/>
      <c r="D17" s="2033"/>
      <c r="E17" s="2033"/>
      <c r="F17" s="2033"/>
      <c r="G17" s="2033"/>
      <c r="H17" s="2034"/>
      <c r="T17" s="2020" t="s">
        <v>2083</v>
      </c>
      <c r="U17" s="2021"/>
      <c r="V17" s="2021"/>
      <c r="W17" s="2021"/>
      <c r="X17" s="2021"/>
      <c r="Y17" s="2021"/>
      <c r="Z17" s="2021"/>
      <c r="AA17" s="2022"/>
    </row>
    <row r="18" spans="1:27" ht="13.5" customHeight="1" x14ac:dyDescent="0.2">
      <c r="A18" s="85" t="s">
        <v>551</v>
      </c>
      <c r="B18" s="76"/>
      <c r="C18" s="72"/>
      <c r="D18" s="76"/>
      <c r="E18" s="76"/>
      <c r="F18" s="76"/>
      <c r="G18" s="76"/>
      <c r="H18" s="56"/>
      <c r="I18" s="2030" t="s">
        <v>697</v>
      </c>
      <c r="J18" s="2031"/>
      <c r="K18" s="2031"/>
      <c r="L18" s="2031"/>
      <c r="M18" s="2031"/>
      <c r="N18" s="2031"/>
      <c r="O18" s="2031"/>
      <c r="P18" s="2031"/>
      <c r="Q18" s="2031"/>
      <c r="R18" s="2031"/>
      <c r="S18" s="2032"/>
      <c r="T18" s="85" t="s">
        <v>735</v>
      </c>
      <c r="U18" s="51"/>
      <c r="V18" s="72"/>
      <c r="W18" s="50"/>
      <c r="X18" s="85" t="s">
        <v>284</v>
      </c>
      <c r="Y18" s="81"/>
      <c r="Z18" s="159" t="s">
        <v>698</v>
      </c>
      <c r="AA18" s="46"/>
    </row>
    <row r="19" spans="1:27" ht="13.5" customHeight="1" x14ac:dyDescent="0.2">
      <c r="A19" s="2003" t="s">
        <v>2076</v>
      </c>
      <c r="B19" s="2004"/>
      <c r="C19" s="2004"/>
      <c r="D19" s="2004"/>
      <c r="E19" s="2004"/>
      <c r="F19" s="2004"/>
      <c r="G19" s="2004"/>
      <c r="H19" s="2002"/>
      <c r="I19" s="30"/>
      <c r="J19" s="99"/>
      <c r="K19" s="40"/>
      <c r="L19" s="38"/>
      <c r="M19" s="112" t="s">
        <v>333</v>
      </c>
      <c r="P19" s="27"/>
      <c r="Q19" s="27"/>
      <c r="R19" s="27"/>
      <c r="S19" s="31"/>
      <c r="T19" s="2003" t="s">
        <v>2084</v>
      </c>
      <c r="U19" s="2001"/>
      <c r="V19" s="2001"/>
      <c r="W19" s="2002"/>
      <c r="X19" s="2018" t="s">
        <v>2085</v>
      </c>
      <c r="Y19" s="2019"/>
      <c r="Z19" s="2016">
        <v>60087</v>
      </c>
      <c r="AA19" s="201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0" t="s">
        <v>2077</v>
      </c>
      <c r="B21" s="2001"/>
      <c r="C21" s="2001"/>
      <c r="D21" s="2001"/>
      <c r="E21" s="2001"/>
      <c r="F21" s="2001"/>
      <c r="G21" s="2001"/>
      <c r="H21" s="2002"/>
      <c r="I21" s="2026" t="s">
        <v>699</v>
      </c>
      <c r="J21" s="1989"/>
      <c r="K21" s="1989"/>
      <c r="L21" s="1989"/>
      <c r="M21" s="1989"/>
      <c r="N21" s="1989"/>
      <c r="O21" s="1989"/>
      <c r="P21" s="1989"/>
      <c r="Q21" s="1989"/>
      <c r="R21" s="1989"/>
      <c r="S21" s="1990"/>
      <c r="T21" s="1968" t="s">
        <v>2086</v>
      </c>
      <c r="U21" s="1969"/>
      <c r="V21" s="1969"/>
      <c r="W21" s="1969"/>
      <c r="X21" s="1982" t="s">
        <v>2087</v>
      </c>
      <c r="Y21" s="1983"/>
      <c r="Z21" s="1983"/>
      <c r="AA21" s="1984"/>
    </row>
    <row r="22" spans="1:27" ht="13.5" customHeight="1" x14ac:dyDescent="0.2">
      <c r="A22" s="87" t="s">
        <v>552</v>
      </c>
      <c r="B22" s="59"/>
      <c r="C22" s="59"/>
      <c r="D22" s="59"/>
      <c r="E22" s="59"/>
      <c r="F22" s="59"/>
      <c r="G22" s="59"/>
      <c r="H22" s="60"/>
      <c r="I22" s="2027" t="s">
        <v>1504</v>
      </c>
      <c r="J22" s="2028"/>
      <c r="K22" s="2028"/>
      <c r="L22" s="2028"/>
      <c r="M22" s="2028"/>
      <c r="N22" s="2028"/>
      <c r="O22" s="2028"/>
      <c r="P22" s="2028"/>
      <c r="Q22" s="2028"/>
      <c r="R22" s="2028"/>
      <c r="S22" s="2029"/>
      <c r="T22" s="85" t="s">
        <v>1596</v>
      </c>
      <c r="U22" s="51"/>
      <c r="V22" s="72"/>
      <c r="W22" s="51"/>
      <c r="X22" s="160" t="s">
        <v>1385</v>
      </c>
      <c r="Z22" s="45"/>
      <c r="AA22" s="46"/>
    </row>
    <row r="23" spans="1:27" ht="13.5" customHeight="1" x14ac:dyDescent="0.2">
      <c r="A23" s="2023"/>
      <c r="B23" s="2024"/>
      <c r="C23" s="2024"/>
      <c r="D23" s="2024"/>
      <c r="E23" s="2024"/>
      <c r="F23" s="2024"/>
      <c r="G23" s="2024"/>
      <c r="H23" s="2025"/>
      <c r="T23" s="1963" t="s">
        <v>2088</v>
      </c>
      <c r="U23" s="1964"/>
      <c r="V23" s="1964"/>
      <c r="W23" s="1964"/>
      <c r="X23" s="1979">
        <v>44530</v>
      </c>
      <c r="Y23" s="1980"/>
      <c r="Z23" s="1980"/>
      <c r="AA23" s="1981"/>
    </row>
    <row r="24" spans="1:27" ht="14.1" customHeight="1" x14ac:dyDescent="0.2">
      <c r="A24" s="88" t="s">
        <v>698</v>
      </c>
      <c r="B24" s="49"/>
      <c r="C24" s="49"/>
      <c r="D24" s="49"/>
      <c r="E24" s="49"/>
      <c r="F24" s="49"/>
      <c r="G24" s="49"/>
      <c r="H24" s="61"/>
      <c r="J24" s="2065">
        <f>IF(B5="x",IF(AUDITCHECK!D29="AFR form Incomplete.","",IF(AUDITCHECK!D29="Deficit reduction plan is required.","School District must complete a deficit reduction plan in the 2018-2019 Budget",)),"")</f>
        <v>0</v>
      </c>
      <c r="K24" s="2065"/>
      <c r="L24" s="2065"/>
      <c r="M24" s="2065"/>
      <c r="N24" s="2065"/>
      <c r="O24" s="2065"/>
      <c r="P24" s="2065"/>
      <c r="Q24" s="2065"/>
      <c r="R24" s="2065"/>
      <c r="S24" s="2066"/>
      <c r="T24" s="105" t="s">
        <v>552</v>
      </c>
      <c r="U24" s="106"/>
      <c r="V24" s="106"/>
      <c r="W24" s="106"/>
      <c r="X24" s="107"/>
      <c r="Y24" s="107"/>
      <c r="Z24" s="107"/>
      <c r="AA24" s="108"/>
    </row>
    <row r="25" spans="1:27" ht="14.1" customHeight="1" x14ac:dyDescent="0.2">
      <c r="A25" s="2000">
        <v>60090</v>
      </c>
      <c r="B25" s="2001"/>
      <c r="C25" s="2001"/>
      <c r="D25" s="2001"/>
      <c r="E25" s="2001"/>
      <c r="F25" s="2001"/>
      <c r="G25" s="2001"/>
      <c r="H25" s="2002"/>
      <c r="I25" s="113"/>
      <c r="J25" s="2067"/>
      <c r="K25" s="2067"/>
      <c r="L25" s="2067"/>
      <c r="M25" s="2067"/>
      <c r="N25" s="2067"/>
      <c r="O25" s="2067"/>
      <c r="P25" s="2067"/>
      <c r="Q25" s="2067"/>
      <c r="R25" s="2067"/>
      <c r="S25" s="2068"/>
      <c r="T25" s="1960" t="s">
        <v>2089</v>
      </c>
      <c r="U25" s="1961"/>
      <c r="V25" s="1961"/>
      <c r="W25" s="1961"/>
      <c r="X25" s="1961"/>
      <c r="Y25" s="1961"/>
      <c r="Z25" s="1961"/>
      <c r="AA25" s="196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8" t="s">
        <v>1591</v>
      </c>
      <c r="J27" s="2031"/>
      <c r="K27" s="2031"/>
      <c r="L27" s="2031"/>
      <c r="M27" s="2031"/>
      <c r="N27" s="2031"/>
      <c r="O27" s="2031"/>
      <c r="P27" s="2031"/>
      <c r="Q27" s="2031"/>
      <c r="R27" s="2031"/>
      <c r="S27" s="2032"/>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2074</v>
      </c>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2074</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2074</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4"/>
      <c r="Q35" s="2001"/>
      <c r="R35" s="200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3" t="s">
        <v>2078</v>
      </c>
      <c r="B38" s="2033"/>
      <c r="C38" s="2033"/>
      <c r="D38" s="2033"/>
      <c r="E38" s="2033"/>
      <c r="F38" s="2001"/>
      <c r="G38" s="2001"/>
      <c r="H38" s="2002"/>
      <c r="I38" s="2052"/>
      <c r="J38" s="1972"/>
      <c r="K38" s="1972"/>
      <c r="L38" s="1972"/>
      <c r="M38" s="1972"/>
      <c r="N38" s="1972"/>
      <c r="O38" s="1972"/>
      <c r="P38" s="1973"/>
      <c r="Q38" s="1973"/>
      <c r="R38" s="1973"/>
      <c r="S38" s="1974"/>
      <c r="T38" s="1971"/>
      <c r="U38" s="1972"/>
      <c r="V38" s="1972"/>
      <c r="W38" s="1972"/>
      <c r="X38" s="1973"/>
      <c r="Y38" s="1973"/>
      <c r="Z38" s="1973"/>
      <c r="AA38" s="1974"/>
    </row>
    <row r="39" spans="1:27" ht="12" customHeight="1" x14ac:dyDescent="0.2">
      <c r="A39" s="2056" t="s">
        <v>552</v>
      </c>
      <c r="B39" s="2057"/>
      <c r="C39" s="72"/>
      <c r="D39" s="69"/>
      <c r="E39" s="69"/>
      <c r="F39" s="79"/>
      <c r="G39" s="69"/>
      <c r="H39" s="56"/>
      <c r="I39" s="2056" t="s">
        <v>552</v>
      </c>
      <c r="J39" s="2057"/>
      <c r="K39" s="2057"/>
      <c r="L39" s="2057"/>
      <c r="M39" s="2057"/>
      <c r="N39" s="67"/>
      <c r="O39" s="72"/>
      <c r="P39" s="72"/>
      <c r="Q39" s="78"/>
      <c r="R39" s="72"/>
      <c r="S39" s="56"/>
      <c r="T39" s="72" t="s">
        <v>552</v>
      </c>
      <c r="U39" s="51"/>
      <c r="V39" s="72"/>
      <c r="W39" s="50"/>
      <c r="X39" s="78"/>
      <c r="Y39" s="45"/>
      <c r="Z39" s="45"/>
      <c r="AA39" s="46"/>
    </row>
    <row r="40" spans="1:27" ht="13.5" customHeight="1" x14ac:dyDescent="0.2">
      <c r="A40" s="2059"/>
      <c r="B40" s="2060"/>
      <c r="C40" s="2061"/>
      <c r="D40" s="2061"/>
      <c r="E40" s="2061"/>
      <c r="F40" s="2062"/>
      <c r="G40" s="2062"/>
      <c r="H40" s="2063"/>
      <c r="I40" s="1975"/>
      <c r="J40" s="1977"/>
      <c r="K40" s="1977"/>
      <c r="L40" s="1977"/>
      <c r="M40" s="1977"/>
      <c r="N40" s="1977"/>
      <c r="O40" s="1977"/>
      <c r="P40" s="1977"/>
      <c r="Q40" s="1977"/>
      <c r="R40" s="1977"/>
      <c r="S40" s="1978"/>
      <c r="T40" s="1975"/>
      <c r="U40" s="1976"/>
      <c r="V40" s="1977"/>
      <c r="W40" s="1977"/>
      <c r="X40" s="1977"/>
      <c r="Y40" s="1977"/>
      <c r="Z40" s="1977"/>
      <c r="AA40" s="197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9" t="s">
        <v>2079</v>
      </c>
      <c r="B42" s="2050"/>
      <c r="C42" s="2051"/>
      <c r="D42" s="2064" t="s">
        <v>2080</v>
      </c>
      <c r="E42" s="2050"/>
      <c r="F42" s="2050"/>
      <c r="G42" s="2050"/>
      <c r="H42" s="2051"/>
      <c r="I42" s="1970"/>
      <c r="J42" s="1966"/>
      <c r="K42" s="1966"/>
      <c r="L42" s="1966"/>
      <c r="M42" s="1966"/>
      <c r="N42" s="1966"/>
      <c r="O42" s="1967"/>
      <c r="P42" s="1965"/>
      <c r="Q42" s="1966"/>
      <c r="R42" s="1966"/>
      <c r="S42" s="1967"/>
      <c r="T42" s="1970"/>
      <c r="U42" s="1966"/>
      <c r="V42" s="1966"/>
      <c r="W42" s="1967"/>
      <c r="X42" s="1965"/>
      <c r="Y42" s="1966"/>
      <c r="Z42" s="1966"/>
      <c r="AA42" s="1967"/>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3"/>
      <c r="B44" s="2054"/>
      <c r="C44" s="2054"/>
      <c r="D44" s="2054"/>
      <c r="E44" s="2054"/>
      <c r="F44" s="2054"/>
      <c r="G44" s="2054"/>
      <c r="H44" s="2055"/>
      <c r="I44" s="2045"/>
      <c r="J44" s="2047"/>
      <c r="K44" s="2047"/>
      <c r="L44" s="2047"/>
      <c r="M44" s="2047"/>
      <c r="N44" s="2047"/>
      <c r="O44" s="2047"/>
      <c r="P44" s="2047"/>
      <c r="Q44" s="2047"/>
      <c r="R44" s="2047"/>
      <c r="S44" s="2048"/>
      <c r="T44" s="2045"/>
      <c r="U44" s="2046"/>
      <c r="V44" s="2046"/>
      <c r="W44" s="2046"/>
      <c r="X44" s="2046"/>
      <c r="Y44" s="2046"/>
      <c r="Z44" s="2047"/>
      <c r="AA44" s="204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2" t="s">
        <v>1902</v>
      </c>
      <c r="B2" s="1550" t="s">
        <v>2034</v>
      </c>
      <c r="C2" s="715" t="s">
        <v>1907</v>
      </c>
      <c r="D2" s="715" t="s">
        <v>1908</v>
      </c>
      <c r="E2" s="715" t="s">
        <v>1909</v>
      </c>
      <c r="F2" s="715" t="s">
        <v>1910</v>
      </c>
    </row>
    <row r="3" spans="1:6" ht="12" customHeight="1" x14ac:dyDescent="0.2">
      <c r="A3" s="2203"/>
      <c r="B3" s="1547"/>
      <c r="C3" s="1548"/>
      <c r="D3" s="1549" t="s">
        <v>274</v>
      </c>
      <c r="E3" s="1548"/>
      <c r="F3" s="1549" t="s">
        <v>275</v>
      </c>
    </row>
    <row r="4" spans="1:6" ht="13.7" customHeight="1" x14ac:dyDescent="0.2">
      <c r="A4" s="716" t="s">
        <v>1217</v>
      </c>
      <c r="B4" s="1771">
        <f>'Revenues 9-14'!C5</f>
        <v>56819826</v>
      </c>
      <c r="C4" s="1546"/>
      <c r="D4" s="1774">
        <f>B4-C4</f>
        <v>56819826</v>
      </c>
      <c r="E4" s="1546">
        <v>62067400</v>
      </c>
      <c r="F4" s="1774">
        <f>E4-C4</f>
        <v>62067400</v>
      </c>
    </row>
    <row r="5" spans="1:6" ht="13.7" customHeight="1" x14ac:dyDescent="0.2">
      <c r="A5" s="716" t="s">
        <v>925</v>
      </c>
      <c r="B5" s="1772">
        <f>'Revenues 9-14'!D5</f>
        <v>7113169</v>
      </c>
      <c r="C5" s="585"/>
      <c r="D5" s="1775">
        <f t="shared" ref="D5:D18" si="0">B5-C5</f>
        <v>7113169</v>
      </c>
      <c r="E5" s="585">
        <v>7725000</v>
      </c>
      <c r="F5" s="1775">
        <f>E5-C5</f>
        <v>7725000</v>
      </c>
    </row>
    <row r="6" spans="1:6" ht="13.7" customHeight="1" x14ac:dyDescent="0.2">
      <c r="A6" s="716" t="s">
        <v>431</v>
      </c>
      <c r="B6" s="1772">
        <f>'Revenues 9-14'!E5</f>
        <v>4927610</v>
      </c>
      <c r="C6" s="585"/>
      <c r="D6" s="1775">
        <f t="shared" si="0"/>
        <v>4927610</v>
      </c>
      <c r="E6" s="585">
        <v>5065756</v>
      </c>
      <c r="F6" s="1775">
        <f t="shared" ref="F6:F18" si="1">E6-C6</f>
        <v>5065756</v>
      </c>
    </row>
    <row r="7" spans="1:6" ht="13.7" customHeight="1" x14ac:dyDescent="0.2">
      <c r="A7" s="716" t="s">
        <v>157</v>
      </c>
      <c r="B7" s="1772">
        <f>'Revenues 9-14'!F5</f>
        <v>8093392</v>
      </c>
      <c r="C7" s="585"/>
      <c r="D7" s="1775">
        <f t="shared" si="0"/>
        <v>8093392</v>
      </c>
      <c r="E7" s="585">
        <v>5150000</v>
      </c>
      <c r="F7" s="1775">
        <f t="shared" si="1"/>
        <v>5150000</v>
      </c>
    </row>
    <row r="8" spans="1:6" ht="13.7" customHeight="1" x14ac:dyDescent="0.2">
      <c r="A8" s="716" t="s">
        <v>1241</v>
      </c>
      <c r="B8" s="1772">
        <f>'Revenues 9-14'!G5</f>
        <v>952047</v>
      </c>
      <c r="C8" s="585"/>
      <c r="D8" s="1775">
        <f t="shared" si="0"/>
        <v>952047</v>
      </c>
      <c r="E8" s="585">
        <v>1030000</v>
      </c>
      <c r="F8" s="1775">
        <f t="shared" si="1"/>
        <v>1030000</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0</v>
      </c>
      <c r="C10" s="585"/>
      <c r="D10" s="1775">
        <f t="shared" si="0"/>
        <v>0</v>
      </c>
      <c r="E10" s="585"/>
      <c r="F10" s="1775">
        <f t="shared" si="1"/>
        <v>0</v>
      </c>
    </row>
    <row r="11" spans="1:6" x14ac:dyDescent="0.2">
      <c r="A11" s="716" t="s">
        <v>429</v>
      </c>
      <c r="B11" s="1772">
        <f>'Revenues 9-14'!J5</f>
        <v>853891</v>
      </c>
      <c r="C11" s="585"/>
      <c r="D11" s="1775">
        <f t="shared" si="0"/>
        <v>853891</v>
      </c>
      <c r="E11" s="585">
        <v>927000</v>
      </c>
      <c r="F11" s="1775">
        <f t="shared" si="1"/>
        <v>927000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6285600</v>
      </c>
      <c r="C14" s="585"/>
      <c r="D14" s="1775">
        <f t="shared" si="0"/>
        <v>6285600</v>
      </c>
      <c r="E14" s="585">
        <v>6695000</v>
      </c>
      <c r="F14" s="1775">
        <f t="shared" si="1"/>
        <v>6695000</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2118865</v>
      </c>
      <c r="C16" s="585"/>
      <c r="D16" s="1775">
        <f t="shared" si="0"/>
        <v>2118865</v>
      </c>
      <c r="E16" s="585">
        <v>2266000</v>
      </c>
      <c r="F16" s="1775">
        <f t="shared" si="1"/>
        <v>2266000</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87164400</v>
      </c>
      <c r="C19" s="1773">
        <f>SUM(C4:C18)</f>
        <v>0</v>
      </c>
      <c r="D19" s="1773">
        <f>SUM(D4:D18)</f>
        <v>87164400</v>
      </c>
      <c r="E19" s="1773">
        <f>SUM(E4:E18)</f>
        <v>90926156</v>
      </c>
      <c r="F19" s="1773">
        <f>SUM(F4:F18)</f>
        <v>90926156</v>
      </c>
    </row>
    <row r="20" spans="1:6" ht="13.5" thickTop="1" x14ac:dyDescent="0.2">
      <c r="B20" s="714"/>
      <c r="F20" s="717"/>
    </row>
    <row r="21" spans="1:6" x14ac:dyDescent="0.2">
      <c r="A21" s="718" t="s">
        <v>1912</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6" colorId="8" zoomScale="110" zoomScaleNormal="110" workbookViewId="0">
      <selection activeCell="J44" sqref="J44"/>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650</v>
      </c>
      <c r="B1" s="2209"/>
      <c r="C1" s="722"/>
    </row>
    <row r="2" spans="1:7" ht="33.75" x14ac:dyDescent="0.2">
      <c r="A2" s="2217" t="s">
        <v>1902</v>
      </c>
      <c r="B2" s="2218"/>
      <c r="C2" s="1909" t="s">
        <v>2035</v>
      </c>
      <c r="D2" s="724" t="s">
        <v>2042</v>
      </c>
      <c r="E2" s="724" t="s">
        <v>2043</v>
      </c>
      <c r="F2" s="1909" t="s">
        <v>2036</v>
      </c>
    </row>
    <row r="3" spans="1:7" ht="15.75" customHeight="1" x14ac:dyDescent="0.2">
      <c r="A3" s="2221" t="s">
        <v>1176</v>
      </c>
      <c r="B3" s="2222"/>
      <c r="C3" s="2210"/>
      <c r="D3" s="2211"/>
      <c r="E3" s="2211"/>
      <c r="F3" s="2212"/>
    </row>
    <row r="4" spans="1:7" ht="12.75" customHeight="1" thickBot="1" x14ac:dyDescent="0.25">
      <c r="A4" s="2219" t="s">
        <v>651</v>
      </c>
      <c r="B4" s="2220"/>
      <c r="C4" s="581"/>
      <c r="D4" s="581"/>
      <c r="E4" s="581"/>
      <c r="F4" s="1777">
        <f>SUM(C4+D4)-E4</f>
        <v>0</v>
      </c>
    </row>
    <row r="5" spans="1:7" ht="15.75" customHeight="1" thickTop="1" x14ac:dyDescent="0.2">
      <c r="A5" s="2204" t="s">
        <v>1172</v>
      </c>
      <c r="B5" s="2205"/>
      <c r="C5" s="2213"/>
      <c r="D5" s="2214"/>
      <c r="E5" s="2214"/>
      <c r="F5" s="2215"/>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6" t="s">
        <v>652</v>
      </c>
      <c r="B15" s="2207"/>
      <c r="C15" s="1777">
        <f>SUM(C6:C14)</f>
        <v>0</v>
      </c>
      <c r="D15" s="1777">
        <f>SUM(D6:D14)</f>
        <v>0</v>
      </c>
      <c r="E15" s="1777">
        <f>SUM(E6:E14)</f>
        <v>0</v>
      </c>
      <c r="F15" s="1777">
        <f>SUM(F6:F14)</f>
        <v>0</v>
      </c>
      <c r="G15" s="552"/>
    </row>
    <row r="16" spans="1:7" s="202" customFormat="1" ht="15.75" customHeight="1" thickTop="1" x14ac:dyDescent="0.2">
      <c r="A16" s="2216" t="s">
        <v>1173</v>
      </c>
      <c r="B16" s="2205"/>
      <c r="C16" s="2213"/>
      <c r="D16" s="2214"/>
      <c r="E16" s="2214"/>
      <c r="F16" s="2215"/>
    </row>
    <row r="17" spans="1:11" ht="12.75" customHeight="1" thickBot="1" x14ac:dyDescent="0.25">
      <c r="A17" s="2229" t="s">
        <v>66</v>
      </c>
      <c r="B17" s="2230"/>
      <c r="C17" s="727"/>
      <c r="D17" s="585"/>
      <c r="E17" s="727"/>
      <c r="F17" s="1777">
        <f>SUM(C17+D17)-E17</f>
        <v>0</v>
      </c>
    </row>
    <row r="18" spans="1:11" ht="12.75" customHeight="1" thickTop="1" thickBot="1" x14ac:dyDescent="0.25">
      <c r="A18" s="2229" t="s">
        <v>6</v>
      </c>
      <c r="B18" s="2230"/>
      <c r="C18" s="727"/>
      <c r="D18" s="585"/>
      <c r="E18" s="727"/>
      <c r="F18" s="1777">
        <f>SUM(C18+D18)-E18</f>
        <v>0</v>
      </c>
    </row>
    <row r="19" spans="1:11" ht="12.75" customHeight="1" thickTop="1" thickBot="1" x14ac:dyDescent="0.25">
      <c r="A19" s="2229" t="s">
        <v>406</v>
      </c>
      <c r="B19" s="2230"/>
      <c r="C19" s="727"/>
      <c r="D19" s="585"/>
      <c r="E19" s="727"/>
      <c r="F19" s="1777">
        <f>SUM(C19+D19)-E19</f>
        <v>0</v>
      </c>
    </row>
    <row r="20" spans="1:11" ht="12.75" customHeight="1" thickTop="1" thickBot="1" x14ac:dyDescent="0.25">
      <c r="A20" s="2229" t="s">
        <v>468</v>
      </c>
      <c r="B20" s="2230"/>
      <c r="C20" s="727"/>
      <c r="D20" s="585"/>
      <c r="E20" s="727"/>
      <c r="F20" s="1777">
        <f>SUM(C20+D20)-E20</f>
        <v>0</v>
      </c>
    </row>
    <row r="21" spans="1:11" ht="14.25" thickTop="1" thickBot="1" x14ac:dyDescent="0.25">
      <c r="A21" s="2206" t="s">
        <v>653</v>
      </c>
      <c r="B21" s="2207"/>
      <c r="C21" s="1777">
        <f>SUM(C17:C20)</f>
        <v>0</v>
      </c>
      <c r="D21" s="1777">
        <f>SUM(D17:D20)</f>
        <v>0</v>
      </c>
      <c r="E21" s="1777">
        <f>SUM(E17:E20)</f>
        <v>0</v>
      </c>
      <c r="F21" s="1777">
        <f>SUM(F17:F20)</f>
        <v>0</v>
      </c>
      <c r="G21" s="552"/>
    </row>
    <row r="22" spans="1:11" ht="15.75" customHeight="1" thickTop="1" x14ac:dyDescent="0.2">
      <c r="A22" s="2231" t="s">
        <v>1174</v>
      </c>
      <c r="B22" s="2205"/>
      <c r="C22" s="2213"/>
      <c r="D22" s="2214"/>
      <c r="E22" s="2214"/>
      <c r="F22" s="2215"/>
    </row>
    <row r="23" spans="1:11" ht="13.5" thickBot="1" x14ac:dyDescent="0.25">
      <c r="A23" s="2219" t="s">
        <v>654</v>
      </c>
      <c r="B23" s="2220"/>
      <c r="C23" s="581"/>
      <c r="D23" s="581"/>
      <c r="E23" s="581"/>
      <c r="F23" s="1777">
        <f>SUM(C23+D23)-E23</f>
        <v>0</v>
      </c>
      <c r="G23" s="552"/>
    </row>
    <row r="24" spans="1:11" ht="15.75" customHeight="1" thickTop="1" x14ac:dyDescent="0.2">
      <c r="A24" s="2231" t="s">
        <v>1175</v>
      </c>
      <c r="B24" s="2205"/>
      <c r="C24" s="2213"/>
      <c r="D24" s="2214"/>
      <c r="E24" s="2214"/>
      <c r="F24" s="2215"/>
    </row>
    <row r="25" spans="1:11" ht="13.5" thickBot="1" x14ac:dyDescent="0.25">
      <c r="A25" s="2219" t="s">
        <v>655</v>
      </c>
      <c r="B25" s="2220"/>
      <c r="C25" s="581"/>
      <c r="D25" s="581"/>
      <c r="E25" s="581"/>
      <c r="F25" s="1777">
        <f>SUM(C25+D25)-E25</f>
        <v>0</v>
      </c>
      <c r="G25" s="552"/>
    </row>
    <row r="26" spans="1:11" ht="15.75" customHeight="1" thickTop="1" x14ac:dyDescent="0.2">
      <c r="A26" s="2204" t="s">
        <v>678</v>
      </c>
      <c r="B26" s="2205"/>
      <c r="C26" s="728"/>
      <c r="D26" s="728"/>
      <c r="E26" s="728"/>
      <c r="F26" s="729"/>
    </row>
    <row r="27" spans="1:11" ht="13.5" thickBot="1" x14ac:dyDescent="0.25">
      <c r="A27" s="2206" t="s">
        <v>1130</v>
      </c>
      <c r="B27" s="2207"/>
      <c r="C27" s="585"/>
      <c r="D27" s="585"/>
      <c r="E27" s="585"/>
      <c r="F27" s="1777">
        <f>SUM(C27+D27)-E27</f>
        <v>0</v>
      </c>
      <c r="G27" s="552"/>
    </row>
    <row r="28" spans="1:11" ht="7.5" customHeight="1" thickTop="1" x14ac:dyDescent="0.2">
      <c r="A28" s="594"/>
    </row>
    <row r="29" spans="1:11" ht="23.25" customHeight="1" x14ac:dyDescent="0.2">
      <c r="A29" s="2232" t="s">
        <v>603</v>
      </c>
      <c r="B29" s="2209"/>
      <c r="C29" s="730"/>
      <c r="D29" s="730"/>
      <c r="E29" s="730"/>
      <c r="F29" s="730"/>
      <c r="G29" s="730"/>
      <c r="H29" s="730"/>
      <c r="I29" s="730"/>
      <c r="J29" s="730"/>
    </row>
    <row r="30" spans="1:11" ht="33.75" x14ac:dyDescent="0.2">
      <c r="A30" s="1551" t="s">
        <v>1131</v>
      </c>
      <c r="B30" s="731" t="s">
        <v>1186</v>
      </c>
      <c r="C30" s="1910" t="s">
        <v>604</v>
      </c>
      <c r="D30" s="1910" t="s">
        <v>1772</v>
      </c>
      <c r="E30" s="1910" t="s">
        <v>2037</v>
      </c>
      <c r="F30" s="1910" t="s">
        <v>2038</v>
      </c>
      <c r="G30" s="1910" t="s">
        <v>2041</v>
      </c>
      <c r="H30" s="1910" t="s">
        <v>2039</v>
      </c>
      <c r="I30" s="1910" t="s">
        <v>2040</v>
      </c>
      <c r="J30" s="1911" t="s">
        <v>2</v>
      </c>
      <c r="K30" s="732"/>
    </row>
    <row r="31" spans="1:11" ht="12" customHeight="1" x14ac:dyDescent="0.2">
      <c r="A31" s="733" t="s">
        <v>2090</v>
      </c>
      <c r="B31" s="734">
        <v>38467</v>
      </c>
      <c r="C31" s="735">
        <v>14055000</v>
      </c>
      <c r="D31" s="736">
        <v>3</v>
      </c>
      <c r="E31" s="735">
        <v>11845000</v>
      </c>
      <c r="F31" s="735"/>
      <c r="G31" s="735"/>
      <c r="H31" s="735">
        <v>3270000</v>
      </c>
      <c r="I31" s="1778">
        <f>((E31+F31)-H31)+G31</f>
        <v>8575000</v>
      </c>
      <c r="J31" s="735">
        <v>6549940</v>
      </c>
      <c r="K31" s="737"/>
    </row>
    <row r="32" spans="1:11" ht="12" customHeight="1" x14ac:dyDescent="0.2">
      <c r="A32" s="733"/>
      <c r="B32" s="734"/>
      <c r="C32" s="735"/>
      <c r="D32" s="736"/>
      <c r="E32" s="735"/>
      <c r="F32" s="735"/>
      <c r="G32" s="735"/>
      <c r="H32" s="735"/>
      <c r="I32" s="1778">
        <f>((E32+F32)-H32)+G32</f>
        <v>0</v>
      </c>
      <c r="J32" s="735"/>
      <c r="K32" s="737"/>
    </row>
    <row r="33" spans="1:11" ht="12" customHeight="1" x14ac:dyDescent="0.2">
      <c r="A33" s="733" t="s">
        <v>2091</v>
      </c>
      <c r="B33" s="734">
        <v>38470</v>
      </c>
      <c r="C33" s="735">
        <v>30730000</v>
      </c>
      <c r="D33" s="736">
        <v>3</v>
      </c>
      <c r="E33" s="735"/>
      <c r="F33" s="735"/>
      <c r="G33" s="735"/>
      <c r="H33" s="735"/>
      <c r="I33" s="1778">
        <f t="shared" ref="I33:I48" si="1">((E33+F33)-H33)+G33</f>
        <v>0</v>
      </c>
      <c r="J33" s="735">
        <v>-959060</v>
      </c>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t="s">
        <v>2092</v>
      </c>
      <c r="B35" s="734">
        <v>41353</v>
      </c>
      <c r="C35" s="739">
        <v>9410000</v>
      </c>
      <c r="D35" s="736">
        <v>6</v>
      </c>
      <c r="E35" s="739">
        <v>9410000</v>
      </c>
      <c r="F35" s="739"/>
      <c r="G35" s="739"/>
      <c r="H35" s="739"/>
      <c r="I35" s="1778">
        <f t="shared" si="1"/>
        <v>9410000</v>
      </c>
      <c r="J35" s="739">
        <v>9624838</v>
      </c>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t="s">
        <v>2093</v>
      </c>
      <c r="B37" s="734">
        <v>41353</v>
      </c>
      <c r="C37" s="467">
        <v>22350000</v>
      </c>
      <c r="D37" s="741">
        <v>3</v>
      </c>
      <c r="E37" s="467">
        <v>12030000</v>
      </c>
      <c r="F37" s="467"/>
      <c r="G37" s="467"/>
      <c r="H37" s="467"/>
      <c r="I37" s="1778">
        <f t="shared" si="1"/>
        <v>12030000</v>
      </c>
      <c r="J37" s="467">
        <v>11846710</v>
      </c>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t="s">
        <v>2094</v>
      </c>
      <c r="B39" s="734">
        <v>41353</v>
      </c>
      <c r="C39" s="735">
        <v>1075000</v>
      </c>
      <c r="D39" s="742">
        <v>3</v>
      </c>
      <c r="E39" s="743">
        <v>665000</v>
      </c>
      <c r="F39" s="743"/>
      <c r="G39" s="743"/>
      <c r="H39" s="743">
        <v>425000</v>
      </c>
      <c r="I39" s="1778">
        <f t="shared" si="1"/>
        <v>240000</v>
      </c>
      <c r="J39" s="744">
        <v>301223</v>
      </c>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t="s">
        <v>2095</v>
      </c>
      <c r="B41" s="734"/>
      <c r="C41" s="735"/>
      <c r="D41" s="742"/>
      <c r="E41" s="743"/>
      <c r="F41" s="743"/>
      <c r="G41" s="743"/>
      <c r="H41" s="743"/>
      <c r="I41" s="1778">
        <f t="shared" si="1"/>
        <v>0</v>
      </c>
      <c r="J41" s="744">
        <v>40223</v>
      </c>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t="s">
        <v>2096</v>
      </c>
      <c r="B43" s="734"/>
      <c r="C43" s="735"/>
      <c r="D43" s="742">
        <v>7</v>
      </c>
      <c r="E43" s="743">
        <v>387282</v>
      </c>
      <c r="F43" s="743"/>
      <c r="G43" s="743">
        <v>1222888</v>
      </c>
      <c r="H43" s="743">
        <v>680157</v>
      </c>
      <c r="I43" s="1778">
        <f t="shared" si="1"/>
        <v>930013</v>
      </c>
      <c r="J43" s="744">
        <v>930013</v>
      </c>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77620000</v>
      </c>
      <c r="D49" s="746"/>
      <c r="E49" s="1778">
        <f t="shared" ref="E49:J49" si="2">SUM(E31:E48)</f>
        <v>34337282</v>
      </c>
      <c r="F49" s="1778">
        <f t="shared" si="2"/>
        <v>0</v>
      </c>
      <c r="G49" s="1778">
        <f t="shared" si="2"/>
        <v>1222888</v>
      </c>
      <c r="H49" s="1778">
        <f t="shared" si="2"/>
        <v>4375157</v>
      </c>
      <c r="I49" s="1778">
        <f t="shared" si="2"/>
        <v>31185013</v>
      </c>
      <c r="J49" s="1778">
        <f t="shared" si="2"/>
        <v>28333887</v>
      </c>
      <c r="K49" s="738"/>
    </row>
    <row r="50" spans="1:11" ht="6" customHeight="1" x14ac:dyDescent="0.2">
      <c r="A50" s="747"/>
      <c r="B50" s="737"/>
      <c r="C50" s="737"/>
      <c r="D50" s="737"/>
      <c r="E50" s="737"/>
      <c r="F50" s="737"/>
      <c r="G50" s="737"/>
      <c r="H50" s="737"/>
      <c r="I50" s="737"/>
      <c r="J50" s="747"/>
    </row>
    <row r="51" spans="1:11" x14ac:dyDescent="0.2">
      <c r="A51" s="748" t="s">
        <v>1911</v>
      </c>
      <c r="B51" s="747"/>
      <c r="C51" s="738"/>
      <c r="D51" s="738"/>
      <c r="E51" s="738"/>
      <c r="F51" s="738"/>
      <c r="G51" s="738"/>
      <c r="H51" s="737"/>
      <c r="I51" s="737"/>
      <c r="J51" s="747"/>
    </row>
    <row r="52" spans="1:11" ht="11.25" customHeight="1" x14ac:dyDescent="0.2">
      <c r="A52" s="749" t="s">
        <v>968</v>
      </c>
      <c r="B52" s="2223" t="s">
        <v>605</v>
      </c>
      <c r="C52" s="2224"/>
      <c r="D52" s="2224"/>
      <c r="E52" s="750" t="s">
        <v>900</v>
      </c>
      <c r="F52" s="2225" t="s">
        <v>2097</v>
      </c>
      <c r="G52" s="2226"/>
      <c r="H52" s="737"/>
      <c r="I52" s="737"/>
      <c r="J52" s="747"/>
    </row>
    <row r="53" spans="1:11" ht="11.25" customHeight="1" x14ac:dyDescent="0.2">
      <c r="A53" s="751" t="s">
        <v>969</v>
      </c>
      <c r="B53" s="752" t="s">
        <v>1008</v>
      </c>
      <c r="C53" s="747"/>
      <c r="D53" s="738"/>
      <c r="E53" s="750" t="s">
        <v>518</v>
      </c>
      <c r="F53" s="2227"/>
      <c r="G53" s="2228"/>
      <c r="H53" s="737"/>
      <c r="I53" s="737"/>
      <c r="J53" s="747"/>
    </row>
    <row r="54" spans="1:11" ht="11.25" customHeight="1" x14ac:dyDescent="0.2">
      <c r="A54" s="753" t="s">
        <v>970</v>
      </c>
      <c r="B54" s="748" t="s">
        <v>1009</v>
      </c>
      <c r="C54" s="747"/>
      <c r="D54" s="738"/>
      <c r="E54" s="750" t="s">
        <v>519</v>
      </c>
      <c r="F54" s="2227"/>
      <c r="G54" s="222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5" colorId="8" zoomScale="110" zoomScaleNormal="110" workbookViewId="0">
      <selection activeCell="G41" sqref="G4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911</v>
      </c>
      <c r="B1" s="2258"/>
      <c r="C1" s="2258"/>
      <c r="D1" s="2258"/>
      <c r="E1" s="2258"/>
      <c r="F1" s="2258"/>
      <c r="G1" s="2259"/>
      <c r="H1" s="1552"/>
      <c r="I1" s="761"/>
      <c r="J1" s="433"/>
    </row>
    <row r="2" spans="1:11" ht="26.25" x14ac:dyDescent="0.2">
      <c r="A2" s="2236" t="s">
        <v>1776</v>
      </c>
      <c r="B2" s="2237"/>
      <c r="C2" s="2237"/>
      <c r="D2" s="2237"/>
      <c r="E2" s="2238"/>
      <c r="F2" s="762" t="s">
        <v>960</v>
      </c>
      <c r="G2" s="763" t="s">
        <v>1773</v>
      </c>
      <c r="H2" s="763" t="s">
        <v>430</v>
      </c>
      <c r="I2" s="763" t="s">
        <v>1220</v>
      </c>
      <c r="J2" s="763" t="s">
        <v>1916</v>
      </c>
      <c r="K2" s="763" t="s">
        <v>140</v>
      </c>
    </row>
    <row r="3" spans="1:11" x14ac:dyDescent="0.2">
      <c r="A3" s="2239" t="s">
        <v>1698</v>
      </c>
      <c r="B3" s="2240"/>
      <c r="C3" s="2240"/>
      <c r="D3" s="2240"/>
      <c r="E3" s="2241"/>
      <c r="F3" s="764"/>
      <c r="G3" s="765"/>
      <c r="H3" s="765"/>
      <c r="I3" s="765"/>
      <c r="J3" s="766"/>
      <c r="K3" s="766"/>
    </row>
    <row r="4" spans="1:11" x14ac:dyDescent="0.2">
      <c r="A4" s="2242" t="s">
        <v>387</v>
      </c>
      <c r="B4" s="2243"/>
      <c r="C4" s="2243"/>
      <c r="D4" s="2243"/>
      <c r="E4" s="2224"/>
      <c r="F4" s="767"/>
      <c r="G4" s="768"/>
      <c r="H4" s="769"/>
      <c r="I4" s="768"/>
      <c r="J4" s="770"/>
      <c r="K4" s="770"/>
    </row>
    <row r="5" spans="1:11" x14ac:dyDescent="0.2">
      <c r="A5" s="2260" t="s">
        <v>1129</v>
      </c>
      <c r="B5" s="2233"/>
      <c r="C5" s="2233"/>
      <c r="D5" s="2233"/>
      <c r="E5" s="2261"/>
      <c r="F5" s="771" t="s">
        <v>903</v>
      </c>
      <c r="G5" s="772"/>
      <c r="H5" s="765">
        <v>6285600</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60" t="s">
        <v>1917</v>
      </c>
      <c r="B10" s="2233"/>
      <c r="C10" s="2233"/>
      <c r="D10" s="2233"/>
      <c r="E10" s="2262"/>
      <c r="F10" s="784" t="s">
        <v>917</v>
      </c>
      <c r="G10" s="783"/>
      <c r="H10" s="785"/>
      <c r="I10" s="765"/>
      <c r="J10" s="766"/>
      <c r="K10" s="766"/>
    </row>
    <row r="11" spans="1:11" x14ac:dyDescent="0.2">
      <c r="A11" s="2260" t="s">
        <v>162</v>
      </c>
      <c r="B11" s="2233"/>
      <c r="C11" s="2233"/>
      <c r="D11" s="2233"/>
      <c r="E11" s="2261"/>
      <c r="F11" s="771" t="s">
        <v>907</v>
      </c>
      <c r="G11" s="772"/>
      <c r="H11" s="765"/>
      <c r="I11" s="765"/>
      <c r="J11" s="766"/>
      <c r="K11" s="774"/>
    </row>
    <row r="12" spans="1:11" ht="13.5" thickBot="1" x14ac:dyDescent="0.25">
      <c r="A12" s="2250" t="s">
        <v>961</v>
      </c>
      <c r="B12" s="2251"/>
      <c r="C12" s="2251"/>
      <c r="D12" s="2251"/>
      <c r="E12" s="2252"/>
      <c r="F12" s="1779"/>
      <c r="G12" s="1780">
        <f>SUM(G5:G11)</f>
        <v>0</v>
      </c>
      <c r="H12" s="1780">
        <f>SUM(H5:H11)</f>
        <v>6285600</v>
      </c>
      <c r="I12" s="1780">
        <f>SUM(I5:I11)</f>
        <v>0</v>
      </c>
      <c r="J12" s="1780">
        <f>SUM(J5:J11)</f>
        <v>0</v>
      </c>
      <c r="K12" s="1780">
        <f>SUM(K5:K11)</f>
        <v>0</v>
      </c>
    </row>
    <row r="13" spans="1:11" ht="13.5" thickTop="1" x14ac:dyDescent="0.2">
      <c r="A13" s="2244" t="s">
        <v>388</v>
      </c>
      <c r="B13" s="2245"/>
      <c r="C13" s="2245"/>
      <c r="D13" s="2245"/>
      <c r="E13" s="2246"/>
      <c r="F13" s="786"/>
      <c r="G13" s="787"/>
      <c r="H13" s="788"/>
      <c r="I13" s="789"/>
      <c r="J13" s="789"/>
      <c r="K13" s="789"/>
    </row>
    <row r="14" spans="1:11" x14ac:dyDescent="0.2">
      <c r="A14" s="2266" t="s">
        <v>476</v>
      </c>
      <c r="B14" s="2266"/>
      <c r="C14" s="2266"/>
      <c r="D14" s="2266"/>
      <c r="E14" s="2267"/>
      <c r="F14" s="790" t="s">
        <v>909</v>
      </c>
      <c r="G14" s="783"/>
      <c r="H14" s="765">
        <v>6285600</v>
      </c>
      <c r="I14" s="772"/>
      <c r="J14" s="774"/>
      <c r="K14" s="766"/>
    </row>
    <row r="15" spans="1:11" x14ac:dyDescent="0.2">
      <c r="A15" s="2233" t="s">
        <v>4</v>
      </c>
      <c r="B15" s="2233"/>
      <c r="C15" s="2233"/>
      <c r="D15" s="2233"/>
      <c r="E15" s="2261"/>
      <c r="F15" s="790" t="s">
        <v>910</v>
      </c>
      <c r="G15" s="772"/>
      <c r="H15" s="765"/>
      <c r="I15" s="765"/>
      <c r="J15" s="766"/>
      <c r="K15" s="766"/>
    </row>
    <row r="16" spans="1:11" x14ac:dyDescent="0.2">
      <c r="A16" s="2233" t="s">
        <v>316</v>
      </c>
      <c r="B16" s="2233"/>
      <c r="C16" s="2233"/>
      <c r="D16" s="2233"/>
      <c r="E16" s="2261"/>
      <c r="F16" s="790" t="s">
        <v>980</v>
      </c>
      <c r="G16" s="773"/>
      <c r="H16" s="768"/>
      <c r="I16" s="768"/>
      <c r="J16" s="770"/>
      <c r="K16" s="770"/>
    </row>
    <row r="17" spans="1:11" x14ac:dyDescent="0.2">
      <c r="A17" s="2255" t="s">
        <v>992</v>
      </c>
      <c r="B17" s="2255"/>
      <c r="C17" s="2255"/>
      <c r="D17" s="2255"/>
      <c r="E17" s="2256"/>
      <c r="F17" s="791"/>
      <c r="G17" s="792"/>
      <c r="H17" s="793"/>
      <c r="I17" s="793"/>
      <c r="J17" s="794"/>
      <c r="K17" s="795"/>
    </row>
    <row r="18" spans="1:11" x14ac:dyDescent="0.2">
      <c r="A18" s="2247" t="s">
        <v>386</v>
      </c>
      <c r="B18" s="2248"/>
      <c r="C18" s="2248"/>
      <c r="D18" s="2248"/>
      <c r="E18" s="2249"/>
      <c r="F18" s="790" t="s">
        <v>989</v>
      </c>
      <c r="G18" s="783"/>
      <c r="H18" s="783"/>
      <c r="I18" s="783"/>
      <c r="J18" s="766"/>
      <c r="K18" s="796"/>
    </row>
    <row r="19" spans="1:11" ht="21.75" customHeight="1" x14ac:dyDescent="0.2">
      <c r="A19" s="2268" t="s">
        <v>1913</v>
      </c>
      <c r="B19" s="2268"/>
      <c r="C19" s="2268"/>
      <c r="D19" s="2268"/>
      <c r="E19" s="2269"/>
      <c r="F19" s="790" t="s">
        <v>990</v>
      </c>
      <c r="G19" s="783"/>
      <c r="H19" s="783"/>
      <c r="I19" s="783"/>
      <c r="J19" s="766"/>
      <c r="K19" s="796"/>
    </row>
    <row r="20" spans="1:11" x14ac:dyDescent="0.2">
      <c r="A20" s="2247" t="s">
        <v>1918</v>
      </c>
      <c r="B20" s="2248"/>
      <c r="C20" s="2248"/>
      <c r="D20" s="2248"/>
      <c r="E20" s="2249"/>
      <c r="F20" s="790" t="s">
        <v>991</v>
      </c>
      <c r="G20" s="783"/>
      <c r="H20" s="783"/>
      <c r="I20" s="783"/>
      <c r="J20" s="766"/>
      <c r="K20" s="796"/>
    </row>
    <row r="21" spans="1:11" ht="13.5" thickBot="1" x14ac:dyDescent="0.25">
      <c r="A21" s="2253" t="s">
        <v>659</v>
      </c>
      <c r="B21" s="2253"/>
      <c r="C21" s="2253"/>
      <c r="D21" s="2253"/>
      <c r="E21" s="2253"/>
      <c r="F21" s="1781"/>
      <c r="G21" s="793"/>
      <c r="H21" s="797"/>
      <c r="I21" s="797"/>
      <c r="J21" s="1782">
        <f>SUM(J18:J20)</f>
        <v>0</v>
      </c>
      <c r="K21" s="794"/>
    </row>
    <row r="22" spans="1:11" ht="13.5" thickTop="1" x14ac:dyDescent="0.2">
      <c r="A22" s="2233" t="s">
        <v>1919</v>
      </c>
      <c r="B22" s="2233"/>
      <c r="C22" s="2233"/>
      <c r="D22" s="2233"/>
      <c r="E22" s="2261"/>
      <c r="F22" s="790" t="s">
        <v>917</v>
      </c>
      <c r="G22" s="783"/>
      <c r="H22" s="765"/>
      <c r="I22" s="765"/>
      <c r="J22" s="798"/>
      <c r="K22" s="766"/>
    </row>
    <row r="23" spans="1:11" ht="13.5" thickBot="1" x14ac:dyDescent="0.25">
      <c r="A23" s="2254" t="s">
        <v>962</v>
      </c>
      <c r="B23" s="2253"/>
      <c r="C23" s="2253"/>
      <c r="D23" s="2253"/>
      <c r="E23" s="2253"/>
      <c r="F23" s="1783"/>
      <c r="G23" s="1780">
        <f>SUM(G14:G16,G21,G22)</f>
        <v>0</v>
      </c>
      <c r="H23" s="1780">
        <f>SUM(H14:H16,H21,H22)</f>
        <v>6285600</v>
      </c>
      <c r="I23" s="1780">
        <f>SUM(I14:I16,I21,I22)</f>
        <v>0</v>
      </c>
      <c r="J23" s="1780">
        <f>SUM(J14:J16,J21,J22)</f>
        <v>0</v>
      </c>
      <c r="K23" s="1780">
        <f>SUM(K14:K16,K21,K22)</f>
        <v>0</v>
      </c>
    </row>
    <row r="24" spans="1:11" ht="14.25" thickTop="1" thickBot="1" x14ac:dyDescent="0.25">
      <c r="A24" s="2254" t="s">
        <v>2023</v>
      </c>
      <c r="B24" s="2253"/>
      <c r="C24" s="2253"/>
      <c r="D24" s="2253"/>
      <c r="E24" s="2253"/>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2033</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t="s">
        <v>2074</v>
      </c>
      <c r="E30" s="809" t="s">
        <v>792</v>
      </c>
      <c r="F30" s="202"/>
      <c r="G30" s="806"/>
    </row>
    <row r="31" spans="1:11" x14ac:dyDescent="0.2">
      <c r="A31" s="810"/>
      <c r="D31" s="237"/>
      <c r="E31" s="811" t="s">
        <v>793</v>
      </c>
      <c r="F31" s="812" t="s">
        <v>560</v>
      </c>
      <c r="G31" s="765"/>
      <c r="H31" s="2263"/>
      <c r="I31" s="2264"/>
      <c r="J31" s="2264"/>
      <c r="K31" s="2264"/>
    </row>
    <row r="32" spans="1:11" x14ac:dyDescent="0.2">
      <c r="A32" s="810"/>
      <c r="B32" s="237"/>
      <c r="C32" s="237"/>
      <c r="D32" s="237"/>
      <c r="E32" s="806"/>
      <c r="F32" s="812" t="s">
        <v>561</v>
      </c>
      <c r="G32" s="765"/>
      <c r="H32" s="2265"/>
      <c r="I32" s="2264"/>
      <c r="J32" s="2264"/>
      <c r="K32" s="2264"/>
    </row>
    <row r="33" spans="1:11" ht="1.5" customHeight="1" x14ac:dyDescent="0.2">
      <c r="A33" s="813" t="s">
        <v>1231</v>
      </c>
      <c r="B33" s="364"/>
      <c r="C33" s="364"/>
      <c r="D33" s="364"/>
      <c r="E33" s="364"/>
      <c r="F33" s="364"/>
      <c r="G33" s="814"/>
      <c r="H33" s="2265"/>
      <c r="I33" s="2264"/>
      <c r="J33" s="2264"/>
      <c r="K33" s="2264"/>
    </row>
    <row r="34" spans="1:11" x14ac:dyDescent="0.2">
      <c r="A34" s="815" t="s">
        <v>1920</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v>235052</v>
      </c>
    </row>
    <row r="37" spans="1:11" x14ac:dyDescent="0.2">
      <c r="A37" s="821" t="s">
        <v>952</v>
      </c>
      <c r="B37" s="819"/>
      <c r="C37" s="819"/>
      <c r="D37" s="819"/>
      <c r="E37" s="819"/>
      <c r="F37" s="820"/>
      <c r="G37" s="766">
        <v>38143</v>
      </c>
    </row>
    <row r="38" spans="1:11" x14ac:dyDescent="0.2">
      <c r="A38" s="821" t="s">
        <v>1050</v>
      </c>
      <c r="B38" s="819"/>
      <c r="C38" s="819"/>
      <c r="D38" s="819"/>
      <c r="E38" s="819"/>
      <c r="F38" s="820"/>
      <c r="G38" s="766">
        <v>356796</v>
      </c>
    </row>
    <row r="39" spans="1:11" x14ac:dyDescent="0.2">
      <c r="A39" s="821" t="s">
        <v>1051</v>
      </c>
      <c r="B39" s="819"/>
      <c r="C39" s="819"/>
      <c r="D39" s="819"/>
      <c r="E39" s="819"/>
      <c r="F39" s="820"/>
      <c r="G39" s="766">
        <v>5060</v>
      </c>
    </row>
    <row r="40" spans="1:11" x14ac:dyDescent="0.2">
      <c r="A40" s="821" t="s">
        <v>1052</v>
      </c>
      <c r="B40" s="819"/>
      <c r="C40" s="819"/>
      <c r="D40" s="819"/>
      <c r="E40" s="819"/>
      <c r="F40" s="820"/>
      <c r="G40" s="766">
        <v>30000</v>
      </c>
    </row>
    <row r="41" spans="1:11" x14ac:dyDescent="0.2">
      <c r="A41" s="2233" t="s">
        <v>562</v>
      </c>
      <c r="B41" s="2234"/>
      <c r="C41" s="2234"/>
      <c r="D41" s="2234"/>
      <c r="E41" s="2234"/>
      <c r="F41" s="2235"/>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1914</v>
      </c>
      <c r="B46" s="408" t="s">
        <v>1774</v>
      </c>
    </row>
    <row r="47" spans="1:11" s="824" customFormat="1" ht="12.75" customHeight="1" x14ac:dyDescent="0.2">
      <c r="A47" s="822"/>
      <c r="B47" s="823" t="s">
        <v>1775</v>
      </c>
      <c r="E47" s="823"/>
      <c r="K47" s="825"/>
    </row>
    <row r="48" spans="1:11" ht="12.75" customHeight="1" x14ac:dyDescent="0.2">
      <c r="A48" s="1554"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I13" sqref="I1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2032</v>
      </c>
      <c r="B1" s="2273"/>
      <c r="C1" s="2274"/>
      <c r="D1" s="827"/>
      <c r="E1" s="828"/>
      <c r="F1" s="828"/>
      <c r="G1" s="829"/>
      <c r="H1" s="830"/>
      <c r="I1" s="831"/>
      <c r="J1" s="2270"/>
      <c r="K1" s="2271"/>
      <c r="L1" s="2271"/>
    </row>
    <row r="2" spans="1:14" ht="69.75" customHeight="1" x14ac:dyDescent="0.2">
      <c r="A2" s="832" t="s">
        <v>1777</v>
      </c>
      <c r="B2" s="833" t="s">
        <v>396</v>
      </c>
      <c r="C2" s="834" t="s">
        <v>2027</v>
      </c>
      <c r="D2" s="834" t="s">
        <v>2024</v>
      </c>
      <c r="E2" s="834" t="s">
        <v>2025</v>
      </c>
      <c r="F2" s="834" t="s">
        <v>2026</v>
      </c>
      <c r="G2" s="834" t="s">
        <v>626</v>
      </c>
      <c r="H2" s="834" t="s">
        <v>2028</v>
      </c>
      <c r="I2" s="834" t="s">
        <v>2029</v>
      </c>
      <c r="J2" s="834" t="s">
        <v>2044</v>
      </c>
      <c r="K2" s="834" t="s">
        <v>2030</v>
      </c>
      <c r="L2" s="834" t="s">
        <v>2031</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1965066</v>
      </c>
      <c r="D5" s="842"/>
      <c r="E5" s="842"/>
      <c r="F5" s="1782">
        <f>(C5+D5)-E5</f>
        <v>1965066</v>
      </c>
      <c r="G5" s="838"/>
      <c r="H5" s="843"/>
      <c r="I5" s="843"/>
      <c r="J5" s="843"/>
      <c r="K5" s="794"/>
      <c r="L5" s="1791">
        <f>F5-K5</f>
        <v>1965066</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96482896</v>
      </c>
      <c r="D8" s="845">
        <v>555408</v>
      </c>
      <c r="E8" s="845"/>
      <c r="F8" s="1782">
        <f>(C8+D8)-E8</f>
        <v>97038304</v>
      </c>
      <c r="G8" s="844">
        <v>50</v>
      </c>
      <c r="H8" s="766">
        <v>45932507</v>
      </c>
      <c r="I8" s="766">
        <v>1936561</v>
      </c>
      <c r="J8" s="766"/>
      <c r="K8" s="1791">
        <f>(H8+I8)-J8</f>
        <v>47869068</v>
      </c>
      <c r="L8" s="1791">
        <f>F8-K8</f>
        <v>49169236</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3764581</v>
      </c>
      <c r="D10" s="847"/>
      <c r="E10" s="847"/>
      <c r="F10" s="1786">
        <f>(C10+D10)-E10</f>
        <v>3764581</v>
      </c>
      <c r="G10" s="844">
        <v>20</v>
      </c>
      <c r="H10" s="848">
        <v>3902226</v>
      </c>
      <c r="I10" s="848">
        <v>-137645</v>
      </c>
      <c r="J10" s="848"/>
      <c r="K10" s="1791">
        <f>(H10+I10)-J10</f>
        <v>3764581</v>
      </c>
      <c r="L10" s="1791">
        <f>F10-K10</f>
        <v>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21692869</v>
      </c>
      <c r="D12" s="845">
        <v>1718557</v>
      </c>
      <c r="E12" s="845"/>
      <c r="F12" s="1782">
        <f>(C12+D12)-E12</f>
        <v>23411426</v>
      </c>
      <c r="G12" s="844">
        <v>10</v>
      </c>
      <c r="H12" s="766">
        <v>21407236</v>
      </c>
      <c r="I12" s="766">
        <v>470814</v>
      </c>
      <c r="J12" s="766"/>
      <c r="K12" s="1791">
        <f>(H12+I12)-J12</f>
        <v>21878050</v>
      </c>
      <c r="L12" s="1791">
        <f>F12-K12</f>
        <v>1533376</v>
      </c>
    </row>
    <row r="13" spans="1:14" ht="14.25" thickTop="1" thickBot="1" x14ac:dyDescent="0.25">
      <c r="A13" s="849" t="s">
        <v>1184</v>
      </c>
      <c r="B13" s="841">
        <v>252</v>
      </c>
      <c r="C13" s="845"/>
      <c r="D13" s="845"/>
      <c r="E13" s="845"/>
      <c r="F13" s="1782">
        <f>(C13+D13)-E13</f>
        <v>0</v>
      </c>
      <c r="G13" s="844">
        <v>5</v>
      </c>
      <c r="H13" s="766"/>
      <c r="I13" s="766"/>
      <c r="J13" s="766"/>
      <c r="K13" s="1791">
        <f>(H13+I13)-J13</f>
        <v>0</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123905412</v>
      </c>
      <c r="D16" s="1782">
        <f>SUM(D3,D5:D6,D8:D10,D12:D15)</f>
        <v>2273965</v>
      </c>
      <c r="E16" s="1782">
        <f>SUM(E3,E5:E6,E8:E10,E12:E15)</f>
        <v>0</v>
      </c>
      <c r="F16" s="1782">
        <f>SUM(F3,F5:F6,F8:F10,F12:F15)</f>
        <v>126179377</v>
      </c>
      <c r="G16" s="844"/>
      <c r="H16" s="1782">
        <f>SUM(H3,H6,H8:H10,H12:H14,)</f>
        <v>71241969</v>
      </c>
      <c r="I16" s="1782">
        <f>SUM(I3,I6,I8:I10,I12:I14,)</f>
        <v>2269730</v>
      </c>
      <c r="J16" s="1782">
        <f>SUM(J3,J6,J8:J10,J12:J14,)</f>
        <v>0</v>
      </c>
      <c r="K16" s="1782">
        <f>(H16+I16)-J16</f>
        <v>73511699</v>
      </c>
      <c r="L16" s="1782">
        <f>F16-K16</f>
        <v>52667678</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2269730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28" activePane="bottomLeft" state="frozen"/>
      <selection activeCell="A47" sqref="A47"/>
      <selection pane="bottomLeft" activeCell="F183" sqref="F183"/>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8" t="s">
        <v>1699</v>
      </c>
      <c r="B1" s="2279"/>
      <c r="C1" s="2279"/>
      <c r="D1" s="2279"/>
      <c r="E1" s="2279"/>
      <c r="F1" s="2280"/>
      <c r="G1" s="856"/>
    </row>
    <row r="2" spans="1:7" ht="15" customHeight="1" thickBot="1" x14ac:dyDescent="0.25">
      <c r="A2" s="2281" t="s">
        <v>498</v>
      </c>
      <c r="B2" s="2282"/>
      <c r="C2" s="2282"/>
      <c r="D2" s="2282"/>
      <c r="E2" s="2282"/>
      <c r="F2" s="228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4"/>
      <c r="B5" s="2285"/>
      <c r="C5" s="2285"/>
      <c r="D5" s="2285"/>
      <c r="E5" s="2285"/>
      <c r="F5" s="2285"/>
    </row>
    <row r="6" spans="1:7" ht="13.5" customHeight="1" thickBot="1" x14ac:dyDescent="0.25">
      <c r="A6" s="2275" t="s">
        <v>1166</v>
      </c>
      <c r="B6" s="2276"/>
      <c r="C6" s="2276"/>
      <c r="D6" s="2276"/>
      <c r="E6" s="2276"/>
      <c r="F6" s="2277"/>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81537588</v>
      </c>
      <c r="G8" s="866"/>
    </row>
    <row r="9" spans="1:7" x14ac:dyDescent="0.2">
      <c r="A9" s="870" t="s">
        <v>480</v>
      </c>
      <c r="B9" s="871" t="s">
        <v>1986</v>
      </c>
      <c r="C9" s="872"/>
      <c r="D9" s="870" t="s">
        <v>522</v>
      </c>
      <c r="E9" s="869"/>
      <c r="F9" s="1935">
        <f>'Expenditures 15-22'!K151</f>
        <v>7641843</v>
      </c>
      <c r="G9" s="873"/>
    </row>
    <row r="10" spans="1:7" x14ac:dyDescent="0.2">
      <c r="A10" s="870" t="s">
        <v>520</v>
      </c>
      <c r="B10" s="871" t="s">
        <v>1987</v>
      </c>
      <c r="C10" s="872"/>
      <c r="D10" s="870" t="s">
        <v>522</v>
      </c>
      <c r="E10" s="869"/>
      <c r="F10" s="1935">
        <f>'Expenditures 15-22'!K174</f>
        <v>5483588</v>
      </c>
      <c r="G10" s="873"/>
    </row>
    <row r="11" spans="1:7" x14ac:dyDescent="0.2">
      <c r="A11" s="870" t="s">
        <v>481</v>
      </c>
      <c r="B11" s="871" t="s">
        <v>1988</v>
      </c>
      <c r="C11" s="872"/>
      <c r="D11" s="870" t="s">
        <v>522</v>
      </c>
      <c r="E11" s="869"/>
      <c r="F11" s="1935">
        <f>'Expenditures 15-22'!K210</f>
        <v>4375061</v>
      </c>
      <c r="G11" s="873"/>
    </row>
    <row r="12" spans="1:7" x14ac:dyDescent="0.2">
      <c r="A12" s="870" t="s">
        <v>482</v>
      </c>
      <c r="B12" s="871" t="s">
        <v>1989</v>
      </c>
      <c r="C12" s="872"/>
      <c r="D12" s="870" t="s">
        <v>522</v>
      </c>
      <c r="E12" s="869"/>
      <c r="F12" s="1935">
        <f>'Expenditures 15-22'!K295</f>
        <v>3082867</v>
      </c>
      <c r="G12" s="873"/>
    </row>
    <row r="13" spans="1:7" x14ac:dyDescent="0.2">
      <c r="A13" s="870" t="s">
        <v>108</v>
      </c>
      <c r="B13" s="871" t="s">
        <v>1990</v>
      </c>
      <c r="C13" s="872"/>
      <c r="D13" s="870" t="s">
        <v>522</v>
      </c>
      <c r="E13" s="869"/>
      <c r="F13" s="1935">
        <f>'Expenditures 15-22'!K342</f>
        <v>665051</v>
      </c>
      <c r="G13" s="874"/>
    </row>
    <row r="14" spans="1:7" ht="12" customHeight="1" thickBot="1" x14ac:dyDescent="0.25">
      <c r="A14" s="1792"/>
      <c r="B14" s="1793"/>
      <c r="C14" s="1794"/>
      <c r="D14" s="1795" t="s">
        <v>522</v>
      </c>
      <c r="E14" s="1796" t="s">
        <v>1015</v>
      </c>
      <c r="F14" s="1797">
        <f>SUM(F8:F13)</f>
        <v>102785998</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518</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298286</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1018333</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215335</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241355</v>
      </c>
      <c r="G52" s="866"/>
    </row>
    <row r="53" spans="1:7" x14ac:dyDescent="0.2">
      <c r="A53" s="870" t="s">
        <v>479</v>
      </c>
      <c r="B53" s="870" t="s">
        <v>1551</v>
      </c>
      <c r="C53" s="890">
        <f>'Expenditures 15-22'!B102</f>
        <v>4000</v>
      </c>
      <c r="D53" s="889" t="str">
        <f>'Expenditures 15-22'!A102</f>
        <v>Total Payments to Other Govt Units</v>
      </c>
      <c r="E53" s="869"/>
      <c r="F53" s="1939">
        <f>'Expenditures 15-22'!K102</f>
        <v>213858</v>
      </c>
      <c r="G53" s="866"/>
    </row>
    <row r="54" spans="1:7" x14ac:dyDescent="0.2">
      <c r="A54" s="870" t="s">
        <v>479</v>
      </c>
      <c r="B54" s="870" t="s">
        <v>1552</v>
      </c>
      <c r="C54" s="890" t="s">
        <v>1039</v>
      </c>
      <c r="D54" s="886" t="s">
        <v>1157</v>
      </c>
      <c r="E54" s="869"/>
      <c r="F54" s="1939">
        <f>'Expenditures 15-22'!G114</f>
        <v>324004</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1991</v>
      </c>
      <c r="C57" s="890">
        <f>'Expenditures 15-22'!B139</f>
        <v>4000</v>
      </c>
      <c r="D57" s="888" t="str">
        <f>'Expenditures 15-22'!A139</f>
        <v>Total Payments to Other Govt Units</v>
      </c>
      <c r="E57" s="869"/>
      <c r="F57" s="1939">
        <f>'Expenditures 15-22'!K139</f>
        <v>0</v>
      </c>
      <c r="G57" s="866"/>
    </row>
    <row r="58" spans="1:7" x14ac:dyDescent="0.2">
      <c r="A58" s="870" t="s">
        <v>480</v>
      </c>
      <c r="B58" s="870" t="s">
        <v>1992</v>
      </c>
      <c r="C58" s="887" t="s">
        <v>1039</v>
      </c>
      <c r="D58" s="886" t="s">
        <v>1157</v>
      </c>
      <c r="E58" s="869"/>
      <c r="F58" s="1941">
        <f>'Expenditures 15-22'!G151</f>
        <v>134704</v>
      </c>
      <c r="G58" s="866"/>
    </row>
    <row r="59" spans="1:7" x14ac:dyDescent="0.2">
      <c r="A59" s="894" t="s">
        <v>480</v>
      </c>
      <c r="B59" s="857" t="s">
        <v>1993</v>
      </c>
      <c r="C59" s="895" t="s">
        <v>1039</v>
      </c>
      <c r="D59" s="857" t="s">
        <v>309</v>
      </c>
      <c r="F59" s="1942">
        <f>'Expenditures 15-22'!I151</f>
        <v>0</v>
      </c>
      <c r="G59" s="866"/>
    </row>
    <row r="60" spans="1:7" x14ac:dyDescent="0.2">
      <c r="A60" s="894" t="s">
        <v>520</v>
      </c>
      <c r="B60" s="857" t="s">
        <v>1994</v>
      </c>
      <c r="C60" s="895">
        <v>4000</v>
      </c>
      <c r="D60" s="857" t="s">
        <v>330</v>
      </c>
      <c r="F60" s="1940">
        <f>'Expenditures 15-22'!K160</f>
        <v>0</v>
      </c>
      <c r="G60" s="866"/>
    </row>
    <row r="61" spans="1:7" x14ac:dyDescent="0.2">
      <c r="A61" s="896" t="s">
        <v>520</v>
      </c>
      <c r="B61" s="896" t="s">
        <v>1995</v>
      </c>
      <c r="C61" s="897" t="str">
        <f>'Expenditures 15-22'!B170</f>
        <v>5300</v>
      </c>
      <c r="D61" s="898" t="s">
        <v>329</v>
      </c>
      <c r="E61" s="880"/>
      <c r="F61" s="1939">
        <f>'Expenditures 15-22'!K170</f>
        <v>4375157</v>
      </c>
      <c r="G61" s="866"/>
    </row>
    <row r="62" spans="1:7" x14ac:dyDescent="0.2">
      <c r="A62" s="870" t="s">
        <v>481</v>
      </c>
      <c r="B62" s="870" t="s">
        <v>1996</v>
      </c>
      <c r="C62" s="887">
        <f>'Expenditures 15-22'!B185</f>
        <v>3000</v>
      </c>
      <c r="D62" s="877" t="s">
        <v>469</v>
      </c>
      <c r="E62" s="869"/>
      <c r="F62" s="1939">
        <f>'Expenditures 15-22'!K185-SUM('Expenditures 15-22'!G185,'Expenditures 15-22'!I185)</f>
        <v>0</v>
      </c>
      <c r="G62" s="866"/>
    </row>
    <row r="63" spans="1:7" x14ac:dyDescent="0.2">
      <c r="A63" s="870" t="s">
        <v>481</v>
      </c>
      <c r="B63" s="870" t="s">
        <v>1997</v>
      </c>
      <c r="C63" s="887" t="str">
        <f>'Expenditures 15-22'!B196</f>
        <v>4000</v>
      </c>
      <c r="D63" s="888" t="str">
        <f>'Expenditures 15-22'!A196</f>
        <v>Total Payments to Other Govt Units</v>
      </c>
      <c r="E63" s="869"/>
      <c r="F63" s="1939">
        <f>'Expenditures 15-22'!K196</f>
        <v>0</v>
      </c>
      <c r="G63" s="866"/>
    </row>
    <row r="64" spans="1:7" x14ac:dyDescent="0.2">
      <c r="A64" s="896" t="s">
        <v>481</v>
      </c>
      <c r="B64" s="896" t="s">
        <v>1998</v>
      </c>
      <c r="C64" s="897" t="str">
        <f>'Expenditures 15-22'!B206</f>
        <v>5300</v>
      </c>
      <c r="D64" s="893" t="s">
        <v>329</v>
      </c>
      <c r="E64" s="869"/>
      <c r="F64" s="1939">
        <f>'Expenditures 15-22'!K206</f>
        <v>0</v>
      </c>
      <c r="G64" s="866"/>
    </row>
    <row r="65" spans="1:8" x14ac:dyDescent="0.2">
      <c r="A65" s="870" t="s">
        <v>481</v>
      </c>
      <c r="B65" s="870" t="s">
        <v>1999</v>
      </c>
      <c r="C65" s="887" t="s">
        <v>1039</v>
      </c>
      <c r="D65" s="886" t="s">
        <v>1157</v>
      </c>
      <c r="E65" s="869"/>
      <c r="F65" s="1939">
        <f>'Expenditures 15-22'!G210</f>
        <v>114634</v>
      </c>
      <c r="G65" s="866"/>
    </row>
    <row r="66" spans="1:8" x14ac:dyDescent="0.2">
      <c r="A66" s="870" t="s">
        <v>481</v>
      </c>
      <c r="B66" s="870" t="s">
        <v>2000</v>
      </c>
      <c r="C66" s="887" t="s">
        <v>1039</v>
      </c>
      <c r="D66" s="886" t="s">
        <v>309</v>
      </c>
      <c r="E66" s="869"/>
      <c r="F66" s="1939">
        <f>'Expenditures 15-22'!I210</f>
        <v>0</v>
      </c>
      <c r="G66" s="866"/>
    </row>
    <row r="67" spans="1:8" x14ac:dyDescent="0.2">
      <c r="A67" s="870" t="s">
        <v>482</v>
      </c>
      <c r="B67" s="870" t="s">
        <v>2001</v>
      </c>
      <c r="C67" s="887" t="str">
        <f>'Expenditures 15-22'!B216</f>
        <v>1125</v>
      </c>
      <c r="D67" s="893" t="str">
        <f>'Expenditures 15-22'!A216</f>
        <v>Pre-K Programs</v>
      </c>
      <c r="E67" s="869"/>
      <c r="F67" s="1939">
        <f>'Expenditures 15-22'!K216</f>
        <v>647</v>
      </c>
      <c r="G67" s="866"/>
    </row>
    <row r="68" spans="1:8" x14ac:dyDescent="0.2">
      <c r="A68" s="870" t="s">
        <v>482</v>
      </c>
      <c r="B68" s="870" t="s">
        <v>1555</v>
      </c>
      <c r="C68" s="887" t="str">
        <f>'Expenditures 15-22'!B218</f>
        <v>1225</v>
      </c>
      <c r="D68" s="893" t="str">
        <f>'Expenditures 15-22'!A218</f>
        <v>Special Education Programs - Pre-K</v>
      </c>
      <c r="E68" s="869"/>
      <c r="F68" s="1939">
        <f>'Expenditures 15-22'!K218</f>
        <v>54446</v>
      </c>
      <c r="G68" s="866"/>
    </row>
    <row r="69" spans="1:8" x14ac:dyDescent="0.2">
      <c r="A69" s="870" t="s">
        <v>482</v>
      </c>
      <c r="B69" s="870" t="s">
        <v>2002</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2003</v>
      </c>
      <c r="C70" s="887">
        <f>'Expenditures 15-22'!B221</f>
        <v>1300</v>
      </c>
      <c r="D70" s="888" t="str">
        <f>'Expenditures 15-22'!A221</f>
        <v>Adult/Continuing Education Programs</v>
      </c>
      <c r="E70" s="869"/>
      <c r="F70" s="1939">
        <f>'Expenditures 15-22'!K221</f>
        <v>0</v>
      </c>
      <c r="G70" s="866"/>
    </row>
    <row r="71" spans="1:8" x14ac:dyDescent="0.2">
      <c r="A71" s="870" t="s">
        <v>482</v>
      </c>
      <c r="B71" s="870" t="s">
        <v>2004</v>
      </c>
      <c r="C71" s="887">
        <f>'Expenditures 15-22'!B224</f>
        <v>1600</v>
      </c>
      <c r="D71" s="888" t="str">
        <f>'Expenditures 15-22'!A224</f>
        <v>Summer School Programs</v>
      </c>
      <c r="E71" s="869"/>
      <c r="F71" s="1939">
        <f>'Expenditures 15-22'!K224</f>
        <v>6668</v>
      </c>
      <c r="G71" s="866"/>
    </row>
    <row r="72" spans="1:8" x14ac:dyDescent="0.2">
      <c r="A72" s="870" t="s">
        <v>482</v>
      </c>
      <c r="B72" s="870" t="s">
        <v>2005</v>
      </c>
      <c r="C72" s="887">
        <f>'Expenditures 15-22'!B280</f>
        <v>3000</v>
      </c>
      <c r="D72" s="877" t="s">
        <v>469</v>
      </c>
      <c r="E72" s="869"/>
      <c r="F72" s="1939">
        <f>'Expenditures 15-22'!K280</f>
        <v>19107</v>
      </c>
      <c r="G72" s="866"/>
    </row>
    <row r="73" spans="1:8" x14ac:dyDescent="0.2">
      <c r="A73" s="870" t="s">
        <v>482</v>
      </c>
      <c r="B73" s="870" t="s">
        <v>2006</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2007</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2008</v>
      </c>
      <c r="E76" s="1796" t="s">
        <v>1015</v>
      </c>
      <c r="F76" s="1800">
        <f>SUM(F18:F74)</f>
        <v>7017052</v>
      </c>
      <c r="G76" s="866"/>
    </row>
    <row r="77" spans="1:8" s="894" customFormat="1" ht="12" customHeight="1" thickTop="1" thickBot="1" x14ac:dyDescent="0.25">
      <c r="A77" s="1801"/>
      <c r="B77" s="1798"/>
      <c r="C77" s="1794"/>
      <c r="D77" s="1799" t="s">
        <v>2009</v>
      </c>
      <c r="E77" s="1796"/>
      <c r="F77" s="1802">
        <f>(F14-F76)</f>
        <v>95768946</v>
      </c>
      <c r="G77" s="870"/>
    </row>
    <row r="78" spans="1:8" s="894" customFormat="1" ht="12" customHeight="1" thickTop="1" x14ac:dyDescent="0.2">
      <c r="A78" s="1803"/>
      <c r="B78" s="1798"/>
      <c r="C78" s="1794"/>
      <c r="D78" s="1799" t="s">
        <v>2056</v>
      </c>
      <c r="E78" s="1796"/>
      <c r="F78" s="899">
        <v>5768.15</v>
      </c>
      <c r="G78" s="900"/>
      <c r="H78" s="870"/>
    </row>
    <row r="79" spans="1:8" s="894" customFormat="1" ht="12" customHeight="1" thickBot="1" x14ac:dyDescent="0.25">
      <c r="A79" s="1804"/>
      <c r="B79" s="1798"/>
      <c r="C79" s="1794"/>
      <c r="D79" s="1799" t="s">
        <v>2010</v>
      </c>
      <c r="E79" s="1796" t="s">
        <v>1015</v>
      </c>
      <c r="F79" s="1805">
        <f>IF(F78&gt;0,F77/F78," Complete Line 78")</f>
        <v>16603.060946750691</v>
      </c>
      <c r="G79" s="870"/>
    </row>
    <row r="80" spans="1:8" s="894" customFormat="1" ht="8.25" customHeight="1" thickTop="1" x14ac:dyDescent="0.2">
      <c r="A80" s="901"/>
      <c r="B80" s="870"/>
      <c r="C80" s="872"/>
      <c r="D80" s="902"/>
      <c r="E80" s="869"/>
      <c r="F80" s="903"/>
      <c r="G80" s="870"/>
    </row>
    <row r="81" spans="1:7" s="894" customFormat="1" ht="12" thickBot="1" x14ac:dyDescent="0.25">
      <c r="A81" s="2275" t="s">
        <v>1167</v>
      </c>
      <c r="B81" s="2276"/>
      <c r="C81" s="2276"/>
      <c r="D81" s="2276"/>
      <c r="E81" s="2276"/>
      <c r="F81" s="227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35779</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11190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332371</v>
      </c>
      <c r="G94" s="913"/>
    </row>
    <row r="95" spans="1:7" x14ac:dyDescent="0.2">
      <c r="A95" s="909" t="s">
        <v>142</v>
      </c>
      <c r="B95" s="909" t="s">
        <v>177</v>
      </c>
      <c r="C95" s="911">
        <v>1700</v>
      </c>
      <c r="D95" s="919" t="str">
        <f>'Revenues 9-14'!A82</f>
        <v>Total District/School Activity Income</v>
      </c>
      <c r="E95" s="907"/>
      <c r="F95" s="1811">
        <f>SUM('Revenues 9-14'!C82,'Revenues 9-14'!D82)</f>
        <v>0</v>
      </c>
      <c r="G95" s="913"/>
    </row>
    <row r="96" spans="1:7" x14ac:dyDescent="0.2">
      <c r="A96" s="909" t="s">
        <v>479</v>
      </c>
      <c r="B96" s="909" t="s">
        <v>178</v>
      </c>
      <c r="C96" s="911">
        <f>'Revenues 9-14'!B84</f>
        <v>1811</v>
      </c>
      <c r="D96" s="912" t="str">
        <f>'Revenues 9-14'!A84</f>
        <v>Rentals - Regular Textbooks</v>
      </c>
      <c r="E96" s="907"/>
      <c r="F96" s="1811">
        <f>'Revenues 9-14'!C84</f>
        <v>216801</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49796</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4617</v>
      </c>
      <c r="G103" s="913"/>
    </row>
    <row r="104" spans="1:7" x14ac:dyDescent="0.2">
      <c r="A104" s="909" t="s">
        <v>479</v>
      </c>
      <c r="B104" s="909" t="s">
        <v>841</v>
      </c>
      <c r="C104" s="911">
        <f>'Revenues 9-14'!B106</f>
        <v>1993</v>
      </c>
      <c r="D104" s="912" t="str">
        <f>'Revenues 9-14'!A106</f>
        <v>Other Local Fees (Describe &amp; Itemize)</v>
      </c>
      <c r="E104" s="907"/>
      <c r="F104" s="1811">
        <f>('Revenues 9-14'!C106)</f>
        <v>36847</v>
      </c>
      <c r="G104" s="913"/>
    </row>
    <row r="105" spans="1:7" x14ac:dyDescent="0.2">
      <c r="A105" s="909" t="s">
        <v>524</v>
      </c>
      <c r="B105" s="909" t="s">
        <v>842</v>
      </c>
      <c r="C105" s="914">
        <v>3100</v>
      </c>
      <c r="D105" s="920" t="str">
        <f>'Revenues 9-14'!A131</f>
        <v>Total Special Education</v>
      </c>
      <c r="E105" s="907"/>
      <c r="F105" s="1811">
        <f>SUM('Revenues 9-14'!C131:D131,'Revenues 9-14'!F131)</f>
        <v>680598</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1474361</v>
      </c>
      <c r="G107" s="913"/>
    </row>
    <row r="108" spans="1:7" x14ac:dyDescent="0.2">
      <c r="A108" s="909" t="s">
        <v>479</v>
      </c>
      <c r="B108" s="909" t="s">
        <v>844</v>
      </c>
      <c r="C108" s="921">
        <f>'Revenues 9-14'!B145</f>
        <v>3360</v>
      </c>
      <c r="D108" s="912" t="str">
        <f>'Revenues 9-14'!A145</f>
        <v>State Free Lunch &amp; Breakfast</v>
      </c>
      <c r="E108" s="907"/>
      <c r="F108" s="1811">
        <f>'Revenues 9-14'!C145</f>
        <v>30333</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1788740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4999</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2834159</v>
      </c>
      <c r="G129" s="931"/>
    </row>
    <row r="130" spans="1:7" x14ac:dyDescent="0.2">
      <c r="A130" s="928" t="s">
        <v>689</v>
      </c>
      <c r="B130" s="928" t="s">
        <v>804</v>
      </c>
      <c r="C130" s="933">
        <v>4300</v>
      </c>
      <c r="D130" s="934" t="str">
        <f>'Revenues 9-14'!A211</f>
        <v>Total Title I</v>
      </c>
      <c r="E130" s="907"/>
      <c r="F130" s="1811">
        <f>SUM('Revenues 9-14'!C211,'Revenues 9-14'!D211,'Revenues 9-14'!F211,'Revenues 9-14'!G211)</f>
        <v>1610002</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1343142</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36178</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18997</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262384</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167027</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180141</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300576</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2055</v>
      </c>
      <c r="C175" s="1946">
        <v>3100</v>
      </c>
      <c r="D175" s="1947" t="s">
        <v>2058</v>
      </c>
      <c r="E175" s="907"/>
      <c r="F175" s="1931">
        <v>2341815</v>
      </c>
      <c r="G175" s="928"/>
    </row>
    <row r="176" spans="1:7" x14ac:dyDescent="0.2">
      <c r="A176" s="1944" t="s">
        <v>685</v>
      </c>
      <c r="B176" s="1945" t="s">
        <v>2055</v>
      </c>
      <c r="C176" s="1946">
        <v>3300</v>
      </c>
      <c r="D176" s="1947" t="s">
        <v>2059</v>
      </c>
      <c r="E176" s="907"/>
      <c r="F176" s="1931">
        <v>1494704</v>
      </c>
      <c r="G176" s="928"/>
    </row>
    <row r="177" spans="1:7" ht="6" customHeight="1" x14ac:dyDescent="0.2">
      <c r="A177" s="928"/>
      <c r="B177" s="928"/>
      <c r="C177" s="950"/>
      <c r="D177" s="928"/>
      <c r="E177" s="907"/>
      <c r="F177" s="951"/>
      <c r="G177" s="948"/>
    </row>
    <row r="178" spans="1:7" x14ac:dyDescent="0.2">
      <c r="A178" s="1792"/>
      <c r="B178" s="1806"/>
      <c r="C178" s="1807"/>
      <c r="D178" s="1808" t="s">
        <v>2011</v>
      </c>
      <c r="E178" s="1809" t="s">
        <v>1015</v>
      </c>
      <c r="F178" s="1810">
        <f>SUM(F84:F136,F161:F176)</f>
        <v>15255557</v>
      </c>
    </row>
    <row r="179" spans="1:7" ht="12" customHeight="1" x14ac:dyDescent="0.2">
      <c r="A179" s="1792"/>
      <c r="B179" s="1806"/>
      <c r="C179" s="1807"/>
      <c r="D179" s="1808" t="s">
        <v>2012</v>
      </c>
      <c r="E179" s="1809"/>
      <c r="F179" s="1811">
        <f>'PCTC-OEPP 27-28'!F77-F178</f>
        <v>80513389</v>
      </c>
    </row>
    <row r="180" spans="1:7" ht="12" customHeight="1" x14ac:dyDescent="0.2">
      <c r="A180" s="1792"/>
      <c r="B180" s="1806"/>
      <c r="C180" s="1807"/>
      <c r="D180" s="1808" t="s">
        <v>1921</v>
      </c>
      <c r="E180" s="1809"/>
      <c r="F180" s="1811">
        <f>'Cap Outlay Deprec 26'!I18</f>
        <v>2269730</v>
      </c>
    </row>
    <row r="181" spans="1:7" ht="12" customHeight="1" x14ac:dyDescent="0.2">
      <c r="A181" s="1792"/>
      <c r="B181" s="1806"/>
      <c r="C181" s="1807"/>
      <c r="D181" s="1808" t="s">
        <v>2013</v>
      </c>
      <c r="E181" s="1809"/>
      <c r="F181" s="1811">
        <f>F179+F180</f>
        <v>82783119</v>
      </c>
    </row>
    <row r="182" spans="1:7" ht="12" customHeight="1" x14ac:dyDescent="0.2">
      <c r="A182" s="1792"/>
      <c r="B182" s="1812"/>
      <c r="C182" s="1807"/>
      <c r="D182" s="1808" t="str">
        <f>D78</f>
        <v>9 Month ADA from District Average Daily Attendance/Prior General State Aid Inquiry 2017-2018</v>
      </c>
      <c r="E182" s="1809"/>
      <c r="F182" s="1813">
        <f>'PCTC-OEPP 27-28'!F78</f>
        <v>5768.15</v>
      </c>
      <c r="G182" s="931"/>
    </row>
    <row r="183" spans="1:7" ht="12" customHeight="1" thickBot="1" x14ac:dyDescent="0.25">
      <c r="A183" s="1792"/>
      <c r="B183" s="1812"/>
      <c r="C183" s="1807"/>
      <c r="D183" s="1808" t="s">
        <v>2014</v>
      </c>
      <c r="E183" s="1809" t="s">
        <v>1626</v>
      </c>
      <c r="F183" s="1814">
        <f>F181/F182</f>
        <v>14351.76252351274</v>
      </c>
      <c r="G183" s="857">
        <v>6323</v>
      </c>
    </row>
    <row r="184" spans="1:7" ht="12" thickTop="1" x14ac:dyDescent="0.2">
      <c r="B184" s="931"/>
      <c r="C184" s="950"/>
      <c r="D184" s="931"/>
      <c r="E184" s="950"/>
      <c r="F184" s="931"/>
      <c r="G184" s="952">
        <v>6326</v>
      </c>
    </row>
    <row r="185" spans="1:7" ht="12.2" customHeight="1" x14ac:dyDescent="0.2">
      <c r="A185" s="931" t="s">
        <v>2057</v>
      </c>
      <c r="B185" s="931"/>
      <c r="C185" s="950"/>
      <c r="D185" s="931"/>
      <c r="E185" s="950"/>
      <c r="F185" s="931"/>
      <c r="G185" s="931"/>
    </row>
    <row r="186" spans="1:7" s="1948" customFormat="1" ht="12.2" customHeight="1" x14ac:dyDescent="0.2">
      <c r="A186" s="1948" t="s">
        <v>2062</v>
      </c>
      <c r="B186" s="1949"/>
      <c r="C186" s="1950"/>
      <c r="D186" s="1949"/>
      <c r="E186" s="1950"/>
      <c r="F186" s="1949"/>
      <c r="G186" s="1949"/>
    </row>
    <row r="187" spans="1:7" s="1948" customFormat="1" ht="12.2" customHeight="1" x14ac:dyDescent="0.2">
      <c r="A187" s="1951" t="s">
        <v>2063</v>
      </c>
      <c r="C187" s="1950"/>
      <c r="D187" s="1949"/>
      <c r="E187" s="1950"/>
      <c r="F187" s="1949"/>
      <c r="G187" s="1949"/>
    </row>
    <row r="188" spans="1:7" ht="12" customHeight="1" x14ac:dyDescent="0.2">
      <c r="C188" s="950"/>
      <c r="D188" s="931"/>
      <c r="E188" s="950"/>
      <c r="F188" s="931"/>
      <c r="G188" s="931"/>
    </row>
    <row r="189" spans="1:7" x14ac:dyDescent="0.2">
      <c r="A189" s="1952" t="s">
        <v>2061</v>
      </c>
      <c r="B189" s="1953" t="s">
        <v>2060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23" activePane="bottomLeft" state="frozen"/>
      <selection pane="bottomLeft" activeCell="D25" sqref="D25"/>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1937</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9" t="s">
        <v>1922</v>
      </c>
      <c r="B4" s="2290"/>
      <c r="C4" s="2290"/>
      <c r="D4" s="2290"/>
      <c r="E4" s="2290"/>
      <c r="F4" s="2290"/>
      <c r="G4" s="2291"/>
    </row>
    <row r="5" spans="1:7" x14ac:dyDescent="0.25">
      <c r="A5" s="2292"/>
      <c r="B5" s="2293"/>
      <c r="C5" s="2293"/>
      <c r="D5" s="2293"/>
      <c r="E5" s="2293"/>
      <c r="F5" s="2293"/>
      <c r="G5" s="2294"/>
    </row>
    <row r="6" spans="1:7" ht="18.75" x14ac:dyDescent="0.25">
      <c r="A6" s="1556" t="s">
        <v>1923</v>
      </c>
      <c r="B6" s="1557"/>
      <c r="C6" s="1557"/>
      <c r="D6" s="1557"/>
      <c r="E6" s="1557"/>
      <c r="F6" s="1557"/>
      <c r="G6" s="1558"/>
    </row>
    <row r="7" spans="1:7" ht="30.75" customHeight="1" x14ac:dyDescent="0.25">
      <c r="A7" s="2295" t="s">
        <v>2072</v>
      </c>
      <c r="B7" s="2296"/>
      <c r="C7" s="2296"/>
      <c r="D7" s="2296"/>
      <c r="E7" s="2296"/>
      <c r="F7" s="2296"/>
      <c r="G7" s="2297"/>
    </row>
    <row r="8" spans="1:7" ht="15.75" customHeight="1" x14ac:dyDescent="0.25">
      <c r="A8" s="2298" t="s">
        <v>2021</v>
      </c>
      <c r="B8" s="2299"/>
      <c r="C8" s="2299"/>
      <c r="D8" s="2299"/>
      <c r="E8" s="2299"/>
      <c r="F8" s="2299"/>
      <c r="G8" s="2300"/>
    </row>
    <row r="9" spans="1:7" ht="35.25" customHeight="1" x14ac:dyDescent="0.25">
      <c r="A9" s="2295" t="s">
        <v>2020</v>
      </c>
      <c r="B9" s="2296"/>
      <c r="C9" s="2296"/>
      <c r="D9" s="2296"/>
      <c r="E9" s="2296"/>
      <c r="F9" s="2296"/>
      <c r="G9" s="2297"/>
    </row>
    <row r="10" spans="1:7" ht="15" customHeight="1" x14ac:dyDescent="0.25">
      <c r="A10" s="1559" t="s">
        <v>1924</v>
      </c>
      <c r="B10" s="1560"/>
      <c r="C10" s="1560"/>
      <c r="D10" s="1560"/>
      <c r="E10" s="1560"/>
      <c r="F10" s="1560"/>
      <c r="G10" s="1561"/>
    </row>
    <row r="11" spans="1:7" ht="17.25" customHeight="1" x14ac:dyDescent="0.25">
      <c r="A11" s="2295" t="s">
        <v>1938</v>
      </c>
      <c r="B11" s="2296"/>
      <c r="C11" s="2296"/>
      <c r="D11" s="2296"/>
      <c r="E11" s="2296"/>
      <c r="F11" s="2296"/>
      <c r="G11" s="2297"/>
    </row>
    <row r="12" spans="1:7" ht="15" customHeight="1" x14ac:dyDescent="0.25">
      <c r="A12" s="1559" t="s">
        <v>1929</v>
      </c>
      <c r="B12" s="1560"/>
      <c r="C12" s="1560"/>
      <c r="D12" s="1560"/>
      <c r="E12" s="1560"/>
      <c r="F12" s="1560"/>
      <c r="G12" s="1561"/>
    </row>
    <row r="13" spans="1:7" ht="32.25" customHeight="1" x14ac:dyDescent="0.25">
      <c r="A13" s="2286" t="s">
        <v>1930</v>
      </c>
      <c r="B13" s="2287"/>
      <c r="C13" s="2287"/>
      <c r="D13" s="2287"/>
      <c r="E13" s="2287"/>
      <c r="F13" s="2287"/>
      <c r="G13" s="2288"/>
    </row>
    <row r="14" spans="1:7" x14ac:dyDescent="0.25">
      <c r="A14" s="1683" t="s">
        <v>1939</v>
      </c>
      <c r="B14" s="1684"/>
      <c r="C14" s="1684"/>
      <c r="D14" s="1684"/>
      <c r="E14" s="1684"/>
      <c r="F14" s="1684"/>
      <c r="G14" s="1685"/>
    </row>
    <row r="15" spans="1:7" ht="61.5" customHeight="1" x14ac:dyDescent="0.25">
      <c r="A15" s="1568" t="s">
        <v>1931</v>
      </c>
      <c r="B15" s="1568" t="s">
        <v>1932</v>
      </c>
      <c r="C15" s="1568" t="s">
        <v>1933</v>
      </c>
      <c r="D15" s="1569" t="s">
        <v>1934</v>
      </c>
      <c r="E15" s="1569" t="s">
        <v>1925</v>
      </c>
      <c r="F15" s="1569" t="s">
        <v>1935</v>
      </c>
      <c r="G15" s="1569" t="s">
        <v>1936</v>
      </c>
    </row>
    <row r="16" spans="1:7" x14ac:dyDescent="0.25">
      <c r="A16" s="1670" t="s">
        <v>1940</v>
      </c>
      <c r="B16" s="1671" t="s">
        <v>1928</v>
      </c>
      <c r="C16" s="1672" t="s">
        <v>1926</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7" t="s">
        <v>2176</v>
      </c>
      <c r="B17" s="1958" t="s">
        <v>2179</v>
      </c>
      <c r="C17" s="1959" t="s">
        <v>2182</v>
      </c>
      <c r="D17" s="1867">
        <v>1450</v>
      </c>
      <c r="E17" s="1562">
        <f t="shared" ref="E17:E141" si="1">IF(D17&lt;=25000,D17,IF(D17&gt;25000,25000,0))</f>
        <v>1450</v>
      </c>
      <c r="F17" s="1815">
        <f t="shared" si="0"/>
        <v>1450</v>
      </c>
      <c r="G17" s="1816">
        <f>IF(F17=0,0,D17-F17)</f>
        <v>0</v>
      </c>
      <c r="H17" s="1669"/>
    </row>
    <row r="18" spans="1:8" x14ac:dyDescent="0.25">
      <c r="A18" s="1957" t="s">
        <v>2176</v>
      </c>
      <c r="B18" s="1958" t="s">
        <v>2179</v>
      </c>
      <c r="C18" s="1959" t="s">
        <v>2183</v>
      </c>
      <c r="D18" s="1867">
        <v>2500</v>
      </c>
      <c r="E18" s="1562">
        <f t="shared" ref="E18:E140" si="2">IF(D18&lt;=25000,D18,IF(D18&gt;25000,25000,0))</f>
        <v>2500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v>
      </c>
      <c r="G18" s="1816">
        <f t="shared" ref="G18:G140" si="4">IF(F18=0,0,D18-F18)</f>
        <v>0</v>
      </c>
    </row>
    <row r="19" spans="1:8" x14ac:dyDescent="0.25">
      <c r="A19" s="1957" t="s">
        <v>2176</v>
      </c>
      <c r="B19" s="1958" t="s">
        <v>2180</v>
      </c>
      <c r="C19" s="1959" t="s">
        <v>2184</v>
      </c>
      <c r="D19" s="1867">
        <v>2000</v>
      </c>
      <c r="E19" s="1562">
        <f t="shared" si="2"/>
        <v>2000</v>
      </c>
      <c r="F19" s="1815">
        <f t="shared" si="3"/>
        <v>0</v>
      </c>
      <c r="G19" s="1816">
        <f t="shared" si="4"/>
        <v>0</v>
      </c>
    </row>
    <row r="20" spans="1:8" x14ac:dyDescent="0.25">
      <c r="A20" s="1957" t="s">
        <v>2176</v>
      </c>
      <c r="B20" s="1958" t="s">
        <v>2179</v>
      </c>
      <c r="C20" s="1959" t="s">
        <v>2081</v>
      </c>
      <c r="D20" s="1867">
        <v>18250</v>
      </c>
      <c r="E20" s="1562">
        <f t="shared" si="2"/>
        <v>18250</v>
      </c>
      <c r="F20" s="1815">
        <f t="shared" si="3"/>
        <v>18250</v>
      </c>
      <c r="G20" s="1816">
        <f t="shared" si="4"/>
        <v>0</v>
      </c>
    </row>
    <row r="21" spans="1:8" x14ac:dyDescent="0.25">
      <c r="A21" s="1957" t="s">
        <v>2176</v>
      </c>
      <c r="B21" s="1958" t="s">
        <v>2179</v>
      </c>
      <c r="C21" s="1959" t="s">
        <v>2185</v>
      </c>
      <c r="D21" s="1867">
        <v>14501</v>
      </c>
      <c r="E21" s="1562">
        <f t="shared" si="2"/>
        <v>14501</v>
      </c>
      <c r="F21" s="1815">
        <f t="shared" si="3"/>
        <v>14501</v>
      </c>
      <c r="G21" s="1816">
        <f t="shared" si="4"/>
        <v>0</v>
      </c>
    </row>
    <row r="22" spans="1:8" x14ac:dyDescent="0.25">
      <c r="A22" s="1957" t="s">
        <v>2176</v>
      </c>
      <c r="B22" s="1958" t="s">
        <v>2179</v>
      </c>
      <c r="C22" s="1959" t="s">
        <v>2186</v>
      </c>
      <c r="D22" s="1867">
        <v>49833</v>
      </c>
      <c r="E22" s="1562">
        <f t="shared" si="2"/>
        <v>25000</v>
      </c>
      <c r="F22" s="1815">
        <f t="shared" si="3"/>
        <v>25000</v>
      </c>
      <c r="G22" s="1816">
        <f t="shared" si="4"/>
        <v>24833</v>
      </c>
    </row>
    <row r="23" spans="1:8" x14ac:dyDescent="0.25">
      <c r="A23" s="1957" t="s">
        <v>2177</v>
      </c>
      <c r="B23" s="1958" t="s">
        <v>2181</v>
      </c>
      <c r="C23" s="1959" t="s">
        <v>2187</v>
      </c>
      <c r="D23" s="1867">
        <v>20260</v>
      </c>
      <c r="E23" s="1562">
        <f t="shared" si="2"/>
        <v>20260</v>
      </c>
      <c r="F23" s="1815">
        <f t="shared" si="3"/>
        <v>20260</v>
      </c>
      <c r="G23" s="1816">
        <f t="shared" si="4"/>
        <v>0</v>
      </c>
    </row>
    <row r="24" spans="1:8" x14ac:dyDescent="0.25">
      <c r="A24" s="1957" t="s">
        <v>2178</v>
      </c>
      <c r="B24" s="1958" t="s">
        <v>2181</v>
      </c>
      <c r="C24" s="1959" t="s">
        <v>2188</v>
      </c>
      <c r="D24" s="1867">
        <v>23843</v>
      </c>
      <c r="E24" s="1562">
        <f t="shared" si="2"/>
        <v>23843</v>
      </c>
      <c r="F24" s="1815">
        <f t="shared" si="3"/>
        <v>23843</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132637</v>
      </c>
      <c r="E141" s="1563">
        <f t="shared" si="1"/>
        <v>25000</v>
      </c>
      <c r="F141" s="1817">
        <f>SUM(F17:F140)</f>
        <v>105804</v>
      </c>
      <c r="G141" s="1818">
        <f>SUM(G17:G140)</f>
        <v>24833</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1" colorId="8" zoomScale="110" zoomScaleNormal="110" workbookViewId="0">
      <selection activeCell="E54" sqref="E54"/>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1" t="s">
        <v>1778</v>
      </c>
      <c r="B5" s="2302"/>
      <c r="C5" s="2302"/>
      <c r="D5" s="2302"/>
      <c r="E5" s="2302"/>
      <c r="F5" s="2302"/>
      <c r="G5" s="2303"/>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2073</v>
      </c>
      <c r="B10" s="972"/>
      <c r="C10" s="977"/>
      <c r="D10" s="973"/>
      <c r="E10" s="974">
        <v>466549</v>
      </c>
      <c r="F10" s="975"/>
      <c r="G10" s="976"/>
      <c r="H10" s="162"/>
      <c r="I10" s="162"/>
    </row>
    <row r="11" spans="1:9" s="669" customFormat="1" ht="22.5" customHeight="1" x14ac:dyDescent="0.2">
      <c r="A11" s="2306" t="s">
        <v>1942</v>
      </c>
      <c r="B11" s="2307"/>
      <c r="C11" s="2307"/>
      <c r="D11" s="2308"/>
      <c r="E11" s="978">
        <v>265336</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56782808</v>
      </c>
      <c r="F19" s="1822"/>
      <c r="G19" s="1824">
        <f>'Expenditures 15-22'!K33-SUM('Expenditures 15-22'!G33,'Expenditures 15-22'!I33)+'Expenditures 15-22'!D229</f>
        <v>56782808</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7521553</v>
      </c>
      <c r="F21" s="1825"/>
      <c r="G21" s="1828">
        <f>'Expenditures 15-22'!K42-SUM('Expenditures 15-22'!G42,'Expenditures 15-22'!I42)+'Expenditures 15-22'!K120-SUM('Expenditures 15-22'!G120,'Expenditures 15-22'!I120)+'Expenditures 15-22'!K180-SUM('Expenditures 15-22'!G180,'Expenditures 15-22'!I180)+'Expenditures 15-22'!D238</f>
        <v>7521553</v>
      </c>
      <c r="H21" s="988"/>
      <c r="I21" s="162"/>
    </row>
    <row r="22" spans="1:9" s="669" customFormat="1" ht="12" customHeight="1" x14ac:dyDescent="0.2">
      <c r="A22" s="995" t="s">
        <v>585</v>
      </c>
      <c r="B22" s="996"/>
      <c r="C22" s="994">
        <v>2200</v>
      </c>
      <c r="D22" s="1825"/>
      <c r="E22" s="1827">
        <f>'Expenditures 15-22'!K47-SUM('Expenditures 15-22'!G47,'Expenditures 15-22'!I47)+'Expenditures 15-22'!D243</f>
        <v>6172158</v>
      </c>
      <c r="F22" s="1825"/>
      <c r="G22" s="1828">
        <f>'Expenditures 15-22'!K47-SUM('Expenditures 15-22'!G47,'Expenditures 15-22'!I47)+'Expenditures 15-22'!D243</f>
        <v>6172158</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2097039</v>
      </c>
      <c r="F23" s="1825"/>
      <c r="G23" s="1827">
        <f>'Expenditures 15-22'!K53-SUM('Expenditures 15-22'!G53,'Expenditures 15-22'!I53)+'Expenditures 15-22'!D257+'Expenditures 15-22'!K330-SUM('Expenditures 15-22'!G330,'Expenditures 15-22'!I330)</f>
        <v>2097039</v>
      </c>
      <c r="H23" s="988"/>
      <c r="I23" s="162"/>
    </row>
    <row r="24" spans="1:9" s="669" customFormat="1" ht="12" customHeight="1" x14ac:dyDescent="0.2">
      <c r="A24" s="995" t="s">
        <v>587</v>
      </c>
      <c r="B24" s="996"/>
      <c r="C24" s="994">
        <v>2400</v>
      </c>
      <c r="D24" s="1825"/>
      <c r="E24" s="1827">
        <f>'Expenditures 15-22'!K57-SUM('Expenditures 15-22'!G57,'Expenditures 15-22'!I57)+'Expenditures 15-22'!D261</f>
        <v>3664434</v>
      </c>
      <c r="F24" s="1825"/>
      <c r="G24" s="1828">
        <f>'Expenditures 15-22'!K57-SUM('Expenditures 15-22'!G57,'Expenditures 15-22'!I57)+'Expenditures 15-22'!D261</f>
        <v>3664434</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1046787</v>
      </c>
      <c r="E26" s="1827">
        <f>'Expenditures 15-22'!K122-SUM('Expenditures 15-22'!G122,'Expenditures 15-22'!I122)+E7</f>
        <v>0</v>
      </c>
      <c r="F26" s="1827">
        <f>'Expenditures 15-22'!K59-SUM('Expenditures 15-22'!G59,'Expenditures 15-22'!I59)+'Expenditures 15-22'!D263-E7</f>
        <v>1046787</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0</v>
      </c>
      <c r="E27" s="1827">
        <f>E8</f>
        <v>0</v>
      </c>
      <c r="F27" s="1827">
        <f>'Expenditures 15-22'!K60-SUM('Expenditures 15-22'!G60,'Expenditures 15-22'!I60)+'Expenditures 15-22'!D264-E8</f>
        <v>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8371467</v>
      </c>
      <c r="F28" s="1829">
        <f>'Expenditures 15-22'!K61-SUM('Expenditures 15-22'!G61,'Expenditures 15-22'!I61)+'Expenditures 15-22'!K124-SUM('Expenditures 15-22'!G124,'Expenditures 15-22'!I124)+'Expenditures 15-22'!D266-E9</f>
        <v>8371467</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4397851</v>
      </c>
      <c r="F29" s="1825"/>
      <c r="G29" s="1828">
        <f>'Expenditures 15-22'!K62-SUM('Expenditures 15-22'!G62,'Expenditures 15-22'!I62)+'Expenditures 15-22'!K125-SUM('Expenditures 15-22'!G125,'Expenditures 15-22'!I125)+'Expenditures 15-22'!K182-SUM('Expenditures 15-22'!G182,'Expenditures 15-22'!I182)+'Expenditures 15-22'!D267</f>
        <v>4397851</v>
      </c>
      <c r="H29" s="986"/>
    </row>
    <row r="30" spans="1:9" ht="12" customHeight="1" x14ac:dyDescent="0.2">
      <c r="A30" s="995" t="s">
        <v>102</v>
      </c>
      <c r="B30" s="998"/>
      <c r="C30" s="994">
        <v>2560</v>
      </c>
      <c r="D30" s="1825"/>
      <c r="E30" s="1827">
        <f>'Expenditures 15-22'!K63-SUM('Expenditures 15-22'!G63,'Expenditures 15-22'!I63)+'Expenditures 15-22'!D268-E10</f>
        <v>2246620</v>
      </c>
      <c r="F30" s="1825"/>
      <c r="G30" s="1827">
        <f>'Expenditures 15-22'!K63-SUM('Expenditures 15-22'!G63,'Expenditures 15-22'!I63)+'Expenditures 15-22'!D268-E10</f>
        <v>2246620</v>
      </c>
    </row>
    <row r="31" spans="1:9" ht="12" customHeight="1" x14ac:dyDescent="0.2">
      <c r="A31" s="995" t="s">
        <v>103</v>
      </c>
      <c r="B31" s="998"/>
      <c r="C31" s="994">
        <v>2570</v>
      </c>
      <c r="D31" s="1827">
        <f>'Expenditures 15-22'!K64-SUM('Expenditures 15-22'!G64,'Expenditures 15-22'!I64)+'Expenditures 15-22'!D269-E12</f>
        <v>343096</v>
      </c>
      <c r="E31" s="1827">
        <f>E12</f>
        <v>0</v>
      </c>
      <c r="F31" s="1827">
        <f>'Expenditures 15-22'!K64-SUM('Expenditures 15-22'!G64,'Expenditures 15-22'!I64)+'Expenditures 15-22'!D269-E12</f>
        <v>343096</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2521034</v>
      </c>
      <c r="F35" s="1825"/>
      <c r="G35" s="1827">
        <f>'Expenditures 15-22'!K69-SUM('Expenditures 15-22'!G69,'Expenditures 15-22'!I69)+'Expenditures 15-22'!D274</f>
        <v>2521034</v>
      </c>
    </row>
    <row r="36" spans="1:7" ht="12" customHeight="1" x14ac:dyDescent="0.2">
      <c r="A36" s="995" t="s">
        <v>423</v>
      </c>
      <c r="B36" s="998"/>
      <c r="C36" s="994">
        <v>2640</v>
      </c>
      <c r="D36" s="1827">
        <f>'Expenditures 15-22'!K70-SUM('Expenditures 15-22'!G70,'Expenditures 15-22'!I70)+'Expenditures 15-22'!D275-E13</f>
        <v>536789</v>
      </c>
      <c r="E36" s="1827">
        <f>E13</f>
        <v>0</v>
      </c>
      <c r="F36" s="1827">
        <f>'Expenditures 15-22'!K70-SUM('Expenditures 15-22'!G70,'Expenditures 15-22'!I70)+'Expenditures 15-22'!D275-E13</f>
        <v>536789</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26279</v>
      </c>
      <c r="F38" s="1825"/>
      <c r="G38" s="1827">
        <f>'Expenditures 15-22'!K73-SUM('Expenditures 15-22'!G73,'Expenditures 15-22'!I73)+'Expenditures 15-22'!K128-SUM('Expenditures 15-22'!G128,'Expenditures 15-22'!I128)+'Expenditures 15-22'!K183-SUM('Expenditures 15-22'!G183,'Expenditures 15-22'!I183)+'Expenditures 15-22'!D278</f>
        <v>26279</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260462</v>
      </c>
      <c r="F39" s="1825"/>
      <c r="G39" s="1827">
        <f>'Expenditures 15-22'!K75-SUM('Expenditures 15-22'!G75,'Expenditures 15-22'!I75)+'Expenditures 15-22'!K130-SUM('Expenditures 15-22'!G130,'Expenditures 15-22'!I130)+'Expenditures 15-22'!K185-SUM('Expenditures 15-22'!G185,'Expenditures 15-22'!I185)+'Expenditures 15-22'!D280</f>
        <v>260462</v>
      </c>
    </row>
    <row r="40" spans="1:7" ht="12" customHeight="1" x14ac:dyDescent="0.2">
      <c r="A40" s="991" t="s">
        <v>1927</v>
      </c>
      <c r="B40" s="992"/>
      <c r="C40" s="994"/>
      <c r="D40" s="1825"/>
      <c r="E40" s="1829">
        <f>-'Contracts Paid in CY 29'!G141</f>
        <v>-24833</v>
      </c>
      <c r="F40" s="1825"/>
      <c r="G40" s="1829">
        <f>-'Contracts Paid in CY 29'!G141</f>
        <v>-24833</v>
      </c>
    </row>
    <row r="41" spans="1:7" ht="12" customHeight="1" x14ac:dyDescent="0.2">
      <c r="A41" s="999" t="s">
        <v>158</v>
      </c>
      <c r="B41" s="1000"/>
      <c r="C41" s="1001"/>
      <c r="D41" s="1829">
        <f>SUM(D19:D39)</f>
        <v>1926672</v>
      </c>
      <c r="E41" s="1829">
        <f>SUM(E19:E40)</f>
        <v>94036872</v>
      </c>
      <c r="F41" s="1829">
        <f>SUM(F19:F39)</f>
        <v>10298139</v>
      </c>
      <c r="G41" s="1829">
        <f>SUM(G19:G40)</f>
        <v>85665405</v>
      </c>
    </row>
    <row r="42" spans="1:7" x14ac:dyDescent="0.2">
      <c r="A42" s="988"/>
      <c r="B42" s="162"/>
      <c r="C42" s="1002"/>
      <c r="D42" s="2304" t="s">
        <v>543</v>
      </c>
      <c r="E42" s="2305"/>
      <c r="F42" s="1003" t="s">
        <v>544</v>
      </c>
      <c r="G42" s="1004"/>
    </row>
    <row r="43" spans="1:7" ht="12" customHeight="1" x14ac:dyDescent="0.2">
      <c r="A43" s="988"/>
      <c r="B43" s="162"/>
      <c r="C43" s="1002"/>
      <c r="D43" s="1830" t="s">
        <v>493</v>
      </c>
      <c r="E43" s="1831">
        <f>D41</f>
        <v>1926672</v>
      </c>
      <c r="F43" s="1830" t="s">
        <v>495</v>
      </c>
      <c r="G43" s="1831">
        <f>F41</f>
        <v>10298139</v>
      </c>
    </row>
    <row r="44" spans="1:7" ht="12" customHeight="1" x14ac:dyDescent="0.2">
      <c r="A44" s="988"/>
      <c r="B44" s="162"/>
      <c r="C44" s="1002"/>
      <c r="D44" s="1830" t="s">
        <v>494</v>
      </c>
      <c r="E44" s="1831">
        <f>E41</f>
        <v>94036872</v>
      </c>
      <c r="F44" s="1830" t="s">
        <v>494</v>
      </c>
      <c r="G44" s="1831">
        <f>G41</f>
        <v>85665405</v>
      </c>
    </row>
    <row r="45" spans="1:7" ht="12" customHeight="1" x14ac:dyDescent="0.2">
      <c r="A45" s="988"/>
      <c r="B45" s="162"/>
      <c r="C45" s="162"/>
      <c r="D45" s="1832" t="s">
        <v>1063</v>
      </c>
      <c r="E45" s="1833">
        <f>(E43/E44)</f>
        <v>2.0488473925419384E-2</v>
      </c>
      <c r="F45" s="1832" t="s">
        <v>1063</v>
      </c>
      <c r="G45" s="1833">
        <f>(G43/G44)</f>
        <v>0.12021350975927797</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7" activePane="bottomLeft" state="frozen"/>
      <selection activeCell="A47" sqref="A47"/>
      <selection pane="bottomLeft" activeCell="F31" sqref="F31"/>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2" t="s">
        <v>1446</v>
      </c>
      <c r="B1" s="2312"/>
      <c r="C1" s="2312"/>
      <c r="D1" s="2312"/>
      <c r="E1" s="2312"/>
      <c r="F1" s="2312"/>
    </row>
    <row r="2" spans="1:10" x14ac:dyDescent="0.2">
      <c r="A2" s="1912" t="s">
        <v>2045</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3" t="s">
        <v>1627</v>
      </c>
      <c r="B5" s="2314"/>
      <c r="C5" s="2315"/>
      <c r="D5" s="2315"/>
      <c r="E5" s="2315"/>
      <c r="F5" s="2315"/>
    </row>
    <row r="6" spans="1:10" ht="12" customHeight="1" x14ac:dyDescent="0.25">
      <c r="A6" s="1875"/>
      <c r="B6" s="1876"/>
      <c r="C6" s="2316" t="str">
        <f>COVER!A17</f>
        <v>Wheeling CCSD 21</v>
      </c>
      <c r="D6" s="2316"/>
      <c r="E6" s="2316"/>
      <c r="F6" s="1877"/>
    </row>
    <row r="7" spans="1:10" ht="11.25" customHeight="1" thickBot="1" x14ac:dyDescent="0.3">
      <c r="A7" s="1875"/>
      <c r="B7" s="1876"/>
      <c r="C7" s="2317">
        <f>COVER!A13</f>
        <v>5016021004</v>
      </c>
      <c r="D7" s="2317"/>
      <c r="E7" s="2317"/>
      <c r="F7" s="1877"/>
    </row>
    <row r="8" spans="1:10" ht="25.5" customHeight="1" thickBot="1" x14ac:dyDescent="0.25">
      <c r="A8" s="1918" t="s">
        <v>2022</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t="s">
        <v>2074</v>
      </c>
      <c r="D14" s="1890" t="s">
        <v>2074</v>
      </c>
      <c r="E14" s="1893"/>
      <c r="F14" s="1892" t="s">
        <v>2098</v>
      </c>
      <c r="H14" s="1903">
        <f t="shared" si="0"/>
        <v>5</v>
      </c>
      <c r="I14" s="1903">
        <f t="shared" si="1"/>
        <v>5</v>
      </c>
      <c r="J14" s="1903">
        <f t="shared" si="2"/>
        <v>0</v>
      </c>
    </row>
    <row r="15" spans="1:10" ht="12" customHeight="1" x14ac:dyDescent="0.2">
      <c r="A15" s="1888" t="s">
        <v>1454</v>
      </c>
      <c r="B15" s="1889"/>
      <c r="C15" s="1890" t="s">
        <v>2074</v>
      </c>
      <c r="D15" s="1890" t="s">
        <v>2074</v>
      </c>
      <c r="E15" s="1893"/>
      <c r="F15" s="1892" t="s">
        <v>2099</v>
      </c>
      <c r="H15" s="1903">
        <f t="shared" si="0"/>
        <v>5</v>
      </c>
      <c r="I15" s="1903">
        <f t="shared" si="1"/>
        <v>5</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t="s">
        <v>2074</v>
      </c>
      <c r="D19" s="1890" t="s">
        <v>2074</v>
      </c>
      <c r="E19" s="1893"/>
      <c r="F19" s="1892" t="s">
        <v>2100</v>
      </c>
      <c r="H19" s="1903">
        <f t="shared" si="0"/>
        <v>5</v>
      </c>
      <c r="I19" s="1903">
        <f t="shared" si="1"/>
        <v>5</v>
      </c>
      <c r="J19" s="1903">
        <f t="shared" si="2"/>
        <v>0</v>
      </c>
    </row>
    <row r="20" spans="1:12" ht="12" customHeight="1" x14ac:dyDescent="0.2">
      <c r="A20" s="1888" t="s">
        <v>1609</v>
      </c>
      <c r="B20" s="1889"/>
      <c r="C20" s="1890" t="s">
        <v>2074</v>
      </c>
      <c r="D20" s="1890" t="s">
        <v>2074</v>
      </c>
      <c r="E20" s="1893"/>
      <c r="F20" s="1892" t="s">
        <v>2101</v>
      </c>
      <c r="H20" s="1903">
        <f t="shared" si="0"/>
        <v>5</v>
      </c>
      <c r="I20" s="1903">
        <f t="shared" si="1"/>
        <v>5</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2074</v>
      </c>
      <c r="D26" s="1890" t="s">
        <v>2074</v>
      </c>
      <c r="E26" s="1893"/>
      <c r="F26" s="1892" t="s">
        <v>2102</v>
      </c>
      <c r="H26" s="1903">
        <f t="shared" si="0"/>
        <v>5</v>
      </c>
      <c r="I26" s="1903">
        <f t="shared" si="1"/>
        <v>5</v>
      </c>
      <c r="J26" s="1903">
        <f t="shared" si="2"/>
        <v>0</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t="s">
        <v>2074</v>
      </c>
      <c r="D30" s="1890" t="s">
        <v>2074</v>
      </c>
      <c r="E30" s="1893"/>
      <c r="F30" s="1892" t="s">
        <v>2103</v>
      </c>
      <c r="H30" s="1903">
        <f t="shared" si="0"/>
        <v>5</v>
      </c>
      <c r="I30" s="1903">
        <f t="shared" si="1"/>
        <v>5</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30</v>
      </c>
      <c r="I34" s="1903">
        <f>SUM(I11:I32)</f>
        <v>30</v>
      </c>
      <c r="J34" s="1903">
        <f>SUM(J11:J32)</f>
        <v>0</v>
      </c>
      <c r="K34" s="1903">
        <f>SUM(H34:J34)</f>
        <v>60</v>
      </c>
    </row>
    <row r="35" spans="1:11" ht="12" customHeight="1" x14ac:dyDescent="0.2">
      <c r="A35" s="1896" t="s">
        <v>1459</v>
      </c>
      <c r="B35" s="1897"/>
      <c r="C35" s="2318"/>
      <c r="D35" s="2318"/>
      <c r="E35" s="2318"/>
      <c r="F35" s="2319"/>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23"/>
      <c r="B38" s="2324"/>
      <c r="C38" s="2324"/>
      <c r="D38" s="2324"/>
      <c r="E38" s="2324"/>
      <c r="F38" s="2325"/>
    </row>
    <row r="39" spans="1:11" ht="4.5" hidden="1" customHeight="1" x14ac:dyDescent="0.2">
      <c r="A39" s="1898"/>
      <c r="B39" s="1898"/>
      <c r="C39" s="1898"/>
      <c r="D39" s="1898"/>
      <c r="E39" s="1898"/>
      <c r="F39" s="1898"/>
    </row>
    <row r="40" spans="1:11" s="1895" customFormat="1" ht="12" customHeight="1" x14ac:dyDescent="0.25">
      <c r="A40" s="1899" t="s">
        <v>1458</v>
      </c>
      <c r="B40" s="1900"/>
      <c r="C40" s="2326"/>
      <c r="D40" s="2326"/>
      <c r="E40" s="2326"/>
      <c r="F40" s="2327"/>
      <c r="H40" s="1904"/>
      <c r="I40" s="1904"/>
      <c r="J40" s="1904"/>
      <c r="K40" s="1904"/>
    </row>
    <row r="41" spans="1:11" s="1895" customFormat="1" ht="12" customHeight="1" x14ac:dyDescent="0.25">
      <c r="A41" s="2328"/>
      <c r="B41" s="2329"/>
      <c r="C41" s="2329"/>
      <c r="D41" s="2329"/>
      <c r="E41" s="2329"/>
      <c r="F41" s="2330"/>
      <c r="H41" s="1904"/>
      <c r="I41" s="1904"/>
      <c r="J41" s="1904"/>
      <c r="K41" s="1904"/>
    </row>
    <row r="42" spans="1:11" s="1895" customFormat="1" ht="12" customHeight="1" x14ac:dyDescent="0.25">
      <c r="A42" s="2328"/>
      <c r="B42" s="2329"/>
      <c r="C42" s="2329"/>
      <c r="D42" s="2329"/>
      <c r="E42" s="2329"/>
      <c r="F42" s="2330"/>
      <c r="H42" s="1904"/>
      <c r="I42" s="1904"/>
      <c r="J42" s="1904"/>
      <c r="K42" s="1904"/>
    </row>
    <row r="43" spans="1:11" s="1895" customFormat="1" ht="15" x14ac:dyDescent="0.25">
      <c r="A43" s="2320"/>
      <c r="B43" s="2321"/>
      <c r="C43" s="2321"/>
      <c r="D43" s="2321"/>
      <c r="E43" s="2321"/>
      <c r="F43" s="2322"/>
      <c r="H43" s="1904"/>
      <c r="I43" s="1904"/>
      <c r="J43" s="1904"/>
      <c r="K43" s="1904"/>
    </row>
    <row r="44" spans="1:11" s="1895" customFormat="1" ht="12" hidden="1" customHeight="1" x14ac:dyDescent="0.25">
      <c r="A44" s="2320"/>
      <c r="B44" s="2321"/>
      <c r="C44" s="2321"/>
      <c r="D44" s="2321"/>
      <c r="E44" s="2321"/>
      <c r="F44" s="2322"/>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7" sqref="H17"/>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6" t="str">
        <f>COVER!A17</f>
        <v>Wheeling CCSD 21</v>
      </c>
      <c r="J6" s="2337"/>
      <c r="Q6" s="1686"/>
    </row>
    <row r="7" spans="1:17" x14ac:dyDescent="0.2">
      <c r="A7" s="2338" t="s">
        <v>924</v>
      </c>
      <c r="B7" s="2339"/>
      <c r="C7" s="2339"/>
      <c r="D7" s="2339"/>
      <c r="E7" s="2340"/>
      <c r="F7" s="1018"/>
      <c r="G7" s="1010"/>
      <c r="H7" s="1017" t="s">
        <v>390</v>
      </c>
      <c r="I7" s="2341">
        <f>COVER!A13</f>
        <v>5016021004</v>
      </c>
      <c r="J7" s="2341"/>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2" t="s">
        <v>502</v>
      </c>
      <c r="B11" s="2343"/>
      <c r="C11" s="234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398116</v>
      </c>
      <c r="F12" s="1040"/>
      <c r="G12" s="1834">
        <f t="shared" ref="G12:G18" si="0">SUM(E12:F12)</f>
        <v>398116</v>
      </c>
      <c r="H12" s="1041">
        <v>255352</v>
      </c>
      <c r="I12" s="1040"/>
      <c r="J12" s="1834">
        <f t="shared" ref="J12:J18" si="1">SUM(H12:I12)</f>
        <v>255352</v>
      </c>
    </row>
    <row r="13" spans="1:17" ht="15" customHeight="1" x14ac:dyDescent="0.2">
      <c r="A13" s="1036">
        <v>2</v>
      </c>
      <c r="B13" s="1037" t="s">
        <v>44</v>
      </c>
      <c r="C13" s="1038"/>
      <c r="D13" s="1039">
        <v>2330</v>
      </c>
      <c r="E13" s="1834">
        <f>'Expenditures 15-22'!K51</f>
        <v>674424</v>
      </c>
      <c r="F13" s="1040"/>
      <c r="G13" s="1834">
        <f t="shared" si="0"/>
        <v>674424</v>
      </c>
      <c r="H13" s="1041">
        <v>754224</v>
      </c>
      <c r="I13" s="1040"/>
      <c r="J13" s="1834">
        <f t="shared" si="1"/>
        <v>754224</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945861</v>
      </c>
      <c r="F15" s="1834">
        <f>'Expenditures 15-22'!K122</f>
        <v>0</v>
      </c>
      <c r="G15" s="1834">
        <f t="shared" si="0"/>
        <v>945861</v>
      </c>
      <c r="H15" s="1041">
        <v>1125011</v>
      </c>
      <c r="I15" s="1041"/>
      <c r="J15" s="1834">
        <f t="shared" si="1"/>
        <v>1125011</v>
      </c>
    </row>
    <row r="16" spans="1:17" ht="15" customHeight="1" x14ac:dyDescent="0.2">
      <c r="A16" s="1036">
        <v>5</v>
      </c>
      <c r="B16" s="1037" t="s">
        <v>103</v>
      </c>
      <c r="C16" s="1038"/>
      <c r="D16" s="1039">
        <v>2570</v>
      </c>
      <c r="E16" s="1834">
        <f>'Expenditures 15-22'!K64</f>
        <v>300751</v>
      </c>
      <c r="F16" s="1040"/>
      <c r="G16" s="1834">
        <f t="shared" si="0"/>
        <v>300751</v>
      </c>
      <c r="H16" s="1041">
        <v>292614</v>
      </c>
      <c r="I16" s="1040"/>
      <c r="J16" s="1834">
        <f t="shared" si="1"/>
        <v>292614</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5" t="s">
        <v>7</v>
      </c>
      <c r="C18" s="2346"/>
      <c r="D18" s="2347"/>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2319152</v>
      </c>
      <c r="F19" s="1836">
        <f t="shared" si="2"/>
        <v>0</v>
      </c>
      <c r="G19" s="1836">
        <f t="shared" si="2"/>
        <v>2319152</v>
      </c>
      <c r="H19" s="1836">
        <f t="shared" si="2"/>
        <v>2427201</v>
      </c>
      <c r="I19" s="1836">
        <f t="shared" si="2"/>
        <v>0</v>
      </c>
      <c r="J19" s="1836">
        <f t="shared" si="2"/>
        <v>2427201</v>
      </c>
    </row>
    <row r="20" spans="1:10" ht="13.5" thickTop="1" x14ac:dyDescent="0.2">
      <c r="A20" s="1036">
        <v>9</v>
      </c>
      <c r="B20" s="2348" t="s">
        <v>1703</v>
      </c>
      <c r="C20" s="2348"/>
      <c r="D20" s="2349"/>
      <c r="E20" s="1047"/>
      <c r="F20" s="1047"/>
      <c r="G20" s="1047"/>
      <c r="H20" s="1047"/>
      <c r="I20" s="1047"/>
      <c r="J20" s="1837">
        <f>IF(AND(G19&gt;0,J19&gt;0),(((J19-G19)/G19)),"Enter Budget Data")</f>
        <v>4.6589874229890929E-2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4"/>
      <c r="D26" s="2354"/>
      <c r="E26" s="1051"/>
      <c r="F26" s="2353"/>
      <c r="G26" s="2353"/>
    </row>
    <row r="27" spans="1:10" x14ac:dyDescent="0.2">
      <c r="B27" s="1048"/>
      <c r="C27" s="1052" t="s">
        <v>1093</v>
      </c>
      <c r="D27" s="1053"/>
      <c r="E27" s="1054"/>
      <c r="F27" s="2350" t="s">
        <v>1589</v>
      </c>
      <c r="G27" s="2350"/>
    </row>
    <row r="28" spans="1:10" ht="28.5" customHeight="1" x14ac:dyDescent="0.2">
      <c r="B28" s="1048"/>
      <c r="C28" s="2352"/>
      <c r="D28" s="2352"/>
      <c r="E28" s="1055"/>
      <c r="F28" s="2352"/>
      <c r="G28" s="2352"/>
    </row>
    <row r="29" spans="1:10" x14ac:dyDescent="0.2">
      <c r="B29" s="1048"/>
      <c r="C29" s="1056" t="s">
        <v>1642</v>
      </c>
      <c r="E29" s="1057"/>
      <c r="F29" s="2351" t="s">
        <v>1590</v>
      </c>
      <c r="G29" s="235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3" t="s">
        <v>134</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63"/>
    </row>
    <row r="36" spans="1:10" ht="13.5" customHeight="1" x14ac:dyDescent="0.2">
      <c r="B36" s="1062"/>
      <c r="C36" s="2335" t="s">
        <v>1941</v>
      </c>
      <c r="D36" s="2334"/>
      <c r="E36" s="2334"/>
      <c r="F36" s="2334"/>
      <c r="G36" s="2334"/>
      <c r="H36" s="2334"/>
      <c r="I36" s="2334"/>
      <c r="J36" s="1064"/>
    </row>
    <row r="37" spans="1:10" ht="22.5" customHeight="1" x14ac:dyDescent="0.2">
      <c r="C37" s="2334"/>
      <c r="D37" s="2334"/>
      <c r="E37" s="2334"/>
      <c r="F37" s="2334"/>
      <c r="G37" s="2334"/>
      <c r="H37" s="2334"/>
      <c r="I37" s="2334"/>
      <c r="J37" s="1064"/>
    </row>
    <row r="38" spans="1:10" ht="7.5" customHeight="1" x14ac:dyDescent="0.2">
      <c r="C38" s="1063"/>
      <c r="D38" s="1065"/>
      <c r="E38" s="1066"/>
      <c r="F38" s="1067"/>
      <c r="G38" s="1066"/>
    </row>
    <row r="39" spans="1:10" ht="13.5" customHeight="1" x14ac:dyDescent="0.2">
      <c r="B39" s="1062"/>
      <c r="C39" s="2331" t="s">
        <v>937</v>
      </c>
      <c r="D39" s="2332"/>
      <c r="E39" s="2332"/>
      <c r="F39" s="2332"/>
      <c r="G39" s="2332"/>
      <c r="H39" s="2332"/>
      <c r="I39" s="233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G19" sqref="G19"/>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1956" t="s">
        <v>2104</v>
      </c>
    </row>
    <row r="6" spans="1:2" x14ac:dyDescent="0.2">
      <c r="A6" s="1069"/>
      <c r="B6" s="329" t="s">
        <v>2105</v>
      </c>
    </row>
    <row r="7" spans="1:2" x14ac:dyDescent="0.2">
      <c r="A7" s="1069"/>
    </row>
    <row r="8" spans="1:2" x14ac:dyDescent="0.2">
      <c r="A8" s="1069"/>
      <c r="B8" s="329" t="s">
        <v>2106</v>
      </c>
    </row>
    <row r="9" spans="1:2" x14ac:dyDescent="0.2">
      <c r="A9" s="1069"/>
    </row>
    <row r="10" spans="1:2" x14ac:dyDescent="0.2">
      <c r="A10" s="1069"/>
    </row>
    <row r="11" spans="1:2" x14ac:dyDescent="0.2">
      <c r="A11" s="1069"/>
    </row>
    <row r="12" spans="1:2" x14ac:dyDescent="0.2">
      <c r="A12" s="1069"/>
    </row>
    <row r="13" spans="1:2" x14ac:dyDescent="0.2">
      <c r="A13" s="1069"/>
    </row>
    <row r="14" spans="1:2" x14ac:dyDescent="0.2">
      <c r="A14" s="1069"/>
    </row>
    <row r="15" spans="1:2" x14ac:dyDescent="0.2">
      <c r="A15" s="1069">
        <v>2</v>
      </c>
      <c r="B15" s="1956" t="s">
        <v>6</v>
      </c>
    </row>
    <row r="16" spans="1:2" x14ac:dyDescent="0.2">
      <c r="A16" s="1069"/>
      <c r="B16" s="329" t="s">
        <v>2107</v>
      </c>
    </row>
    <row r="17" spans="1:2" x14ac:dyDescent="0.2">
      <c r="A17" s="1069"/>
    </row>
    <row r="18" spans="1:2" x14ac:dyDescent="0.2">
      <c r="A18" s="1069"/>
    </row>
    <row r="19" spans="1:2" x14ac:dyDescent="0.2">
      <c r="A19" s="1069"/>
    </row>
    <row r="20" spans="1:2" x14ac:dyDescent="0.2">
      <c r="A20" s="1069"/>
    </row>
    <row r="21" spans="1:2" x14ac:dyDescent="0.2">
      <c r="A21" s="1069"/>
    </row>
    <row r="22" spans="1:2" x14ac:dyDescent="0.2">
      <c r="A22" s="1069"/>
    </row>
    <row r="23" spans="1:2" x14ac:dyDescent="0.2">
      <c r="A23" s="1069"/>
    </row>
    <row r="24" spans="1:2" x14ac:dyDescent="0.2">
      <c r="A24" s="1069"/>
    </row>
    <row r="25" spans="1:2" x14ac:dyDescent="0.2">
      <c r="A25" s="1069">
        <v>3</v>
      </c>
      <c r="B25" s="1956" t="s">
        <v>2108</v>
      </c>
    </row>
    <row r="26" spans="1:2" x14ac:dyDescent="0.2">
      <c r="A26" s="1069"/>
      <c r="B26" s="329" t="s">
        <v>2109</v>
      </c>
    </row>
    <row r="27" spans="1:2" x14ac:dyDescent="0.2">
      <c r="A27" s="1069"/>
    </row>
    <row r="28" spans="1:2" x14ac:dyDescent="0.2">
      <c r="A28" s="1069"/>
    </row>
    <row r="29" spans="1:2" x14ac:dyDescent="0.2">
      <c r="A29" s="1069"/>
    </row>
    <row r="30" spans="1:2" x14ac:dyDescent="0.2">
      <c r="A30" s="1069"/>
    </row>
    <row r="31" spans="1:2" x14ac:dyDescent="0.2">
      <c r="A31" s="1069"/>
    </row>
    <row r="32" spans="1:2" x14ac:dyDescent="0.2">
      <c r="A32" s="1069"/>
    </row>
    <row r="33" spans="1:2" x14ac:dyDescent="0.2">
      <c r="A33" s="1069"/>
    </row>
    <row r="34" spans="1:2" x14ac:dyDescent="0.2">
      <c r="A34" s="1069"/>
    </row>
    <row r="35" spans="1:2" x14ac:dyDescent="0.2">
      <c r="A35" s="1069"/>
    </row>
    <row r="36" spans="1:2" x14ac:dyDescent="0.2">
      <c r="A36" s="1069">
        <v>4</v>
      </c>
      <c r="B36" s="1956" t="s">
        <v>2110</v>
      </c>
    </row>
    <row r="37" spans="1:2" x14ac:dyDescent="0.2">
      <c r="A37" s="1070"/>
      <c r="B37" s="329" t="s">
        <v>2111</v>
      </c>
    </row>
    <row r="38" spans="1:2" x14ac:dyDescent="0.2">
      <c r="A38" s="1070"/>
    </row>
    <row r="39" spans="1:2" x14ac:dyDescent="0.2">
      <c r="A39" s="1070"/>
    </row>
    <row r="40" spans="1:2" x14ac:dyDescent="0.2">
      <c r="A40" s="1070"/>
    </row>
    <row r="41" spans="1:2" x14ac:dyDescent="0.2">
      <c r="A41" s="1070"/>
    </row>
    <row r="42" spans="1:2" x14ac:dyDescent="0.2">
      <c r="A42" s="1070"/>
    </row>
    <row r="43" spans="1:2" x14ac:dyDescent="0.2">
      <c r="A43" s="1070"/>
    </row>
    <row r="44" spans="1:2" x14ac:dyDescent="0.2">
      <c r="A44" s="1070"/>
    </row>
    <row r="45" spans="1:2" x14ac:dyDescent="0.2">
      <c r="A45" s="1070"/>
    </row>
    <row r="46" spans="1:2" x14ac:dyDescent="0.2">
      <c r="A46" s="1070"/>
    </row>
    <row r="47" spans="1:2" x14ac:dyDescent="0.2">
      <c r="A47" s="1070"/>
    </row>
    <row r="48" spans="1:2"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Wheeling CCSD 21</v>
      </c>
    </row>
    <row r="65" spans="2:2" x14ac:dyDescent="0.2">
      <c r="B65" s="1071">
        <f>COVER!A13</f>
        <v>5016021004</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1968</v>
      </c>
      <c r="C4" s="162" t="s">
        <v>1231</v>
      </c>
      <c r="D4" s="169" t="s">
        <v>10</v>
      </c>
      <c r="E4" s="170" t="s">
        <v>22</v>
      </c>
    </row>
    <row r="5" spans="1:5" x14ac:dyDescent="0.2">
      <c r="A5" s="168" t="s">
        <v>1970</v>
      </c>
      <c r="C5" s="162" t="s">
        <v>1231</v>
      </c>
      <c r="D5" s="169" t="s">
        <v>10</v>
      </c>
      <c r="E5" s="170" t="s">
        <v>22</v>
      </c>
    </row>
    <row r="6" spans="1:5" x14ac:dyDescent="0.2">
      <c r="A6" s="168" t="s">
        <v>1969</v>
      </c>
      <c r="C6" s="162" t="s">
        <v>1231</v>
      </c>
      <c r="D6" s="167" t="s">
        <v>11</v>
      </c>
      <c r="E6" s="170" t="s">
        <v>998</v>
      </c>
    </row>
    <row r="7" spans="1:5" x14ac:dyDescent="0.2">
      <c r="A7" s="168" t="s">
        <v>1971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1972</v>
      </c>
      <c r="C11" s="162" t="s">
        <v>1231</v>
      </c>
      <c r="D11" s="169" t="s">
        <v>14</v>
      </c>
      <c r="E11" s="170" t="s">
        <v>1218</v>
      </c>
    </row>
    <row r="12" spans="1:5" x14ac:dyDescent="0.2">
      <c r="B12" s="169" t="s">
        <v>1973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1974</v>
      </c>
      <c r="C15" s="162" t="s">
        <v>1231</v>
      </c>
      <c r="D15" s="169" t="s">
        <v>17</v>
      </c>
      <c r="E15" s="170" t="s">
        <v>657</v>
      </c>
    </row>
    <row r="16" spans="1:5" x14ac:dyDescent="0.2">
      <c r="A16" s="172"/>
      <c r="B16" s="162" t="s">
        <v>1975</v>
      </c>
      <c r="C16" s="162" t="s">
        <v>1231</v>
      </c>
      <c r="D16" s="169" t="s">
        <v>702</v>
      </c>
      <c r="E16" s="170" t="s">
        <v>1100</v>
      </c>
    </row>
    <row r="17" spans="1:5" x14ac:dyDescent="0.2">
      <c r="B17" s="167" t="s">
        <v>1045</v>
      </c>
      <c r="C17" s="162" t="s">
        <v>1231</v>
      </c>
    </row>
    <row r="18" spans="1:5" x14ac:dyDescent="0.2">
      <c r="B18" s="167" t="s">
        <v>1981</v>
      </c>
      <c r="D18" s="169" t="s">
        <v>18</v>
      </c>
      <c r="E18" s="170" t="s">
        <v>1101</v>
      </c>
    </row>
    <row r="19" spans="1:5" x14ac:dyDescent="0.2">
      <c r="A19" s="168" t="s">
        <v>1161</v>
      </c>
      <c r="C19" s="162" t="s">
        <v>1231</v>
      </c>
      <c r="D19" s="169"/>
      <c r="E19" s="171"/>
    </row>
    <row r="20" spans="1:5" x14ac:dyDescent="0.2">
      <c r="B20" s="167" t="s">
        <v>1976</v>
      </c>
      <c r="C20" s="162" t="s">
        <v>1231</v>
      </c>
      <c r="D20" s="169" t="s">
        <v>19</v>
      </c>
      <c r="E20" s="170" t="s">
        <v>53</v>
      </c>
    </row>
    <row r="21" spans="1:5" x14ac:dyDescent="0.2">
      <c r="B21" s="167" t="s">
        <v>1977</v>
      </c>
      <c r="C21" s="162" t="s">
        <v>1231</v>
      </c>
      <c r="D21" s="169" t="s">
        <v>20</v>
      </c>
      <c r="E21" s="170" t="s">
        <v>1708</v>
      </c>
    </row>
    <row r="22" spans="1:5" x14ac:dyDescent="0.2">
      <c r="A22" s="168"/>
      <c r="B22" s="162" t="s">
        <v>1965</v>
      </c>
      <c r="C22" s="162" t="s">
        <v>1231</v>
      </c>
      <c r="D22" s="167" t="s">
        <v>1967</v>
      </c>
      <c r="E22" s="1859" t="s">
        <v>1709</v>
      </c>
    </row>
    <row r="23" spans="1:5" x14ac:dyDescent="0.2">
      <c r="A23" s="168"/>
      <c r="B23" s="162" t="s">
        <v>1966</v>
      </c>
      <c r="D23" s="167" t="s">
        <v>658</v>
      </c>
      <c r="E23" s="1859" t="s">
        <v>1016</v>
      </c>
    </row>
    <row r="24" spans="1:5" x14ac:dyDescent="0.2">
      <c r="A24" s="168" t="s">
        <v>1707</v>
      </c>
      <c r="C24" s="162" t="s">
        <v>1231</v>
      </c>
      <c r="D24" s="167" t="s">
        <v>1460</v>
      </c>
      <c r="E24" s="170" t="s">
        <v>1017</v>
      </c>
    </row>
    <row r="25" spans="1:5" x14ac:dyDescent="0.2">
      <c r="A25" s="168" t="s">
        <v>1978</v>
      </c>
      <c r="C25" s="162" t="s">
        <v>1231</v>
      </c>
      <c r="D25" s="169" t="s">
        <v>21</v>
      </c>
      <c r="E25" s="170" t="s">
        <v>1102</v>
      </c>
    </row>
    <row r="26" spans="1:5" x14ac:dyDescent="0.2">
      <c r="A26" s="168" t="s">
        <v>1979</v>
      </c>
      <c r="C26" s="162" t="s">
        <v>1231</v>
      </c>
      <c r="D26" s="169" t="s">
        <v>584</v>
      </c>
      <c r="E26" s="170" t="s">
        <v>1103</v>
      </c>
    </row>
    <row r="27" spans="1:5" x14ac:dyDescent="0.2">
      <c r="A27" s="168" t="s">
        <v>1980</v>
      </c>
      <c r="C27" s="162" t="s">
        <v>1231</v>
      </c>
      <c r="D27" s="169" t="s">
        <v>578</v>
      </c>
      <c r="E27" s="170" t="s">
        <v>704</v>
      </c>
    </row>
    <row r="28" spans="1:5" x14ac:dyDescent="0.2">
      <c r="A28" s="168" t="s">
        <v>1982</v>
      </c>
      <c r="D28" s="169" t="s">
        <v>705</v>
      </c>
      <c r="E28" s="170" t="s">
        <v>1433</v>
      </c>
    </row>
    <row r="29" spans="1:5" x14ac:dyDescent="0.2">
      <c r="A29" s="168" t="s">
        <v>1983</v>
      </c>
      <c r="D29" s="169" t="s">
        <v>1461</v>
      </c>
      <c r="E29" s="170" t="s">
        <v>1442</v>
      </c>
    </row>
    <row r="30" spans="1:5" x14ac:dyDescent="0.2">
      <c r="A30" s="173" t="s">
        <v>1984</v>
      </c>
      <c r="C30" s="162" t="s">
        <v>1231</v>
      </c>
      <c r="D30" s="169" t="s">
        <v>42</v>
      </c>
      <c r="E30" s="170" t="s">
        <v>1039</v>
      </c>
    </row>
    <row r="31" spans="1:5" x14ac:dyDescent="0.2">
      <c r="A31" s="168" t="s">
        <v>1602</v>
      </c>
      <c r="C31" s="162" t="s">
        <v>1231</v>
      </c>
      <c r="D31" s="167"/>
      <c r="E31" s="171"/>
    </row>
    <row r="32" spans="1:5" x14ac:dyDescent="0.2">
      <c r="B32" s="167" t="s">
        <v>1985</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2" t="s">
        <v>1125</v>
      </c>
      <c r="B35" s="2072"/>
      <c r="C35" s="2072"/>
      <c r="D35" s="2072"/>
      <c r="E35" s="207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9" t="s">
        <v>715</v>
      </c>
      <c r="B40" s="2069"/>
      <c r="C40" s="2069"/>
      <c r="D40" s="2069"/>
      <c r="E40" s="2069"/>
    </row>
    <row r="41" spans="1:5" x14ac:dyDescent="0.2">
      <c r="A41" s="2070" t="s">
        <v>1706</v>
      </c>
      <c r="B41" s="2070"/>
      <c r="C41" s="2070"/>
      <c r="D41" s="2070"/>
      <c r="E41" s="2070"/>
    </row>
    <row r="42" spans="1:5" ht="12.75" customHeight="1" x14ac:dyDescent="0.2">
      <c r="A42" s="2071" t="s">
        <v>1080</v>
      </c>
      <c r="B42" s="2071"/>
      <c r="C42" s="2071"/>
      <c r="D42" s="2071"/>
      <c r="E42" s="2071"/>
    </row>
    <row r="43" spans="1:5" ht="6.75" customHeight="1" x14ac:dyDescent="0.2">
      <c r="A43" s="167"/>
      <c r="B43" s="176"/>
    </row>
    <row r="44" spans="1:5" x14ac:dyDescent="0.2">
      <c r="A44" s="185" t="s">
        <v>1040</v>
      </c>
      <c r="B44" s="186" t="s">
        <v>2015</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1871</v>
      </c>
    </row>
    <row r="52" spans="1:3" x14ac:dyDescent="0.2">
      <c r="A52" s="190"/>
      <c r="B52" s="188" t="s">
        <v>1891</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1872</v>
      </c>
    </row>
    <row r="57" spans="1:3" x14ac:dyDescent="0.2">
      <c r="A57" s="193"/>
      <c r="B57" s="190" t="s">
        <v>1874</v>
      </c>
    </row>
    <row r="58" spans="1:3" x14ac:dyDescent="0.2">
      <c r="A58" s="194"/>
      <c r="B58" s="190" t="s">
        <v>1875</v>
      </c>
    </row>
    <row r="59" spans="1:3" x14ac:dyDescent="0.2">
      <c r="A59" s="195"/>
      <c r="B59" s="1507" t="s">
        <v>1876</v>
      </c>
    </row>
    <row r="60" spans="1:3" x14ac:dyDescent="0.2">
      <c r="A60" s="196"/>
      <c r="B60" s="1507" t="s">
        <v>1877</v>
      </c>
    </row>
    <row r="61" spans="1:3" ht="6" customHeight="1" x14ac:dyDescent="0.2">
      <c r="A61" s="197"/>
      <c r="B61" s="189"/>
    </row>
    <row r="62" spans="1:3" x14ac:dyDescent="0.2">
      <c r="A62" s="169" t="s">
        <v>1714</v>
      </c>
      <c r="B62" s="198" t="s">
        <v>1873</v>
      </c>
    </row>
    <row r="63" spans="1:3" x14ac:dyDescent="0.2">
      <c r="A63" s="188"/>
      <c r="B63" s="169" t="s">
        <v>1888</v>
      </c>
    </row>
    <row r="64" spans="1:3" x14ac:dyDescent="0.2">
      <c r="A64" s="195"/>
      <c r="B64" s="1509" t="s">
        <v>1878</v>
      </c>
    </row>
    <row r="65" spans="1:9" x14ac:dyDescent="0.2">
      <c r="A65" s="188"/>
      <c r="B65" s="169" t="s">
        <v>1889</v>
      </c>
    </row>
    <row r="66" spans="1:9" x14ac:dyDescent="0.2">
      <c r="A66" s="190"/>
      <c r="B66" s="190" t="s">
        <v>1879</v>
      </c>
    </row>
    <row r="67" spans="1:9" ht="12" customHeight="1" x14ac:dyDescent="0.2">
      <c r="A67" s="188"/>
      <c r="B67" s="169" t="s">
        <v>1890</v>
      </c>
    </row>
    <row r="68" spans="1:9" x14ac:dyDescent="0.2">
      <c r="A68" s="189"/>
      <c r="B68" s="190" t="s">
        <v>1880</v>
      </c>
    </row>
    <row r="69" spans="1:9" x14ac:dyDescent="0.2">
      <c r="A69" s="190"/>
      <c r="B69" s="188" t="s">
        <v>1881</v>
      </c>
    </row>
    <row r="70" spans="1:9" ht="13.5" customHeight="1" x14ac:dyDescent="0.2">
      <c r="A70" s="190"/>
      <c r="B70" s="188" t="s">
        <v>1882</v>
      </c>
    </row>
    <row r="71" spans="1:9" ht="12" customHeight="1" x14ac:dyDescent="0.2">
      <c r="A71" s="192"/>
      <c r="B71" s="1508" t="s">
        <v>1717</v>
      </c>
    </row>
    <row r="72" spans="1:9" ht="9" customHeight="1" x14ac:dyDescent="0.2">
      <c r="A72" s="192"/>
      <c r="B72" s="199"/>
    </row>
    <row r="73" spans="1:9" x14ac:dyDescent="0.2">
      <c r="A73" s="189" t="s">
        <v>1718</v>
      </c>
      <c r="B73" s="169" t="s">
        <v>1884</v>
      </c>
    </row>
    <row r="74" spans="1:9" x14ac:dyDescent="0.2">
      <c r="A74" s="189"/>
      <c r="B74" s="169" t="s">
        <v>1883</v>
      </c>
    </row>
    <row r="75" spans="1:9" ht="8.25" customHeight="1" x14ac:dyDescent="0.2">
      <c r="A75" s="189"/>
      <c r="B75" s="189"/>
    </row>
    <row r="76" spans="1:9" ht="12.2" customHeight="1" x14ac:dyDescent="0.2">
      <c r="A76" s="189" t="s">
        <v>1719</v>
      </c>
      <c r="B76" s="198" t="s">
        <v>1885</v>
      </c>
    </row>
    <row r="77" spans="1:9" ht="12.2" customHeight="1" x14ac:dyDescent="0.2">
      <c r="A77" s="190"/>
      <c r="B77" s="169" t="s">
        <v>1720</v>
      </c>
      <c r="C77" s="179"/>
      <c r="D77" s="180"/>
      <c r="E77" s="181"/>
      <c r="F77" s="181"/>
      <c r="G77" s="181"/>
      <c r="H77" s="181"/>
      <c r="I77" s="181"/>
    </row>
    <row r="78" spans="1:9" ht="11.25" customHeight="1" x14ac:dyDescent="0.2">
      <c r="A78" s="190"/>
      <c r="B78" s="190" t="s">
        <v>1887</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40"/>
  <sheetViews>
    <sheetView showGridLines="0" topLeftCell="A4" zoomScale="110" zoomScaleNormal="110" workbookViewId="0">
      <selection activeCell="B6" sqref="A6:J30"/>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5" t="s">
        <v>1784</v>
      </c>
      <c r="B18" s="2355"/>
    </row>
    <row r="40" ht="14.25" customHeight="1" x14ac:dyDescent="0.2"/>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35841" r:id="rId4">
          <objectPr defaultSize="0" autoPict="0" r:id="rId5">
            <anchor moveWithCells="1">
              <from>
                <xdr:col>1</xdr:col>
                <xdr:colOff>1981200</xdr:colOff>
                <xdr:row>4</xdr:row>
                <xdr:rowOff>47625</xdr:rowOff>
              </from>
              <to>
                <xdr:col>1</xdr:col>
                <xdr:colOff>2895600</xdr:colOff>
                <xdr:row>7</xdr:row>
                <xdr:rowOff>76200</xdr:rowOff>
              </to>
            </anchor>
          </objectPr>
        </oleObject>
      </mc:Choice>
      <mc:Fallback>
        <oleObject progId="Packager Shell Objec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1790</v>
      </c>
      <c r="B1" s="2357"/>
      <c r="C1" s="2357"/>
      <c r="D1" s="2357"/>
      <c r="E1" s="2357"/>
      <c r="F1" s="2358"/>
    </row>
    <row r="2" spans="1:8" ht="45" customHeight="1" x14ac:dyDescent="0.2">
      <c r="A2" s="2366" t="s">
        <v>1791</v>
      </c>
      <c r="B2" s="2367"/>
      <c r="C2" s="2367"/>
      <c r="D2" s="2367"/>
      <c r="E2" s="2367"/>
      <c r="F2" s="2368"/>
      <c r="G2" s="1075"/>
      <c r="H2" s="1075"/>
    </row>
    <row r="3" spans="1:8" ht="57" customHeight="1" x14ac:dyDescent="0.2">
      <c r="A3" s="2369" t="s">
        <v>1786</v>
      </c>
      <c r="B3" s="2370"/>
      <c r="C3" s="2370"/>
      <c r="D3" s="2370"/>
      <c r="E3" s="2370"/>
      <c r="F3" s="2371"/>
      <c r="G3" s="1075"/>
      <c r="H3" s="1075"/>
    </row>
    <row r="4" spans="1:8" ht="14.25" customHeight="1" x14ac:dyDescent="0.2">
      <c r="A4" s="2375" t="s">
        <v>2053</v>
      </c>
      <c r="B4" s="2376"/>
      <c r="C4" s="2376"/>
      <c r="D4" s="2376"/>
      <c r="E4" s="2376"/>
      <c r="F4" s="2377"/>
      <c r="G4" s="1075"/>
      <c r="H4" s="1075"/>
    </row>
    <row r="5" spans="1:8" ht="14.25" customHeight="1" x14ac:dyDescent="0.2">
      <c r="A5" s="2378" t="s">
        <v>2054</v>
      </c>
      <c r="B5" s="2379"/>
      <c r="C5" s="2379"/>
      <c r="D5" s="2379"/>
      <c r="E5" s="2379"/>
      <c r="F5" s="2380"/>
      <c r="G5" s="1075"/>
      <c r="H5" s="1075"/>
    </row>
    <row r="6" spans="1:8" s="1076" customFormat="1" ht="41.25" customHeight="1" x14ac:dyDescent="0.2">
      <c r="A6" s="2372" t="s">
        <v>1792</v>
      </c>
      <c r="B6" s="2373"/>
      <c r="C6" s="2373"/>
      <c r="D6" s="2373"/>
      <c r="E6" s="2373"/>
      <c r="F6" s="2374"/>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87915286</v>
      </c>
      <c r="C8" s="1838">
        <f>'Acct Summary 7-8'!D8</f>
        <v>7255727</v>
      </c>
      <c r="D8" s="1838">
        <f>'Acct Summary 7-8'!F8</f>
        <v>10017539</v>
      </c>
      <c r="E8" s="1838">
        <f>'Acct Summary 7-8'!I8</f>
        <v>21502</v>
      </c>
      <c r="F8" s="1838">
        <f>SUM(B8:E8)</f>
        <v>105210054</v>
      </c>
    </row>
    <row r="9" spans="1:8" s="1080" customFormat="1" ht="14.25" customHeight="1" thickBot="1" x14ac:dyDescent="0.25">
      <c r="A9" s="1079" t="s">
        <v>1436</v>
      </c>
      <c r="B9" s="1839">
        <f>'Acct Summary 7-8'!C17</f>
        <v>81537588</v>
      </c>
      <c r="C9" s="1839">
        <f>'Acct Summary 7-8'!D17</f>
        <v>7641843</v>
      </c>
      <c r="D9" s="1839">
        <f>'Acct Summary 7-8'!F17</f>
        <v>4375061</v>
      </c>
      <c r="E9" s="1838"/>
      <c r="F9" s="1838">
        <f>SUM(B9:E9)</f>
        <v>93554492</v>
      </c>
    </row>
    <row r="10" spans="1:8" s="1080" customFormat="1" ht="14.25" thickTop="1" thickBot="1" x14ac:dyDescent="0.25">
      <c r="A10" s="1081" t="s">
        <v>1437</v>
      </c>
      <c r="B10" s="1840">
        <f>(B8-B9)</f>
        <v>6377698</v>
      </c>
      <c r="C10" s="1840">
        <f>(C8-C9)</f>
        <v>-386116</v>
      </c>
      <c r="D10" s="1840">
        <f>(D8-D9)</f>
        <v>5642478</v>
      </c>
      <c r="E10" s="1839">
        <f>(E8-E9)</f>
        <v>21502</v>
      </c>
      <c r="F10" s="1841">
        <f>SUM(F8-F9)</f>
        <v>11655562</v>
      </c>
    </row>
    <row r="11" spans="1:8" s="1080" customFormat="1" ht="14.25" thickTop="1" thickBot="1" x14ac:dyDescent="0.25">
      <c r="A11" s="1082" t="s">
        <v>1785</v>
      </c>
      <c r="B11" s="1842">
        <f>'Acct Summary 7-8'!C81</f>
        <v>13789195</v>
      </c>
      <c r="C11" s="1842">
        <f>'Acct Summary 7-8'!D81</f>
        <v>4717076</v>
      </c>
      <c r="D11" s="1842">
        <f>'Acct Summary 7-8'!F81</f>
        <v>1833453</v>
      </c>
      <c r="E11" s="1842">
        <f>'Acct Summary 7-8'!I81</f>
        <v>3743788</v>
      </c>
      <c r="F11" s="1843">
        <f>SUM(B11:E11)</f>
        <v>24083512</v>
      </c>
    </row>
    <row r="12" spans="1:8" ht="16.5" customHeight="1" thickTop="1" x14ac:dyDescent="0.2">
      <c r="A12" s="1083"/>
      <c r="B12" s="1084"/>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85"/>
      <c r="B13" s="1086"/>
      <c r="C13" s="2360"/>
      <c r="D13" s="2361"/>
      <c r="E13" s="2361"/>
      <c r="F13" s="2362"/>
      <c r="H13" s="1075"/>
    </row>
    <row r="14" spans="1:8" ht="19.5" customHeight="1" x14ac:dyDescent="0.2">
      <c r="A14" s="1085"/>
      <c r="B14" s="1086"/>
      <c r="C14" s="2360"/>
      <c r="D14" s="2361"/>
      <c r="E14" s="2361"/>
      <c r="F14" s="2362"/>
      <c r="H14" s="1075"/>
    </row>
    <row r="15" spans="1:8" ht="17.25" customHeight="1" x14ac:dyDescent="0.2">
      <c r="A15" s="1085"/>
      <c r="B15" s="1086"/>
      <c r="C15" s="2363"/>
      <c r="D15" s="2364"/>
      <c r="E15" s="2364"/>
      <c r="F15" s="2365"/>
      <c r="H15" s="1075"/>
    </row>
    <row r="16" spans="1:8" s="310" customFormat="1" ht="51.75" hidden="1" customHeight="1" x14ac:dyDescent="0.2">
      <c r="A16" s="2359" t="s">
        <v>1787</v>
      </c>
      <c r="B16" s="2359"/>
      <c r="C16" s="2359"/>
      <c r="D16" s="2359"/>
      <c r="E16" s="2359"/>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1" t="s">
        <v>686</v>
      </c>
      <c r="B3" s="2382"/>
      <c r="C3" s="2382"/>
      <c r="D3" s="2383"/>
    </row>
    <row r="4" spans="1:4" x14ac:dyDescent="0.2">
      <c r="A4" s="1153" t="s">
        <v>1793</v>
      </c>
      <c r="B4" s="1154"/>
      <c r="C4" s="1155"/>
      <c r="D4" s="1156"/>
    </row>
    <row r="5" spans="1:4" ht="21" customHeight="1" x14ac:dyDescent="0.2">
      <c r="A5" s="1149"/>
      <c r="B5" s="1150">
        <v>1</v>
      </c>
      <c r="C5" s="1151" t="s">
        <v>1943</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2" t="s">
        <v>1584</v>
      </c>
      <c r="D7" s="2393"/>
    </row>
    <row r="8" spans="1:4" s="669" customFormat="1" ht="12.75" x14ac:dyDescent="0.2">
      <c r="A8" s="1139"/>
      <c r="B8" s="1094"/>
      <c r="C8" s="1097" t="s">
        <v>1583</v>
      </c>
      <c r="D8" s="1098"/>
    </row>
    <row r="9" spans="1:4" s="669" customFormat="1" ht="14.25" customHeight="1" x14ac:dyDescent="0.2">
      <c r="A9" s="1139"/>
      <c r="B9" s="1094">
        <f>B7+1</f>
        <v>4</v>
      </c>
      <c r="C9" s="1095" t="s">
        <v>2046</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4" t="s">
        <v>1065</v>
      </c>
      <c r="B15" s="2385"/>
      <c r="C15" s="2385"/>
      <c r="D15" s="2386"/>
    </row>
    <row r="16" spans="1:4" s="669" customFormat="1" ht="24" customHeight="1" x14ac:dyDescent="0.2">
      <c r="A16" s="2387" t="s">
        <v>684</v>
      </c>
      <c r="B16" s="2388"/>
      <c r="C16" s="2388"/>
      <c r="D16" s="2389"/>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6" t="s">
        <v>332</v>
      </c>
      <c r="D21" s="2397"/>
    </row>
    <row r="22" spans="1:10" ht="12.75" x14ac:dyDescent="0.2">
      <c r="A22" s="1140"/>
      <c r="B22" s="1141">
        <v>2</v>
      </c>
      <c r="C22" s="2394" t="s">
        <v>1605</v>
      </c>
      <c r="D22" s="2395"/>
    </row>
    <row r="23" spans="1:10" ht="12.2" customHeight="1" x14ac:dyDescent="0.2">
      <c r="A23" s="1140"/>
      <c r="B23" s="1141"/>
      <c r="C23" s="1142" t="s">
        <v>1011</v>
      </c>
      <c r="D23" s="1143" t="str">
        <f>IF(COVER!O11="X","CASH",IF(COVER!O12="X","ACCRUAL ","PLEASE CHECK AN ACCOUNTING BASIS."))</f>
        <v xml:space="preserve">ACCRUAL </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NO FINDINGS WERE ISSUED</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8" t="s">
        <v>557</v>
      </c>
      <c r="D43" s="2399"/>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0" t="s">
        <v>817</v>
      </c>
      <c r="D56" s="2391"/>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2047</v>
      </c>
      <c r="D66" s="1126"/>
    </row>
    <row r="67" spans="1:4" x14ac:dyDescent="0.2">
      <c r="A67" s="1120"/>
      <c r="B67" s="1141"/>
      <c r="C67" s="1148" t="s">
        <v>1079</v>
      </c>
      <c r="D67" s="1126"/>
    </row>
    <row r="68" spans="1:4" x14ac:dyDescent="0.2">
      <c r="A68" s="1101"/>
      <c r="B68" s="1111"/>
      <c r="C68" s="1103" t="s">
        <v>2048</v>
      </c>
      <c r="D68" s="1125" t="str">
        <f>IF('Short-Term Long-Term Debt 24'!F49=SUM(,'Acct Summary 7-8'!C33:K33),"OK","ERROR!")</f>
        <v>OK</v>
      </c>
    </row>
    <row r="69" spans="1:4" x14ac:dyDescent="0.2">
      <c r="A69" s="1101"/>
      <c r="B69" s="1111"/>
      <c r="C69" s="1103" t="s">
        <v>2049</v>
      </c>
      <c r="D69" s="1125" t="str">
        <f>IF('Expenditures 15-22'!H170&lt;&gt;'Short-Term Long-Term Debt 24'!H49,"ERROR!","OK")</f>
        <v>OK</v>
      </c>
    </row>
    <row r="70" spans="1:4" x14ac:dyDescent="0.2">
      <c r="A70" s="1099"/>
      <c r="B70" s="1121">
        <f>B66+1</f>
        <v>9</v>
      </c>
      <c r="C70" s="2390" t="s">
        <v>1797</v>
      </c>
      <c r="D70" s="2391"/>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2050</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2051</v>
      </c>
      <c r="D78" s="1125" t="str">
        <f>IF(ISNUMBER('Acct Summary 7-8'!C9),"OK","ENTRY IS REQUIRED!")</f>
        <v>OK</v>
      </c>
    </row>
    <row r="79" spans="1:4" x14ac:dyDescent="0.2">
      <c r="A79" s="1120"/>
      <c r="B79" s="1121">
        <f>B74+1+1</f>
        <v>12</v>
      </c>
      <c r="C79" s="1131" t="s">
        <v>2016</v>
      </c>
      <c r="D79" s="1132" t="str">
        <f>IF(OR(COVER!$B$6="X",'PCTC-OEPP 27-28'!F78&gt;0),"OK","PLEASE ENTER 9 MO ADA.")</f>
        <v>OK</v>
      </c>
    </row>
    <row r="80" spans="1:4" x14ac:dyDescent="0.2">
      <c r="A80" s="1099"/>
      <c r="B80" s="1121">
        <v>13</v>
      </c>
      <c r="C80" s="1131" t="s">
        <v>2052</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5016021004</v>
      </c>
    </row>
    <row r="3" spans="1:2" x14ac:dyDescent="0.2">
      <c r="A3" t="s">
        <v>1013</v>
      </c>
      <c r="B3" s="138" t="str">
        <f>COVER!A15</f>
        <v>COOK</v>
      </c>
    </row>
    <row r="4" spans="1:2" x14ac:dyDescent="0.2">
      <c r="A4" t="s">
        <v>1064</v>
      </c>
      <c r="B4" s="138" t="str">
        <f>COVER!A17</f>
        <v>Wheeling CCSD 21</v>
      </c>
    </row>
    <row r="5" spans="1:2" x14ac:dyDescent="0.2">
      <c r="A5" t="s">
        <v>728</v>
      </c>
      <c r="B5" s="138" t="str">
        <f>COVER!A38</f>
        <v>Dr. Michael Connolly</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 xml:space="preserve">ACCRUAL </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No</v>
      </c>
    </row>
    <row r="15" spans="1:2" x14ac:dyDescent="0.2">
      <c r="A15" t="s">
        <v>598</v>
      </c>
      <c r="B15" s="138" t="str">
        <f>COVER!T23</f>
        <v>066-003289</v>
      </c>
    </row>
    <row r="16" spans="1:2" x14ac:dyDescent="0.2">
      <c r="A16" t="s">
        <v>442</v>
      </c>
      <c r="B16" s="138" t="str">
        <f>COVER!T13</f>
        <v>Evoy, Kamschulte, Jacobs &amp; Co. LLP</v>
      </c>
    </row>
    <row r="17" spans="1:2" x14ac:dyDescent="0.2">
      <c r="A17" t="s">
        <v>939</v>
      </c>
      <c r="B17" s="138" t="str">
        <f>COVER!T15</f>
        <v>John D. Aceto, Jr., CPA</v>
      </c>
    </row>
    <row r="18" spans="1:2" x14ac:dyDescent="0.2">
      <c r="A18" t="s">
        <v>1212</v>
      </c>
      <c r="B18" s="138" t="str">
        <f>COVER!T17</f>
        <v>2122 Yeoman Street</v>
      </c>
    </row>
    <row r="19" spans="1:2" x14ac:dyDescent="0.2">
      <c r="A19" t="s">
        <v>941</v>
      </c>
      <c r="B19" s="138" t="str">
        <f>COVER!T25</f>
        <v>jaceto@ekjllp.com</v>
      </c>
    </row>
    <row r="20" spans="1:2" x14ac:dyDescent="0.2">
      <c r="A20" t="s">
        <v>942</v>
      </c>
      <c r="B20" s="138" t="str">
        <f>COVER!T19</f>
        <v>Waukegan</v>
      </c>
    </row>
    <row r="21" spans="1:2" x14ac:dyDescent="0.2">
      <c r="A21" t="s">
        <v>500</v>
      </c>
      <c r="B21" s="138" t="str">
        <f>COVER!X19</f>
        <v>IL</v>
      </c>
    </row>
    <row r="22" spans="1:2" x14ac:dyDescent="0.2">
      <c r="A22" t="s">
        <v>943</v>
      </c>
      <c r="B22" s="138">
        <f>COVER!Z19</f>
        <v>60087</v>
      </c>
    </row>
    <row r="23" spans="1:2" x14ac:dyDescent="0.2">
      <c r="A23" t="s">
        <v>1214</v>
      </c>
      <c r="B23" s="138" t="str">
        <f>COVER!T21</f>
        <v>847-662-8300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34700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32318316</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35654</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64657443</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10418157</v>
      </c>
      <c r="D86" s="2" t="str">
        <f t="shared" si="0"/>
        <v>Error?</v>
      </c>
    </row>
    <row r="87" spans="1:4" x14ac:dyDescent="0.2">
      <c r="A87" s="10">
        <v>26</v>
      </c>
      <c r="D87" s="2" t="str">
        <f t="shared" si="0"/>
        <v>OK</v>
      </c>
    </row>
    <row r="88" spans="1:4" x14ac:dyDescent="0.2">
      <c r="A88" s="5">
        <v>27</v>
      </c>
      <c r="B88" s="138">
        <f>'Assets-Liab 5-6'!C32</f>
        <v>32152484</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50868248</v>
      </c>
      <c r="C91" s="2" t="s">
        <v>594</v>
      </c>
      <c r="D91" s="2" t="str">
        <f t="shared" si="0"/>
        <v>Error?</v>
      </c>
    </row>
    <row r="92" spans="1:4" x14ac:dyDescent="0.2">
      <c r="A92" s="5">
        <v>31</v>
      </c>
      <c r="B92" s="138">
        <f>'Assets-Liab 5-6'!C39</f>
        <v>5777156</v>
      </c>
      <c r="D92" s="2" t="str">
        <f t="shared" si="0"/>
        <v>Error?</v>
      </c>
    </row>
    <row r="93" spans="1:4" x14ac:dyDescent="0.2">
      <c r="A93" s="5">
        <v>32</v>
      </c>
      <c r="B93" s="138">
        <f>'Assets-Liab 5-6'!C41</f>
        <v>64657443</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3612118</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8697755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284211</v>
      </c>
      <c r="D117" s="2" t="str">
        <f t="shared" si="0"/>
        <v>Error?</v>
      </c>
    </row>
    <row r="118" spans="1:4" x14ac:dyDescent="0.2">
      <c r="A118" s="10">
        <v>57</v>
      </c>
      <c r="D118" s="2" t="str">
        <f t="shared" si="0"/>
        <v>OK</v>
      </c>
    </row>
    <row r="119" spans="1:4" x14ac:dyDescent="0.2">
      <c r="A119" s="5">
        <v>58</v>
      </c>
      <c r="B119" s="138">
        <f>'Assets-Liab 5-6'!D32</f>
        <v>3612118</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3980679</v>
      </c>
      <c r="C122" s="2" t="s">
        <v>594</v>
      </c>
      <c r="D122" s="2" t="str">
        <f t="shared" si="0"/>
        <v>Error?</v>
      </c>
    </row>
    <row r="123" spans="1:4" x14ac:dyDescent="0.2">
      <c r="A123" s="5">
        <v>62</v>
      </c>
      <c r="B123" s="138">
        <f>'Assets-Liab 5-6'!D39</f>
        <v>4433618</v>
      </c>
      <c r="D123" s="2" t="str">
        <f t="shared" si="0"/>
        <v>Error?</v>
      </c>
    </row>
    <row r="124" spans="1:4" x14ac:dyDescent="0.2">
      <c r="A124" s="5">
        <v>63</v>
      </c>
      <c r="B124" s="138">
        <f>'Assets-Liab 5-6'!D41</f>
        <v>8697755</v>
      </c>
      <c r="C124" s="2" t="s">
        <v>594</v>
      </c>
      <c r="D124" s="2" t="str">
        <f t="shared" si="0"/>
        <v>Error?</v>
      </c>
    </row>
    <row r="125" spans="1:4" x14ac:dyDescent="0.2">
      <c r="A125" s="10">
        <v>64</v>
      </c>
      <c r="D125" s="2" t="str">
        <f t="shared" si="0"/>
        <v>OK</v>
      </c>
    </row>
    <row r="126" spans="1:4" x14ac:dyDescent="0.2">
      <c r="A126" s="5">
        <v>65</v>
      </c>
      <c r="B126" s="138">
        <f>'Assets-Liab 5-6'!E6</f>
        <v>2368687</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5219813</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2368687</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2368687</v>
      </c>
      <c r="C139" s="2" t="s">
        <v>594</v>
      </c>
      <c r="D139" s="2" t="str">
        <f t="shared" si="1"/>
        <v>Error?</v>
      </c>
    </row>
    <row r="140" spans="1:4" x14ac:dyDescent="0.2">
      <c r="A140" s="5">
        <v>79</v>
      </c>
      <c r="B140" s="138">
        <f>'Assets-Liab 5-6'!E39</f>
        <v>2851126</v>
      </c>
      <c r="D140" s="2" t="str">
        <f t="shared" si="1"/>
        <v>Error?</v>
      </c>
    </row>
    <row r="141" spans="1:4" x14ac:dyDescent="0.2">
      <c r="A141" s="5">
        <v>80</v>
      </c>
      <c r="B141" s="138">
        <f>'Assets-Liab 5-6'!E41</f>
        <v>5219813</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2408079</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4399773</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2247</v>
      </c>
      <c r="D164" s="2" t="str">
        <f t="shared" si="1"/>
        <v>Error?</v>
      </c>
    </row>
    <row r="165" spans="1:4" x14ac:dyDescent="0.2">
      <c r="A165" s="10">
        <v>104</v>
      </c>
      <c r="D165" s="2" t="str">
        <f t="shared" si="1"/>
        <v>OK</v>
      </c>
    </row>
    <row r="166" spans="1:4" x14ac:dyDescent="0.2">
      <c r="A166" s="5">
        <v>105</v>
      </c>
      <c r="B166" s="138">
        <f>'Assets-Liab 5-6'!F32</f>
        <v>2408079</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2566320</v>
      </c>
      <c r="C169" s="2" t="s">
        <v>594</v>
      </c>
      <c r="D169" s="2" t="str">
        <f t="shared" si="1"/>
        <v>Error?</v>
      </c>
    </row>
    <row r="170" spans="1:4" x14ac:dyDescent="0.2">
      <c r="A170" s="5">
        <v>109</v>
      </c>
      <c r="B170" s="138">
        <f>'Assets-Liab 5-6'!F39</f>
        <v>1831884</v>
      </c>
      <c r="D170" s="2" t="str">
        <f t="shared" si="1"/>
        <v>Error?</v>
      </c>
    </row>
    <row r="171" spans="1:4" x14ac:dyDescent="0.2">
      <c r="A171" s="5">
        <v>110</v>
      </c>
      <c r="B171" s="138">
        <f>'Assets-Liab 5-6'!F41</f>
        <v>4399773</v>
      </c>
      <c r="C171" s="2" t="s">
        <v>594</v>
      </c>
      <c r="D171" s="2" t="str">
        <f t="shared" si="1"/>
        <v>Error?</v>
      </c>
    </row>
    <row r="172" spans="1:4" x14ac:dyDescent="0.2">
      <c r="A172" s="10">
        <v>111</v>
      </c>
      <c r="D172" s="2" t="str">
        <f t="shared" si="1"/>
        <v>OK</v>
      </c>
    </row>
    <row r="173" spans="1:4" x14ac:dyDescent="0.2">
      <c r="A173" s="5">
        <v>112</v>
      </c>
      <c r="B173" s="138">
        <f>'Assets-Liab 5-6'!G6</f>
        <v>1541170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4786357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1541170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1687314</v>
      </c>
      <c r="C188" s="2" t="s">
        <v>594</v>
      </c>
      <c r="D188" s="2" t="str">
        <f t="shared" si="1"/>
        <v>Error?</v>
      </c>
    </row>
    <row r="189" spans="1:4" x14ac:dyDescent="0.2">
      <c r="A189" s="5">
        <v>128</v>
      </c>
      <c r="B189" s="138">
        <f>'Assets-Liab 5-6'!G39</f>
        <v>3099043</v>
      </c>
      <c r="D189" s="2" t="str">
        <f t="shared" si="1"/>
        <v>Error?</v>
      </c>
    </row>
    <row r="190" spans="1:4" x14ac:dyDescent="0.2">
      <c r="A190" s="5">
        <v>129</v>
      </c>
      <c r="B190" s="138">
        <f>'Assets-Liab 5-6'!G41</f>
        <v>4786357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215883</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215883</v>
      </c>
      <c r="D212" s="2" t="str">
        <f t="shared" si="2"/>
        <v>Error?</v>
      </c>
    </row>
    <row r="213" spans="1:4" x14ac:dyDescent="0.2">
      <c r="A213" s="12">
        <v>152</v>
      </c>
      <c r="B213" s="138">
        <f>'Assets-Liab 5-6'!H41</f>
        <v>215883</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1965066</v>
      </c>
      <c r="D273" s="2" t="str">
        <f t="shared" si="3"/>
        <v>Error?</v>
      </c>
    </row>
    <row r="274" spans="1:4" x14ac:dyDescent="0.2">
      <c r="A274" s="5">
        <v>213</v>
      </c>
      <c r="B274" s="138">
        <f>'Assets-Liab 5-6'!M17</f>
        <v>97038304</v>
      </c>
      <c r="D274" s="2" t="str">
        <f t="shared" si="3"/>
        <v>Error?</v>
      </c>
    </row>
    <row r="275" spans="1:4" x14ac:dyDescent="0.2">
      <c r="A275" s="5">
        <v>214</v>
      </c>
      <c r="B275" s="138">
        <f>'Assets-Liab 5-6'!M18</f>
        <v>3764581</v>
      </c>
      <c r="D275" s="2" t="str">
        <f t="shared" si="3"/>
        <v>Error?</v>
      </c>
    </row>
    <row r="276" spans="1:4" x14ac:dyDescent="0.2">
      <c r="A276" s="5">
        <v>215</v>
      </c>
      <c r="B276" s="138">
        <f>'Assets-Liab 5-6'!M19</f>
        <v>23411426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126179377</v>
      </c>
      <c r="C279" s="2" t="s">
        <v>594</v>
      </c>
      <c r="D279" s="2" t="str">
        <f t="shared" si="3"/>
        <v>Error?</v>
      </c>
    </row>
    <row r="280" spans="1:4" x14ac:dyDescent="0.2">
      <c r="A280" s="5">
        <v>219</v>
      </c>
      <c r="B280" s="138">
        <f>'Assets-Liab 5-6'!M40</f>
        <v>126179377</v>
      </c>
      <c r="D280" s="2" t="str">
        <f t="shared" si="3"/>
        <v>Error?</v>
      </c>
    </row>
    <row r="281" spans="1:4" x14ac:dyDescent="0.2">
      <c r="A281" s="5">
        <v>220</v>
      </c>
      <c r="B281" s="138">
        <f>'Assets-Liab 5-6'!M41</f>
        <v>126179377</v>
      </c>
      <c r="C281" s="2" t="s">
        <v>594</v>
      </c>
      <c r="D281" s="2" t="str">
        <f t="shared" si="3"/>
        <v>Error?</v>
      </c>
    </row>
    <row r="282" spans="1:4" x14ac:dyDescent="0.2">
      <c r="A282" s="5">
        <v>221</v>
      </c>
      <c r="B282" s="138">
        <f>'Assets-Liab 5-6'!N21</f>
        <v>2851126</v>
      </c>
      <c r="D282" s="2" t="str">
        <f t="shared" si="3"/>
        <v>Error?</v>
      </c>
    </row>
    <row r="283" spans="1:4" x14ac:dyDescent="0.2">
      <c r="A283" s="5">
        <v>222</v>
      </c>
      <c r="B283" s="138">
        <f>'Assets-Liab 5-6'!N22</f>
        <v>28333887</v>
      </c>
      <c r="D283" s="2" t="str">
        <f t="shared" si="3"/>
        <v>Error?</v>
      </c>
    </row>
    <row r="284" spans="1:4" x14ac:dyDescent="0.2">
      <c r="A284" s="5">
        <v>223</v>
      </c>
      <c r="B284" s="138">
        <f>'Assets-Liab 5-6'!N23</f>
        <v>31185013</v>
      </c>
      <c r="C284" s="2" t="s">
        <v>594</v>
      </c>
      <c r="D284" s="2" t="str">
        <f t="shared" si="3"/>
        <v>Error?</v>
      </c>
    </row>
    <row r="285" spans="1:4" x14ac:dyDescent="0.2">
      <c r="A285" s="5">
        <v>224</v>
      </c>
      <c r="B285" s="138">
        <f>'Assets-Liab 5-6'!N36</f>
        <v>31185013</v>
      </c>
      <c r="D285" s="2" t="str">
        <f t="shared" si="3"/>
        <v>Error?</v>
      </c>
    </row>
    <row r="286" spans="1:4" x14ac:dyDescent="0.2">
      <c r="A286" s="10">
        <v>225</v>
      </c>
      <c r="D286" s="2" t="str">
        <f t="shared" si="3"/>
        <v>OK</v>
      </c>
    </row>
    <row r="287" spans="1:4" x14ac:dyDescent="0.2">
      <c r="A287" s="5">
        <v>226</v>
      </c>
      <c r="B287" s="138">
        <f>'Assets-Liab 5-6'!N37</f>
        <v>31185013</v>
      </c>
      <c r="C287" s="2" t="s">
        <v>594</v>
      </c>
      <c r="D287" s="2" t="str">
        <f t="shared" si="3"/>
        <v>Error?</v>
      </c>
    </row>
    <row r="288" spans="1:4" x14ac:dyDescent="0.2">
      <c r="A288" s="5">
        <v>227</v>
      </c>
      <c r="B288" s="138">
        <f>'Assets-Liab 5-6'!N41</f>
        <v>31185013</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25332784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8324804</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171678</v>
      </c>
      <c r="D718" s="2" t="str">
        <f t="shared" si="10"/>
        <v>Error?</v>
      </c>
    </row>
    <row r="719" spans="1:4" x14ac:dyDescent="0.2">
      <c r="A719" s="5">
        <v>658</v>
      </c>
      <c r="B719" s="138">
        <f>'Expenditures 15-22'!C15</f>
        <v>210099</v>
      </c>
      <c r="D719" s="2" t="str">
        <f t="shared" si="10"/>
        <v>Error?</v>
      </c>
    </row>
    <row r="720" spans="1:4" x14ac:dyDescent="0.2">
      <c r="A720" s="5">
        <v>659</v>
      </c>
      <c r="B720" s="138">
        <f>'Expenditures 15-22'!C33</f>
        <v>42140135</v>
      </c>
      <c r="C720" s="2" t="s">
        <v>594</v>
      </c>
      <c r="D720" s="2" t="str">
        <f t="shared" si="10"/>
        <v>Error?</v>
      </c>
    </row>
    <row r="721" spans="1:4" x14ac:dyDescent="0.2">
      <c r="A721" s="5">
        <v>660</v>
      </c>
      <c r="B721" s="138">
        <f>'Expenditures 15-22'!C36</f>
        <v>1866369</v>
      </c>
      <c r="D721" s="2" t="str">
        <f t="shared" si="10"/>
        <v>Error?</v>
      </c>
    </row>
    <row r="722" spans="1:4" x14ac:dyDescent="0.2">
      <c r="A722" s="5">
        <v>661</v>
      </c>
      <c r="B722" s="138">
        <f>'Expenditures 15-22'!C37</f>
        <v>0</v>
      </c>
      <c r="D722" s="2" t="str">
        <f t="shared" si="10"/>
        <v>Error?</v>
      </c>
    </row>
    <row r="723" spans="1:4" x14ac:dyDescent="0.2">
      <c r="A723" s="5">
        <v>662</v>
      </c>
      <c r="B723" s="138">
        <f>'Expenditures 15-22'!C38</f>
        <v>1508118</v>
      </c>
      <c r="D723" s="2" t="str">
        <f t="shared" si="10"/>
        <v>Error?</v>
      </c>
    </row>
    <row r="724" spans="1:4" x14ac:dyDescent="0.2">
      <c r="A724" s="5">
        <v>663</v>
      </c>
      <c r="B724" s="138">
        <f>'Expenditures 15-22'!C39</f>
        <v>946205</v>
      </c>
      <c r="D724" s="2" t="str">
        <f t="shared" si="10"/>
        <v>Error?</v>
      </c>
    </row>
    <row r="725" spans="1:4" x14ac:dyDescent="0.2">
      <c r="A725" s="5">
        <v>664</v>
      </c>
      <c r="B725" s="138">
        <f>'Expenditures 15-22'!C40</f>
        <v>1375908</v>
      </c>
      <c r="D725" s="2" t="str">
        <f t="shared" si="10"/>
        <v>Error?</v>
      </c>
    </row>
    <row r="726" spans="1:4" x14ac:dyDescent="0.2">
      <c r="A726" s="5">
        <v>665</v>
      </c>
      <c r="B726" s="138">
        <f>'Expenditures 15-22'!C41</f>
        <v>0</v>
      </c>
      <c r="D726" s="2" t="str">
        <f t="shared" si="10"/>
        <v>Error?</v>
      </c>
    </row>
    <row r="727" spans="1:4" x14ac:dyDescent="0.2">
      <c r="A727" s="5">
        <v>666</v>
      </c>
      <c r="B727" s="138">
        <f>'Expenditures 15-22'!C42</f>
        <v>5696600</v>
      </c>
      <c r="C727" s="2" t="s">
        <v>594</v>
      </c>
      <c r="D727" s="2" t="str">
        <f t="shared" si="10"/>
        <v>Error?</v>
      </c>
    </row>
    <row r="728" spans="1:4" x14ac:dyDescent="0.2">
      <c r="A728" s="5">
        <v>667</v>
      </c>
      <c r="B728" s="138">
        <f>'Expenditures 15-22'!C44</f>
        <v>1297932</v>
      </c>
      <c r="D728" s="2" t="str">
        <f t="shared" si="10"/>
        <v>Error?</v>
      </c>
    </row>
    <row r="729" spans="1:4" x14ac:dyDescent="0.2">
      <c r="A729" s="5">
        <v>668</v>
      </c>
      <c r="B729" s="138">
        <f>'Expenditures 15-22'!C45</f>
        <v>2984244</v>
      </c>
      <c r="D729" s="2" t="str">
        <f t="shared" si="10"/>
        <v>Error?</v>
      </c>
    </row>
    <row r="730" spans="1:4" x14ac:dyDescent="0.2">
      <c r="A730" s="5">
        <v>669</v>
      </c>
      <c r="B730" s="138">
        <f>'Expenditures 15-22'!C46</f>
        <v>155940</v>
      </c>
      <c r="D730" s="2" t="str">
        <f t="shared" si="10"/>
        <v>Error?</v>
      </c>
    </row>
    <row r="731" spans="1:4" x14ac:dyDescent="0.2">
      <c r="A731" s="5">
        <v>670</v>
      </c>
      <c r="B731" s="138">
        <f>'Expenditures 15-22'!C47</f>
        <v>4438116</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339351</v>
      </c>
      <c r="D733" s="2" t="str">
        <f t="shared" si="10"/>
        <v>Error?</v>
      </c>
    </row>
    <row r="734" spans="1:4" x14ac:dyDescent="0.2">
      <c r="A734" s="5">
        <v>673</v>
      </c>
      <c r="B734" s="138">
        <f>'Expenditures 15-22'!C53</f>
        <v>879425</v>
      </c>
      <c r="C734" s="2" t="s">
        <v>594</v>
      </c>
      <c r="D734" s="2" t="str">
        <f t="shared" si="10"/>
        <v>Error?</v>
      </c>
    </row>
    <row r="735" spans="1:4" x14ac:dyDescent="0.2">
      <c r="A735" s="5">
        <v>674</v>
      </c>
      <c r="B735" s="138">
        <f>'Expenditures 15-22'!C55</f>
        <v>2754327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2754327</v>
      </c>
      <c r="C737" s="2" t="s">
        <v>594</v>
      </c>
      <c r="D737" s="2" t="str">
        <f t="shared" si="10"/>
        <v>Error?</v>
      </c>
    </row>
    <row r="738" spans="1:4" x14ac:dyDescent="0.2">
      <c r="A738" s="5">
        <v>677</v>
      </c>
      <c r="B738" s="138">
        <f>'Expenditures 15-22'!C59</f>
        <v>678965</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291715</v>
      </c>
      <c r="D742" s="2" t="str">
        <f t="shared" si="10"/>
        <v>Error?</v>
      </c>
    </row>
    <row r="743" spans="1:4" x14ac:dyDescent="0.2">
      <c r="A743" s="5">
        <v>682</v>
      </c>
      <c r="B743" s="138">
        <f>'Expenditures 15-22'!C64</f>
        <v>198867</v>
      </c>
      <c r="D743" s="2" t="str">
        <f t="shared" si="10"/>
        <v>Error?</v>
      </c>
    </row>
    <row r="744" spans="1:4" x14ac:dyDescent="0.2">
      <c r="A744" s="10">
        <v>683</v>
      </c>
      <c r="D744" s="2" t="str">
        <f t="shared" si="10"/>
        <v>OK</v>
      </c>
    </row>
    <row r="745" spans="1:4" x14ac:dyDescent="0.2">
      <c r="A745" s="5">
        <v>684</v>
      </c>
      <c r="B745" s="138">
        <f>'Expenditures 15-22'!C65</f>
        <v>1169547</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778331</v>
      </c>
      <c r="D748" s="2" t="str">
        <f t="shared" si="10"/>
        <v>Error?</v>
      </c>
    </row>
    <row r="749" spans="1:4" x14ac:dyDescent="0.2">
      <c r="A749" s="5">
        <v>688</v>
      </c>
      <c r="B749" s="138">
        <f>'Expenditures 15-22'!C70</f>
        <v>345223</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1123554</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16061569</v>
      </c>
      <c r="C755" s="2" t="s">
        <v>594</v>
      </c>
      <c r="D755" s="2" t="str">
        <f t="shared" si="10"/>
        <v>Error?</v>
      </c>
    </row>
    <row r="756" spans="1:4" x14ac:dyDescent="0.2">
      <c r="A756" s="5">
        <v>695</v>
      </c>
      <c r="B756" s="138">
        <f>'Expenditures 15-22'!C75</f>
        <v>145596</v>
      </c>
      <c r="D756" s="2" t="str">
        <f t="shared" si="10"/>
        <v>Error?</v>
      </c>
    </row>
    <row r="757" spans="1:4" x14ac:dyDescent="0.2">
      <c r="A757" s="5">
        <v>696</v>
      </c>
      <c r="B757" s="138">
        <f>'Expenditures 15-22'!C114</f>
        <v>58347300</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6260492</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2147283</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4229</v>
      </c>
      <c r="D776" s="2" t="str">
        <f t="shared" si="11"/>
        <v>Error?</v>
      </c>
    </row>
    <row r="777" spans="1:4" x14ac:dyDescent="0.2">
      <c r="A777" s="5">
        <v>716</v>
      </c>
      <c r="B777" s="138">
        <f>'Expenditures 15-22'!D15</f>
        <v>4167</v>
      </c>
      <c r="D777" s="2" t="str">
        <f t="shared" si="11"/>
        <v>Error?</v>
      </c>
    </row>
    <row r="778" spans="1:4" x14ac:dyDescent="0.2">
      <c r="A778" s="5">
        <v>717</v>
      </c>
      <c r="B778" s="138">
        <f>'Expenditures 15-22'!D33</f>
        <v>11112599</v>
      </c>
      <c r="C778" s="2" t="s">
        <v>594</v>
      </c>
      <c r="D778" s="2" t="str">
        <f t="shared" si="11"/>
        <v>Error?</v>
      </c>
    </row>
    <row r="779" spans="1:4" x14ac:dyDescent="0.2">
      <c r="A779" s="5">
        <v>718</v>
      </c>
      <c r="B779" s="138">
        <f>'Expenditures 15-22'!D36</f>
        <v>374680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425496</v>
      </c>
      <c r="D781" s="2" t="str">
        <f t="shared" si="11"/>
        <v>Error?</v>
      </c>
    </row>
    <row r="782" spans="1:4" x14ac:dyDescent="0.2">
      <c r="A782" s="5">
        <v>721</v>
      </c>
      <c r="B782" s="138">
        <f>'Expenditures 15-22'!D39</f>
        <v>148718</v>
      </c>
      <c r="D782" s="2" t="str">
        <f t="shared" si="11"/>
        <v>Error?</v>
      </c>
    </row>
    <row r="783" spans="1:4" x14ac:dyDescent="0.2">
      <c r="A783" s="5">
        <v>722</v>
      </c>
      <c r="B783" s="138">
        <f>'Expenditures 15-22'!D40</f>
        <v>324979</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1273873</v>
      </c>
      <c r="C785" s="2" t="s">
        <v>594</v>
      </c>
      <c r="D785" s="2" t="str">
        <f t="shared" si="11"/>
        <v>Error?</v>
      </c>
    </row>
    <row r="786" spans="1:4" x14ac:dyDescent="0.2">
      <c r="A786" s="5">
        <v>725</v>
      </c>
      <c r="B786" s="138">
        <f>'Expenditures 15-22'!D44</f>
        <v>256280</v>
      </c>
      <c r="D786" s="2" t="str">
        <f t="shared" si="11"/>
        <v>Error?</v>
      </c>
    </row>
    <row r="787" spans="1:4" x14ac:dyDescent="0.2">
      <c r="A787" s="5">
        <v>726</v>
      </c>
      <c r="B787" s="138">
        <f>'Expenditures 15-22'!D45</f>
        <v>800946</v>
      </c>
      <c r="D787" s="2" t="str">
        <f t="shared" si="11"/>
        <v>Error?</v>
      </c>
    </row>
    <row r="788" spans="1:4" x14ac:dyDescent="0.2">
      <c r="A788" s="5">
        <v>727</v>
      </c>
      <c r="B788" s="138">
        <f>'Expenditures 15-22'!D46</f>
        <v>36337</v>
      </c>
      <c r="D788" s="2" t="str">
        <f t="shared" si="11"/>
        <v>Error?</v>
      </c>
    </row>
    <row r="789" spans="1:4" x14ac:dyDescent="0.2">
      <c r="A789" s="5">
        <v>728</v>
      </c>
      <c r="B789" s="138">
        <f>'Expenditures 15-22'!D47</f>
        <v>1093563</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34176</v>
      </c>
      <c r="D791" s="2" t="str">
        <f t="shared" si="11"/>
        <v>Error?</v>
      </c>
    </row>
    <row r="792" spans="1:4" x14ac:dyDescent="0.2">
      <c r="A792" s="5">
        <v>731</v>
      </c>
      <c r="B792" s="138">
        <f>'Expenditures 15-22'!D53</f>
        <v>151691</v>
      </c>
      <c r="C792" s="2" t="s">
        <v>594</v>
      </c>
      <c r="D792" s="2" t="str">
        <f t="shared" si="11"/>
        <v>Error?</v>
      </c>
    </row>
    <row r="793" spans="1:4" x14ac:dyDescent="0.2">
      <c r="A793" s="5">
        <v>732</v>
      </c>
      <c r="B793" s="138">
        <f>'Expenditures 15-22'!D55</f>
        <v>686897</v>
      </c>
      <c r="D793" s="2" t="str">
        <f t="shared" si="11"/>
        <v>Error?</v>
      </c>
    </row>
    <row r="794" spans="1:4" x14ac:dyDescent="0.2">
      <c r="A794" s="5">
        <v>733</v>
      </c>
      <c r="B794" s="138">
        <f>'Expenditures 15-22'!D56</f>
        <v>0</v>
      </c>
      <c r="D794" s="2" t="str">
        <f t="shared" si="11"/>
        <v>Error?</v>
      </c>
    </row>
    <row r="795" spans="1:4" x14ac:dyDescent="0.2">
      <c r="A795" s="5">
        <v>734</v>
      </c>
      <c r="B795" s="138">
        <f>'Expenditures 15-22'!D57</f>
        <v>686897</v>
      </c>
      <c r="C795" s="2" t="s">
        <v>594</v>
      </c>
      <c r="D795" s="2" t="str">
        <f t="shared" si="11"/>
        <v>Error?</v>
      </c>
    </row>
    <row r="796" spans="1:4" x14ac:dyDescent="0.2">
      <c r="A796" s="5">
        <v>735</v>
      </c>
      <c r="B796" s="138">
        <f>'Expenditures 15-22'!D59</f>
        <v>126433</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4541</v>
      </c>
      <c r="D800" s="2" t="str">
        <f t="shared" si="11"/>
        <v>Error?</v>
      </c>
    </row>
    <row r="801" spans="1:4" x14ac:dyDescent="0.2">
      <c r="A801" s="5">
        <v>740</v>
      </c>
      <c r="B801" s="138">
        <f>'Expenditures 15-22'!D64</f>
        <v>64789</v>
      </c>
      <c r="D801" s="2" t="str">
        <f t="shared" si="11"/>
        <v>Error?</v>
      </c>
    </row>
    <row r="802" spans="1:4" x14ac:dyDescent="0.2">
      <c r="A802" s="10">
        <v>741</v>
      </c>
      <c r="D802" s="2" t="str">
        <f t="shared" si="11"/>
        <v>OK</v>
      </c>
    </row>
    <row r="803" spans="1:4" x14ac:dyDescent="0.2">
      <c r="A803" s="5">
        <v>742</v>
      </c>
      <c r="B803" s="138">
        <f>'Expenditures 15-22'!D65</f>
        <v>195763</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166638</v>
      </c>
      <c r="D806" s="2" t="str">
        <f t="shared" si="11"/>
        <v>Error?</v>
      </c>
    </row>
    <row r="807" spans="1:4" x14ac:dyDescent="0.2">
      <c r="A807" s="5">
        <v>746</v>
      </c>
      <c r="B807" s="138">
        <f>'Expenditures 15-22'!D70</f>
        <v>84220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250858</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3652645</v>
      </c>
      <c r="C813" s="2" t="s">
        <v>594</v>
      </c>
      <c r="D813" s="2" t="str">
        <f t="shared" si="11"/>
        <v>Error?</v>
      </c>
    </row>
    <row r="814" spans="1:4" x14ac:dyDescent="0.2">
      <c r="A814" s="5">
        <v>753</v>
      </c>
      <c r="B814" s="138">
        <f>'Expenditures 15-22'!D75</f>
        <v>1267</v>
      </c>
      <c r="D814" s="2" t="str">
        <f t="shared" si="11"/>
        <v>Error?</v>
      </c>
    </row>
    <row r="815" spans="1:4" x14ac:dyDescent="0.2">
      <c r="A815" s="5">
        <v>754</v>
      </c>
      <c r="B815" s="138">
        <f>'Expenditures 15-22'!D114</f>
        <v>14766511</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44519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1844</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11014</v>
      </c>
      <c r="D834" s="2" t="str">
        <f t="shared" si="12"/>
        <v>Error?</v>
      </c>
    </row>
    <row r="835" spans="1:4" x14ac:dyDescent="0.2">
      <c r="A835" s="5">
        <v>774</v>
      </c>
      <c r="B835" s="138">
        <f>'Expenditures 15-22'!E15</f>
        <v>981</v>
      </c>
      <c r="D835" s="2" t="str">
        <f t="shared" si="12"/>
        <v>Error?</v>
      </c>
    </row>
    <row r="836" spans="1:4" x14ac:dyDescent="0.2">
      <c r="A836" s="5">
        <v>775</v>
      </c>
      <c r="B836" s="138">
        <f>'Expenditures 15-22'!E33</f>
        <v>130968</v>
      </c>
      <c r="C836" s="2" t="s">
        <v>594</v>
      </c>
      <c r="D836" s="2" t="str">
        <f t="shared" si="12"/>
        <v>Error?</v>
      </c>
    </row>
    <row r="837" spans="1:4" x14ac:dyDescent="0.2">
      <c r="A837" s="5">
        <v>776</v>
      </c>
      <c r="B837" s="138">
        <f>'Expenditures 15-22'!E36</f>
        <v>2656</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183497</v>
      </c>
      <c r="D839" s="2" t="str">
        <f t="shared" si="12"/>
        <v>Error?</v>
      </c>
    </row>
    <row r="840" spans="1:4" x14ac:dyDescent="0.2">
      <c r="A840" s="5">
        <v>779</v>
      </c>
      <c r="B840" s="138">
        <f>'Expenditures 15-22'!E39</f>
        <v>26952</v>
      </c>
      <c r="D840" s="2" t="str">
        <f t="shared" si="12"/>
        <v>Error?</v>
      </c>
    </row>
    <row r="841" spans="1:4" x14ac:dyDescent="0.2">
      <c r="A841" s="5">
        <v>780</v>
      </c>
      <c r="B841" s="138">
        <f>'Expenditures 15-22'!E40</f>
        <v>20824</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233929</v>
      </c>
      <c r="C843" s="2" t="s">
        <v>594</v>
      </c>
      <c r="D843" s="2" t="str">
        <f t="shared" si="12"/>
        <v>Error?</v>
      </c>
    </row>
    <row r="844" spans="1:4" x14ac:dyDescent="0.2">
      <c r="A844" s="5">
        <v>783</v>
      </c>
      <c r="B844" s="138">
        <f>'Expenditures 15-22'!E44</f>
        <v>138405</v>
      </c>
      <c r="D844" s="2" t="str">
        <f t="shared" si="12"/>
        <v>Error?</v>
      </c>
    </row>
    <row r="845" spans="1:4" x14ac:dyDescent="0.2">
      <c r="A845" s="5">
        <v>784</v>
      </c>
      <c r="B845" s="138">
        <f>'Expenditures 15-22'!E45</f>
        <v>0</v>
      </c>
      <c r="D845" s="2" t="str">
        <f t="shared" si="12"/>
        <v>Error?</v>
      </c>
    </row>
    <row r="846" spans="1:4" x14ac:dyDescent="0.2">
      <c r="A846" s="5">
        <v>785</v>
      </c>
      <c r="B846" s="138">
        <f>'Expenditures 15-22'!E46</f>
        <v>67715</v>
      </c>
      <c r="D846" s="2" t="str">
        <f t="shared" si="12"/>
        <v>Error?</v>
      </c>
    </row>
    <row r="847" spans="1:4" x14ac:dyDescent="0.2">
      <c r="A847" s="5">
        <v>786</v>
      </c>
      <c r="B847" s="138">
        <f>'Expenditures 15-22'!E47</f>
        <v>206120</v>
      </c>
      <c r="C847" s="2" t="s">
        <v>594</v>
      </c>
      <c r="D847" s="2" t="str">
        <f t="shared" si="12"/>
        <v>Error?</v>
      </c>
    </row>
    <row r="848" spans="1:4" x14ac:dyDescent="0.2">
      <c r="A848" s="5">
        <v>787</v>
      </c>
      <c r="B848" s="138">
        <f>'Expenditures 15-22'!E49</f>
        <v>262571</v>
      </c>
      <c r="D848" s="2" t="str">
        <f t="shared" si="12"/>
        <v>Error?</v>
      </c>
    </row>
    <row r="849" spans="1:4" x14ac:dyDescent="0.2">
      <c r="A849" s="5">
        <v>788</v>
      </c>
      <c r="B849" s="138">
        <f>'Expenditures 15-22'!E50</f>
        <v>7388</v>
      </c>
      <c r="D849" s="2" t="str">
        <f t="shared" si="12"/>
        <v>Error?</v>
      </c>
    </row>
    <row r="850" spans="1:4" x14ac:dyDescent="0.2">
      <c r="A850" s="5">
        <v>789</v>
      </c>
      <c r="B850" s="138">
        <f>'Expenditures 15-22'!E53</f>
        <v>271087</v>
      </c>
      <c r="C850" s="2" t="s">
        <v>594</v>
      </c>
      <c r="D850" s="2" t="str">
        <f t="shared" si="12"/>
        <v>Error?</v>
      </c>
    </row>
    <row r="851" spans="1:4" x14ac:dyDescent="0.2">
      <c r="A851" s="5">
        <v>790</v>
      </c>
      <c r="B851" s="138">
        <f>'Expenditures 15-22'!E55</f>
        <v>1949</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1949</v>
      </c>
      <c r="C853" s="2" t="s">
        <v>594</v>
      </c>
      <c r="D853" s="2" t="str">
        <f t="shared" si="12"/>
        <v>Error?</v>
      </c>
    </row>
    <row r="854" spans="1:4" x14ac:dyDescent="0.2">
      <c r="A854" s="5">
        <v>793</v>
      </c>
      <c r="B854" s="138">
        <f>'Expenditures 15-22'!E59</f>
        <v>125302</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122332</v>
      </c>
      <c r="D857" s="2" t="str">
        <f t="shared" si="12"/>
        <v>Error?</v>
      </c>
    </row>
    <row r="858" spans="1:4" x14ac:dyDescent="0.2">
      <c r="A858" s="5">
        <v>797</v>
      </c>
      <c r="B858" s="138">
        <f>'Expenditures 15-22'!E63</f>
        <v>2332743</v>
      </c>
      <c r="D858" s="2" t="str">
        <f t="shared" si="12"/>
        <v>Error?</v>
      </c>
    </row>
    <row r="859" spans="1:4" x14ac:dyDescent="0.2">
      <c r="A859" s="5">
        <v>798</v>
      </c>
      <c r="B859" s="138">
        <f>'Expenditures 15-22'!E64</f>
        <v>4098</v>
      </c>
      <c r="D859" s="2" t="str">
        <f t="shared" si="12"/>
        <v>Error?</v>
      </c>
    </row>
    <row r="860" spans="1:4" x14ac:dyDescent="0.2">
      <c r="A860" s="10">
        <v>799</v>
      </c>
      <c r="D860" s="2" t="str">
        <f t="shared" si="12"/>
        <v>OK</v>
      </c>
    </row>
    <row r="861" spans="1:4" x14ac:dyDescent="0.2">
      <c r="A861" s="5">
        <v>800</v>
      </c>
      <c r="B861" s="138">
        <f>'Expenditures 15-22'!E65</f>
        <v>2584475</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1034496</v>
      </c>
      <c r="D864" s="2" t="str">
        <f t="shared" si="12"/>
        <v>Error?</v>
      </c>
    </row>
    <row r="865" spans="1:4" x14ac:dyDescent="0.2">
      <c r="A865" s="5">
        <v>804</v>
      </c>
      <c r="B865" s="138">
        <f>'Expenditures 15-22'!E70</f>
        <v>31679</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1066175</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4363735</v>
      </c>
      <c r="C871" s="2" t="s">
        <v>594</v>
      </c>
      <c r="D871" s="2" t="str">
        <f t="shared" si="12"/>
        <v>Error?</v>
      </c>
    </row>
    <row r="872" spans="1:4" x14ac:dyDescent="0.2">
      <c r="A872" s="5">
        <v>811</v>
      </c>
      <c r="B872" s="138">
        <f>'Expenditures 15-22'!E75</f>
        <v>84620</v>
      </c>
      <c r="D872" s="2" t="str">
        <f t="shared" si="12"/>
        <v>Error?</v>
      </c>
    </row>
    <row r="873" spans="1:4" x14ac:dyDescent="0.2">
      <c r="A873" s="5">
        <v>812</v>
      </c>
      <c r="B873" s="138">
        <f>'Expenditures 15-22'!E114</f>
        <v>4774749</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665436</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43753</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382</v>
      </c>
      <c r="D892" s="2" t="str">
        <f t="shared" si="12"/>
        <v>Error?</v>
      </c>
    </row>
    <row r="893" spans="1:4" x14ac:dyDescent="0.2">
      <c r="A893" s="5">
        <v>832</v>
      </c>
      <c r="B893" s="138">
        <f>'Expenditures 15-22'!F15</f>
        <v>88</v>
      </c>
      <c r="D893" s="2" t="str">
        <f t="shared" si="12"/>
        <v>Error?</v>
      </c>
    </row>
    <row r="894" spans="1:4" x14ac:dyDescent="0.2">
      <c r="A894" s="5">
        <v>833</v>
      </c>
      <c r="B894" s="138">
        <f>'Expenditures 15-22'!F33</f>
        <v>832328</v>
      </c>
      <c r="C894" s="2" t="s">
        <v>594</v>
      </c>
      <c r="D894" s="2" t="str">
        <f t="shared" si="12"/>
        <v>Error?</v>
      </c>
    </row>
    <row r="895" spans="1:4" x14ac:dyDescent="0.2">
      <c r="A895" s="5">
        <v>834</v>
      </c>
      <c r="B895" s="138">
        <f>'Expenditures 15-22'!F36</f>
        <v>2642</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11880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1245</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15767</v>
      </c>
      <c r="C901" s="2" t="s">
        <v>594</v>
      </c>
      <c r="D901" s="2" t="str">
        <f t="shared" si="13"/>
        <v>Error?</v>
      </c>
    </row>
    <row r="902" spans="1:4" x14ac:dyDescent="0.2">
      <c r="A902" s="5">
        <v>841</v>
      </c>
      <c r="B902" s="138">
        <f>'Expenditures 15-22'!F44</f>
        <v>29962</v>
      </c>
      <c r="D902" s="2" t="str">
        <f t="shared" si="13"/>
        <v>Error?</v>
      </c>
    </row>
    <row r="903" spans="1:4" x14ac:dyDescent="0.2">
      <c r="A903" s="5">
        <v>842</v>
      </c>
      <c r="B903" s="138">
        <f>'Expenditures 15-22'!F45</f>
        <v>147719</v>
      </c>
      <c r="D903" s="2" t="str">
        <f t="shared" si="13"/>
        <v>Error?</v>
      </c>
    </row>
    <row r="904" spans="1:4" x14ac:dyDescent="0.2">
      <c r="A904" s="5">
        <v>843</v>
      </c>
      <c r="B904" s="138">
        <f>'Expenditures 15-22'!F46</f>
        <v>36036</v>
      </c>
      <c r="D904" s="2" t="str">
        <f t="shared" si="13"/>
        <v>Error?</v>
      </c>
    </row>
    <row r="905" spans="1:4" x14ac:dyDescent="0.2">
      <c r="A905" s="5">
        <v>844</v>
      </c>
      <c r="B905" s="138">
        <f>'Expenditures 15-22'!F47</f>
        <v>213717</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1302</v>
      </c>
      <c r="D907" s="2" t="str">
        <f t="shared" si="13"/>
        <v>Error?</v>
      </c>
    </row>
    <row r="908" spans="1:4" x14ac:dyDescent="0.2">
      <c r="A908" s="5">
        <v>847</v>
      </c>
      <c r="B908" s="138">
        <f>'Expenditures 15-22'!F53</f>
        <v>12008</v>
      </c>
      <c r="C908" s="2" t="s">
        <v>594</v>
      </c>
      <c r="D908" s="2" t="str">
        <f t="shared" si="13"/>
        <v>Error?</v>
      </c>
    </row>
    <row r="909" spans="1:4" x14ac:dyDescent="0.2">
      <c r="A909" s="5">
        <v>848</v>
      </c>
      <c r="B909" s="138">
        <f>'Expenditures 15-22'!F55</f>
        <v>17094</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17094</v>
      </c>
      <c r="C911" s="2" t="s">
        <v>594</v>
      </c>
      <c r="D911" s="2" t="str">
        <f t="shared" si="13"/>
        <v>Error?</v>
      </c>
    </row>
    <row r="912" spans="1:4" x14ac:dyDescent="0.2">
      <c r="A912" s="5">
        <v>851</v>
      </c>
      <c r="B912" s="138">
        <f>'Expenditures 15-22'!F59</f>
        <v>6979</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64338</v>
      </c>
      <c r="D916" s="2" t="str">
        <f t="shared" si="13"/>
        <v>Error?</v>
      </c>
    </row>
    <row r="917" spans="1:4" x14ac:dyDescent="0.2">
      <c r="A917" s="5">
        <v>856</v>
      </c>
      <c r="B917" s="138">
        <f>'Expenditures 15-22'!F64</f>
        <v>32997</v>
      </c>
      <c r="D917" s="2" t="str">
        <f t="shared" si="13"/>
        <v>Error?</v>
      </c>
    </row>
    <row r="918" spans="1:4" x14ac:dyDescent="0.2">
      <c r="A918" s="10">
        <v>857</v>
      </c>
      <c r="D918" s="2" t="str">
        <f t="shared" si="13"/>
        <v>OK</v>
      </c>
    </row>
    <row r="919" spans="1:4" x14ac:dyDescent="0.2">
      <c r="A919" s="5">
        <v>858</v>
      </c>
      <c r="B919" s="138">
        <f>'Expenditures 15-22'!F65</f>
        <v>104314</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388186</v>
      </c>
      <c r="D922" s="2" t="str">
        <f t="shared" si="13"/>
        <v>Error?</v>
      </c>
    </row>
    <row r="923" spans="1:4" x14ac:dyDescent="0.2">
      <c r="A923" s="5">
        <v>862</v>
      </c>
      <c r="B923" s="138">
        <f>'Expenditures 15-22'!F70</f>
        <v>1698</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389884</v>
      </c>
      <c r="C927" s="2" t="s">
        <v>594</v>
      </c>
      <c r="D927" s="2" t="str">
        <f t="shared" si="13"/>
        <v>Error?</v>
      </c>
    </row>
    <row r="928" spans="1:4" x14ac:dyDescent="0.2">
      <c r="A928" s="5">
        <v>867</v>
      </c>
      <c r="B928" s="138">
        <f>'Expenditures 15-22'!F73</f>
        <v>26279</v>
      </c>
      <c r="D928" s="2" t="str">
        <f t="shared" si="13"/>
        <v>Error?</v>
      </c>
    </row>
    <row r="929" spans="1:4" x14ac:dyDescent="0.2">
      <c r="A929" s="5">
        <v>868</v>
      </c>
      <c r="B929" s="138">
        <f>'Expenditures 15-22'!F74</f>
        <v>779063</v>
      </c>
      <c r="C929" s="2" t="s">
        <v>594</v>
      </c>
      <c r="D929" s="2" t="str">
        <f t="shared" si="13"/>
        <v>Error?</v>
      </c>
    </row>
    <row r="930" spans="1:4" x14ac:dyDescent="0.2">
      <c r="A930" s="5">
        <v>869</v>
      </c>
      <c r="B930" s="138">
        <f>'Expenditures 15-22'!F75</f>
        <v>6493</v>
      </c>
      <c r="D930" s="2" t="str">
        <f t="shared" si="13"/>
        <v>Error?</v>
      </c>
    </row>
    <row r="931" spans="1:4" x14ac:dyDescent="0.2">
      <c r="A931" s="5">
        <v>870</v>
      </c>
      <c r="B931" s="138">
        <f>'Expenditures 15-22'!F114</f>
        <v>1617884</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43140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114824</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5424</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5424</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928</v>
      </c>
      <c r="D967" s="2" t="str">
        <f t="shared" si="14"/>
        <v>Error?</v>
      </c>
    </row>
    <row r="968" spans="1:4" x14ac:dyDescent="0.2">
      <c r="A968" s="5">
        <v>907</v>
      </c>
      <c r="B968" s="138">
        <f>'Expenditures 15-22'!G56</f>
        <v>0</v>
      </c>
      <c r="D968" s="2" t="str">
        <f t="shared" si="14"/>
        <v>Error?</v>
      </c>
    </row>
    <row r="969" spans="1:4" x14ac:dyDescent="0.2">
      <c r="A969" s="5">
        <v>908</v>
      </c>
      <c r="B969" s="138">
        <f>'Expenditures 15-22'!G57</f>
        <v>928</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834</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834</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201994</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201994</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209180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324004</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55905</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3564</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1484805</v>
      </c>
      <c r="C1010" s="2" t="s">
        <v>594</v>
      </c>
      <c r="D1010" s="2" t="str">
        <f t="shared" si="14"/>
        <v>Error?</v>
      </c>
    </row>
    <row r="1011" spans="1:4" x14ac:dyDescent="0.2">
      <c r="A1011" s="5">
        <v>950</v>
      </c>
      <c r="B1011" s="138">
        <f>'Expenditures 15-22'!H36</f>
        <v>330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650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980</v>
      </c>
      <c r="C1017" s="2" t="s">
        <v>594</v>
      </c>
      <c r="D1017" s="2" t="str">
        <f t="shared" si="14"/>
        <v>Error?</v>
      </c>
    </row>
    <row r="1018" spans="1:4" x14ac:dyDescent="0.2">
      <c r="A1018" s="5">
        <v>957</v>
      </c>
      <c r="B1018" s="138">
        <f>'Expenditures 15-22'!H44</f>
        <v>52786</v>
      </c>
      <c r="D1018" s="2" t="str">
        <f t="shared" si="14"/>
        <v>Error?</v>
      </c>
    </row>
    <row r="1019" spans="1:4" x14ac:dyDescent="0.2">
      <c r="A1019" s="5">
        <v>958</v>
      </c>
      <c r="B1019" s="138">
        <f>'Expenditures 15-22'!H45</f>
        <v>1983</v>
      </c>
      <c r="D1019" s="2" t="str">
        <f t="shared" si="14"/>
        <v>Error?</v>
      </c>
    </row>
    <row r="1020" spans="1:4" x14ac:dyDescent="0.2">
      <c r="A1020" s="5">
        <v>959</v>
      </c>
      <c r="B1020" s="138">
        <f>'Expenditures 15-22'!H46</f>
        <v>89</v>
      </c>
      <c r="D1020" s="2" t="str">
        <f t="shared" si="14"/>
        <v>Error?</v>
      </c>
    </row>
    <row r="1021" spans="1:4" x14ac:dyDescent="0.2">
      <c r="A1021" s="5">
        <v>960</v>
      </c>
      <c r="B1021" s="138">
        <f>'Expenditures 15-22'!H47</f>
        <v>54858</v>
      </c>
      <c r="C1021" s="2" t="s">
        <v>594</v>
      </c>
      <c r="D1021" s="2" t="str">
        <f t="shared" si="14"/>
        <v>Error?</v>
      </c>
    </row>
    <row r="1022" spans="1:4" x14ac:dyDescent="0.2">
      <c r="A1022" s="5">
        <v>961</v>
      </c>
      <c r="B1022" s="138">
        <f>'Expenditures 15-22'!H49</f>
        <v>39863</v>
      </c>
      <c r="D1022" s="2" t="str">
        <f t="shared" si="14"/>
        <v>Error?</v>
      </c>
    </row>
    <row r="1023" spans="1:4" x14ac:dyDescent="0.2">
      <c r="A1023" s="5">
        <v>962</v>
      </c>
      <c r="B1023" s="138">
        <f>'Expenditures 15-22'!H50</f>
        <v>15899</v>
      </c>
      <c r="D1023" s="2" t="str">
        <f t="shared" ref="D1023:D1086" si="15">IF(ISBLANK(B1023),"OK",IF(A1023-B1023=0,"OK","Error?"))</f>
        <v>Error?</v>
      </c>
    </row>
    <row r="1024" spans="1:4" x14ac:dyDescent="0.2">
      <c r="A1024" s="5">
        <v>963</v>
      </c>
      <c r="B1024" s="138">
        <f>'Expenditures 15-22'!H53</f>
        <v>56397</v>
      </c>
      <c r="C1024" s="2" t="s">
        <v>594</v>
      </c>
      <c r="D1024" s="2" t="str">
        <f t="shared" si="15"/>
        <v>Error?</v>
      </c>
    </row>
    <row r="1025" spans="1:4" x14ac:dyDescent="0.2">
      <c r="A1025" s="5">
        <v>964</v>
      </c>
      <c r="B1025" s="138">
        <f>'Expenditures 15-22'!H55</f>
        <v>9851</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9851</v>
      </c>
      <c r="C1027" s="2" t="s">
        <v>594</v>
      </c>
      <c r="D1027" s="2" t="str">
        <f t="shared" si="15"/>
        <v>Error?</v>
      </c>
    </row>
    <row r="1028" spans="1:4" x14ac:dyDescent="0.2">
      <c r="A1028" s="5">
        <v>967</v>
      </c>
      <c r="B1028" s="138">
        <f>'Expenditures 15-22'!H59</f>
        <v>8182</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8182</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9579</v>
      </c>
      <c r="D1038" s="2" t="str">
        <f t="shared" si="15"/>
        <v>Error?</v>
      </c>
    </row>
    <row r="1039" spans="1:4" x14ac:dyDescent="0.2">
      <c r="A1039" s="5">
        <v>978</v>
      </c>
      <c r="B1039" s="138">
        <f>'Expenditures 15-22'!H70</f>
        <v>25397</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34976</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165244</v>
      </c>
      <c r="C1045" s="2" t="s">
        <v>594</v>
      </c>
      <c r="D1045" s="2" t="str">
        <f t="shared" si="15"/>
        <v>Error?</v>
      </c>
    </row>
    <row r="1046" spans="1:4" x14ac:dyDescent="0.2">
      <c r="A1046" s="5">
        <v>985</v>
      </c>
      <c r="B1046" s="138">
        <f>'Expenditures 15-22'!H75</f>
        <v>3379</v>
      </c>
      <c r="D1046" s="2" t="str">
        <f t="shared" si="15"/>
        <v>Error?</v>
      </c>
    </row>
    <row r="1047" spans="1:4" x14ac:dyDescent="0.2">
      <c r="A1047" s="5">
        <v>986</v>
      </c>
      <c r="B1047" s="138">
        <f>'Expenditures 15-22'!H102</f>
        <v>18432</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1671860</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32402276</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10517684</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190867</v>
      </c>
      <c r="C1106" s="2" t="s">
        <v>594</v>
      </c>
      <c r="D1106" s="2" t="str">
        <f t="shared" si="16"/>
        <v>Error?</v>
      </c>
    </row>
    <row r="1107" spans="1:4" x14ac:dyDescent="0.2">
      <c r="A1107" s="5">
        <v>1046</v>
      </c>
      <c r="B1107" s="138">
        <f>'Expenditures 15-22'!K15</f>
        <v>215335</v>
      </c>
      <c r="C1107" s="2" t="s">
        <v>594</v>
      </c>
      <c r="D1107" s="2" t="str">
        <f t="shared" si="16"/>
        <v>Error?</v>
      </c>
    </row>
    <row r="1108" spans="1:4" x14ac:dyDescent="0.2">
      <c r="A1108" s="5">
        <v>1047</v>
      </c>
      <c r="B1108" s="138">
        <f>'Expenditures 15-22'!K33</f>
        <v>55815659</v>
      </c>
      <c r="C1108" s="2" t="s">
        <v>594</v>
      </c>
      <c r="D1108" s="2" t="str">
        <f t="shared" si="16"/>
        <v>Error?</v>
      </c>
    </row>
    <row r="1109" spans="1:4" x14ac:dyDescent="0.2">
      <c r="A1109" s="5">
        <v>1048</v>
      </c>
      <c r="B1109" s="138">
        <f>'Expenditures 15-22'!K36</f>
        <v>2246677</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2135065</v>
      </c>
      <c r="C1111" s="2" t="s">
        <v>594</v>
      </c>
      <c r="D1111" s="2" t="str">
        <f t="shared" si="16"/>
        <v>Error?</v>
      </c>
    </row>
    <row r="1112" spans="1:4" x14ac:dyDescent="0.2">
      <c r="A1112" s="5">
        <v>1051</v>
      </c>
      <c r="B1112" s="138">
        <f>'Expenditures 15-22'!K39</f>
        <v>1121875</v>
      </c>
      <c r="C1112" s="2" t="s">
        <v>594</v>
      </c>
      <c r="D1112" s="2" t="str">
        <f t="shared" si="16"/>
        <v>Error?</v>
      </c>
    </row>
    <row r="1113" spans="1:4" x14ac:dyDescent="0.2">
      <c r="A1113" s="5">
        <v>1052</v>
      </c>
      <c r="B1113" s="138">
        <f>'Expenditures 15-22'!K40</f>
        <v>1722956</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7226573</v>
      </c>
      <c r="C1115" s="2" t="s">
        <v>594</v>
      </c>
      <c r="D1115" s="2" t="str">
        <f t="shared" si="16"/>
        <v>Error?</v>
      </c>
    </row>
    <row r="1116" spans="1:4" x14ac:dyDescent="0.2">
      <c r="A1116" s="5">
        <v>1055</v>
      </c>
      <c r="B1116" s="138">
        <f>'Expenditures 15-22'!K44</f>
        <v>1786387</v>
      </c>
      <c r="C1116" s="2" t="s">
        <v>594</v>
      </c>
      <c r="D1116" s="2" t="str">
        <f t="shared" si="16"/>
        <v>Error?</v>
      </c>
    </row>
    <row r="1117" spans="1:4" x14ac:dyDescent="0.2">
      <c r="A1117" s="5">
        <v>1056</v>
      </c>
      <c r="B1117" s="138">
        <f>'Expenditures 15-22'!K45</f>
        <v>3934892</v>
      </c>
      <c r="C1117" s="2" t="s">
        <v>594</v>
      </c>
      <c r="D1117" s="2" t="str">
        <f t="shared" si="16"/>
        <v>Error?</v>
      </c>
    </row>
    <row r="1118" spans="1:4" x14ac:dyDescent="0.2">
      <c r="A1118" s="5">
        <v>1057</v>
      </c>
      <c r="B1118" s="138">
        <f>'Expenditures 15-22'!K46</f>
        <v>296117</v>
      </c>
      <c r="C1118" s="2" t="s">
        <v>594</v>
      </c>
      <c r="D1118" s="2" t="str">
        <f t="shared" si="16"/>
        <v>Error?</v>
      </c>
    </row>
    <row r="1119" spans="1:4" x14ac:dyDescent="0.2">
      <c r="A1119" s="5">
        <v>1058</v>
      </c>
      <c r="B1119" s="138">
        <f>'Expenditures 15-22'!K47</f>
        <v>6017396</v>
      </c>
      <c r="C1119" s="2" t="s">
        <v>594</v>
      </c>
      <c r="D1119" s="2" t="str">
        <f t="shared" si="16"/>
        <v>Error?</v>
      </c>
    </row>
    <row r="1120" spans="1:4" x14ac:dyDescent="0.2">
      <c r="A1120" s="5">
        <v>1059</v>
      </c>
      <c r="B1120" s="138">
        <f>'Expenditures 15-22'!K49</f>
        <v>302434</v>
      </c>
      <c r="C1120" s="2" t="s">
        <v>594</v>
      </c>
      <c r="D1120" s="2" t="str">
        <f t="shared" si="16"/>
        <v>Error?</v>
      </c>
    </row>
    <row r="1121" spans="1:4" x14ac:dyDescent="0.2">
      <c r="A1121" s="5">
        <v>1060</v>
      </c>
      <c r="B1121" s="138">
        <f>'Expenditures 15-22'!K50</f>
        <v>398116</v>
      </c>
      <c r="C1121" s="2" t="s">
        <v>594</v>
      </c>
      <c r="D1121" s="2" t="str">
        <f t="shared" si="16"/>
        <v>Error?</v>
      </c>
    </row>
    <row r="1122" spans="1:4" x14ac:dyDescent="0.2">
      <c r="A1122" s="5">
        <v>1061</v>
      </c>
      <c r="B1122" s="138">
        <f>'Expenditures 15-22'!K53</f>
        <v>1374974</v>
      </c>
      <c r="C1122" s="2" t="s">
        <v>594</v>
      </c>
      <c r="D1122" s="2" t="str">
        <f t="shared" si="16"/>
        <v>Error?</v>
      </c>
    </row>
    <row r="1123" spans="1:4" x14ac:dyDescent="0.2">
      <c r="A1123" s="5">
        <v>1062</v>
      </c>
      <c r="B1123" s="138">
        <f>'Expenditures 15-22'!K55</f>
        <v>3485211</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3485211</v>
      </c>
      <c r="C1125" s="2" t="s">
        <v>594</v>
      </c>
      <c r="D1125" s="2" t="str">
        <f t="shared" si="16"/>
        <v>Error?</v>
      </c>
    </row>
    <row r="1126" spans="1:4" x14ac:dyDescent="0.2">
      <c r="A1126" s="5">
        <v>1065</v>
      </c>
      <c r="B1126" s="138">
        <f>'Expenditures 15-22'!K59</f>
        <v>945861</v>
      </c>
      <c r="C1126" s="2" t="s">
        <v>594</v>
      </c>
      <c r="D1126" s="2" t="str">
        <f t="shared" si="16"/>
        <v>Error?</v>
      </c>
    </row>
    <row r="1127" spans="1:4" x14ac:dyDescent="0.2">
      <c r="A1127" s="5">
        <v>1066</v>
      </c>
      <c r="B1127" s="138">
        <f>'Expenditures 15-22'!K60</f>
        <v>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122332</v>
      </c>
      <c r="C1129" s="2" t="s">
        <v>594</v>
      </c>
      <c r="D1129" s="2" t="str">
        <f t="shared" si="16"/>
        <v>Error?</v>
      </c>
    </row>
    <row r="1130" spans="1:4" x14ac:dyDescent="0.2">
      <c r="A1130" s="5">
        <v>1069</v>
      </c>
      <c r="B1130" s="138">
        <f>'Expenditures 15-22'!K63</f>
        <v>2694171</v>
      </c>
      <c r="C1130" s="2" t="s">
        <v>594</v>
      </c>
      <c r="D1130" s="2" t="str">
        <f t="shared" si="16"/>
        <v>Error?</v>
      </c>
    </row>
    <row r="1131" spans="1:4" x14ac:dyDescent="0.2">
      <c r="A1131" s="5">
        <v>1070</v>
      </c>
      <c r="B1131" s="138">
        <f>'Expenditures 15-22'!K64</f>
        <v>300751</v>
      </c>
      <c r="C1131" s="2" t="s">
        <v>594</v>
      </c>
      <c r="D1131" s="2" t="str">
        <f t="shared" si="16"/>
        <v>Error?</v>
      </c>
    </row>
    <row r="1132" spans="1:4" x14ac:dyDescent="0.2">
      <c r="A1132" s="10">
        <v>1071</v>
      </c>
      <c r="D1132" s="2" t="str">
        <f t="shared" si="16"/>
        <v>OK</v>
      </c>
    </row>
    <row r="1133" spans="1:4" x14ac:dyDescent="0.2">
      <c r="A1133" s="5">
        <v>1072</v>
      </c>
      <c r="B1133" s="138">
        <f>'Expenditures 15-22'!K65</f>
        <v>4063115</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2584951</v>
      </c>
      <c r="C1136" s="2" t="s">
        <v>594</v>
      </c>
      <c r="D1136" s="2" t="str">
        <f t="shared" si="16"/>
        <v>Error?</v>
      </c>
    </row>
    <row r="1137" spans="1:4" x14ac:dyDescent="0.2">
      <c r="A1137" s="5">
        <v>1076</v>
      </c>
      <c r="B1137" s="138">
        <f>'Expenditures 15-22'!K70</f>
        <v>488217</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3073168</v>
      </c>
      <c r="C1141" s="2" t="s">
        <v>594</v>
      </c>
      <c r="D1141" s="2" t="str">
        <f t="shared" si="16"/>
        <v>Error?</v>
      </c>
    </row>
    <row r="1142" spans="1:4" x14ac:dyDescent="0.2">
      <c r="A1142" s="5">
        <v>1081</v>
      </c>
      <c r="B1142" s="138">
        <f>'Expenditures 15-22'!K73</f>
        <v>26279</v>
      </c>
      <c r="C1142" s="2" t="s">
        <v>594</v>
      </c>
      <c r="D1142" s="2" t="str">
        <f t="shared" si="16"/>
        <v>Error?</v>
      </c>
    </row>
    <row r="1143" spans="1:4" x14ac:dyDescent="0.2">
      <c r="A1143" s="5">
        <v>1082</v>
      </c>
      <c r="B1143" s="138">
        <f>'Expenditures 15-22'!K74</f>
        <v>25266716</v>
      </c>
      <c r="C1143" s="2" t="s">
        <v>594</v>
      </c>
      <c r="D1143" s="2" t="str">
        <f t="shared" si="16"/>
        <v>Error?</v>
      </c>
    </row>
    <row r="1144" spans="1:4" x14ac:dyDescent="0.2">
      <c r="A1144" s="5">
        <v>1083</v>
      </c>
      <c r="B1144" s="138">
        <f>'Expenditures 15-22'!K75</f>
        <v>241355</v>
      </c>
      <c r="C1144" s="2" t="s">
        <v>594</v>
      </c>
      <c r="D1144" s="2" t="str">
        <f t="shared" si="16"/>
        <v>Error?</v>
      </c>
    </row>
    <row r="1145" spans="1:4" x14ac:dyDescent="0.2">
      <c r="A1145" s="5">
        <v>1084</v>
      </c>
      <c r="B1145" s="138">
        <f>'Expenditures 15-22'!K102</f>
        <v>213858</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81537588</v>
      </c>
      <c r="C1152" s="2" t="s">
        <v>594</v>
      </c>
      <c r="D1152" s="2" t="str">
        <f t="shared" si="17"/>
        <v>Error?</v>
      </c>
    </row>
    <row r="1153" spans="1:4" x14ac:dyDescent="0.2">
      <c r="A1153" s="5">
        <v>1092</v>
      </c>
      <c r="B1153" s="138">
        <f>'Expenditures 15-22'!K115</f>
        <v>6377698</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4383089</v>
      </c>
      <c r="D1221" s="2" t="str">
        <f t="shared" si="18"/>
        <v>Error?</v>
      </c>
    </row>
    <row r="1222" spans="1:4" x14ac:dyDescent="0.2">
      <c r="A1222" s="10">
        <v>1161</v>
      </c>
      <c r="D1222" s="2" t="str">
        <f t="shared" si="18"/>
        <v>OK</v>
      </c>
    </row>
    <row r="1223" spans="1:4" x14ac:dyDescent="0.2">
      <c r="A1223" s="5">
        <v>1162</v>
      </c>
      <c r="B1223" s="138">
        <f>'Expenditures 15-22'!C127</f>
        <v>4383089</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4383089</v>
      </c>
      <c r="C1225" s="2" t="s">
        <v>594</v>
      </c>
      <c r="D1225" s="2" t="str">
        <f t="shared" si="18"/>
        <v>Error?</v>
      </c>
    </row>
    <row r="1226" spans="1:4" x14ac:dyDescent="0.2">
      <c r="A1226" s="5">
        <v>1165</v>
      </c>
      <c r="B1226" s="138">
        <f>'Expenditures 15-22'!C151</f>
        <v>4383089</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1236089</v>
      </c>
      <c r="D1229" s="2" t="str">
        <f t="shared" si="18"/>
        <v>Error?</v>
      </c>
    </row>
    <row r="1230" spans="1:4" x14ac:dyDescent="0.2">
      <c r="A1230" s="10">
        <v>1169</v>
      </c>
      <c r="D1230" s="2" t="str">
        <f t="shared" si="18"/>
        <v>OK</v>
      </c>
    </row>
    <row r="1231" spans="1:4" x14ac:dyDescent="0.2">
      <c r="A1231" s="5">
        <v>1170</v>
      </c>
      <c r="B1231" s="138">
        <f>'Expenditures 15-22'!D127</f>
        <v>1236089</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1236089</v>
      </c>
      <c r="C1233" s="2" t="s">
        <v>594</v>
      </c>
      <c r="D1233" s="2" t="str">
        <f t="shared" si="18"/>
        <v>Error?</v>
      </c>
    </row>
    <row r="1234" spans="1:4" x14ac:dyDescent="0.2">
      <c r="A1234" s="5">
        <v>1173</v>
      </c>
      <c r="B1234" s="138">
        <f>'Expenditures 15-22'!D151</f>
        <v>1236089</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17905</v>
      </c>
      <c r="D1236" s="2" t="str">
        <f t="shared" si="18"/>
        <v>Error?</v>
      </c>
    </row>
    <row r="1237" spans="1:4" x14ac:dyDescent="0.2">
      <c r="A1237" s="5">
        <v>1176</v>
      </c>
      <c r="B1237" s="138">
        <f>'Expenditures 15-22'!E124</f>
        <v>579752</v>
      </c>
      <c r="D1237" s="2" t="str">
        <f t="shared" si="18"/>
        <v>Error?</v>
      </c>
    </row>
    <row r="1238" spans="1:4" x14ac:dyDescent="0.2">
      <c r="A1238" s="10">
        <v>1177</v>
      </c>
      <c r="D1238" s="2" t="str">
        <f t="shared" si="18"/>
        <v>OK</v>
      </c>
    </row>
    <row r="1239" spans="1:4" x14ac:dyDescent="0.2">
      <c r="A1239" s="5">
        <v>1178</v>
      </c>
      <c r="B1239" s="138">
        <f>'Expenditures 15-22'!E127</f>
        <v>597657</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597657</v>
      </c>
      <c r="C1241" s="2" t="s">
        <v>594</v>
      </c>
      <c r="D1241" s="2" t="str">
        <f t="shared" si="18"/>
        <v>Error?</v>
      </c>
    </row>
    <row r="1242" spans="1:4" x14ac:dyDescent="0.2">
      <c r="A1242" s="5">
        <v>1181</v>
      </c>
      <c r="B1242" s="138">
        <f>'Expenditures 15-22'!E151</f>
        <v>597657</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42379</v>
      </c>
      <c r="D1244" s="2" t="str">
        <f t="shared" si="18"/>
        <v>Error?</v>
      </c>
    </row>
    <row r="1245" spans="1:4" x14ac:dyDescent="0.2">
      <c r="A1245" s="5">
        <v>1184</v>
      </c>
      <c r="B1245" s="138">
        <f>'Expenditures 15-22'!F124</f>
        <v>1240314</v>
      </c>
      <c r="D1245" s="2" t="str">
        <f t="shared" si="18"/>
        <v>Error?</v>
      </c>
    </row>
    <row r="1246" spans="1:4" x14ac:dyDescent="0.2">
      <c r="A1246" s="10">
        <v>1185</v>
      </c>
      <c r="D1246" s="2" t="str">
        <f t="shared" si="18"/>
        <v>OK</v>
      </c>
    </row>
    <row r="1247" spans="1:4" x14ac:dyDescent="0.2">
      <c r="A1247" s="5">
        <v>1186</v>
      </c>
      <c r="B1247" s="138">
        <f>'Expenditures 15-22'!F127</f>
        <v>1282693</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1282693</v>
      </c>
      <c r="C1249" s="2" t="s">
        <v>594</v>
      </c>
      <c r="D1249" s="2" t="str">
        <f t="shared" si="18"/>
        <v>Error?</v>
      </c>
    </row>
    <row r="1250" spans="1:4" x14ac:dyDescent="0.2">
      <c r="A1250" s="5">
        <v>1189</v>
      </c>
      <c r="B1250" s="138">
        <f>'Expenditures 15-22'!F151</f>
        <v>1282693</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85008</v>
      </c>
      <c r="D1252" s="2" t="str">
        <f t="shared" si="18"/>
        <v>Error?</v>
      </c>
    </row>
    <row r="1253" spans="1:4" x14ac:dyDescent="0.2">
      <c r="A1253" s="5">
        <v>1192</v>
      </c>
      <c r="B1253" s="138">
        <f>'Expenditures 15-22'!G124</f>
        <v>49696</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134704</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134704</v>
      </c>
      <c r="C1258" s="2" t="s">
        <v>594</v>
      </c>
      <c r="D1258" s="2" t="str">
        <f t="shared" si="18"/>
        <v>Error?</v>
      </c>
    </row>
    <row r="1259" spans="1:4" x14ac:dyDescent="0.2">
      <c r="A1259" s="5">
        <v>1198</v>
      </c>
      <c r="B1259" s="138">
        <f>'Expenditures 15-22'!G151</f>
        <v>134704</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7611</v>
      </c>
      <c r="D1262" s="2" t="str">
        <f t="shared" si="18"/>
        <v>Error?</v>
      </c>
    </row>
    <row r="1263" spans="1:4" x14ac:dyDescent="0.2">
      <c r="A1263" s="10">
        <v>1202</v>
      </c>
      <c r="D1263" s="2" t="str">
        <f t="shared" si="18"/>
        <v>OK</v>
      </c>
    </row>
    <row r="1264" spans="1:4" x14ac:dyDescent="0.2">
      <c r="A1264" s="5">
        <v>1203</v>
      </c>
      <c r="B1264" s="138">
        <f>'Expenditures 15-22'!H127</f>
        <v>7611</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7611</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7611</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145292</v>
      </c>
      <c r="C1275" s="2" t="s">
        <v>594</v>
      </c>
      <c r="D1275" s="2" t="str">
        <f t="shared" si="18"/>
        <v>Error?</v>
      </c>
    </row>
    <row r="1276" spans="1:4" x14ac:dyDescent="0.2">
      <c r="A1276" s="5">
        <v>1215</v>
      </c>
      <c r="B1276" s="138">
        <f>'Expenditures 15-22'!K124</f>
        <v>7496551</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7641843</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7641843</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7641843</v>
      </c>
      <c r="C1288" s="2" t="s">
        <v>594</v>
      </c>
      <c r="D1288" s="2" t="str">
        <f t="shared" si="19"/>
        <v>Error?</v>
      </c>
    </row>
    <row r="1289" spans="1:4" x14ac:dyDescent="0.2">
      <c r="A1289" s="5">
        <v>1228</v>
      </c>
      <c r="B1289" s="138">
        <f>'Expenditures 15-22'!K152</f>
        <v>-386116</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1104449</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4375157</v>
      </c>
      <c r="D1315" s="2" t="str">
        <f t="shared" si="19"/>
        <v>Error?</v>
      </c>
    </row>
    <row r="1316" spans="1:4" x14ac:dyDescent="0.2">
      <c r="A1316" s="5">
        <v>1255</v>
      </c>
      <c r="B1316" s="138">
        <f>'Expenditures 15-22'!H171</f>
        <v>3982</v>
      </c>
      <c r="D1316" s="2" t="str">
        <f t="shared" si="19"/>
        <v>Error?</v>
      </c>
    </row>
    <row r="1317" spans="1:4" x14ac:dyDescent="0.2">
      <c r="A1317" s="5">
        <v>1256</v>
      </c>
      <c r="B1317" s="138">
        <f>'Expenditures 15-22'!H172</f>
        <v>5483588</v>
      </c>
      <c r="C1317" s="2" t="s">
        <v>594</v>
      </c>
      <c r="D1317" s="2" t="str">
        <f t="shared" si="19"/>
        <v>Error?</v>
      </c>
    </row>
    <row r="1318" spans="1:4" x14ac:dyDescent="0.2">
      <c r="A1318" s="5">
        <v>1257</v>
      </c>
      <c r="B1318" s="138">
        <f>'Expenditures 15-22'!H174</f>
        <v>5483588</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1104449</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4375157</v>
      </c>
      <c r="C1329" s="2" t="s">
        <v>594</v>
      </c>
      <c r="D1329" s="2" t="str">
        <f t="shared" si="19"/>
        <v>Error?</v>
      </c>
    </row>
    <row r="1330" spans="1:4" x14ac:dyDescent="0.2">
      <c r="A1330" s="5">
        <v>1269</v>
      </c>
      <c r="B1330" s="138">
        <f>'Expenditures 15-22'!K171</f>
        <v>3982</v>
      </c>
      <c r="C1330" s="2" t="s">
        <v>594</v>
      </c>
      <c r="D1330" s="2" t="str">
        <f t="shared" si="19"/>
        <v>Error?</v>
      </c>
    </row>
    <row r="1331" spans="1:4" x14ac:dyDescent="0.2">
      <c r="A1331" s="5">
        <v>1270</v>
      </c>
      <c r="B1331" s="138">
        <f>'Expenditures 15-22'!K172</f>
        <v>5483588</v>
      </c>
      <c r="C1331" s="2" t="s">
        <v>594</v>
      </c>
      <c r="D1331" s="2" t="str">
        <f t="shared" si="19"/>
        <v>Error?</v>
      </c>
    </row>
    <row r="1332" spans="1:4" x14ac:dyDescent="0.2">
      <c r="A1332" s="5">
        <v>1271</v>
      </c>
      <c r="B1332" s="138">
        <f>'Expenditures 15-22'!K174</f>
        <v>5483588</v>
      </c>
      <c r="C1332" s="2" t="s">
        <v>594</v>
      </c>
      <c r="D1332" s="2" t="str">
        <f t="shared" si="19"/>
        <v>Error?</v>
      </c>
    </row>
    <row r="1333" spans="1:4" x14ac:dyDescent="0.2">
      <c r="A1333" s="5">
        <v>1272</v>
      </c>
      <c r="B1333" s="138">
        <f>'Expenditures 15-22'!K175</f>
        <v>-524349</v>
      </c>
      <c r="C1333" s="2" t="s">
        <v>594</v>
      </c>
      <c r="D1333" s="2" t="str">
        <f t="shared" si="19"/>
        <v>Error?</v>
      </c>
    </row>
    <row r="1334" spans="1:4" x14ac:dyDescent="0.2">
      <c r="A1334" s="10">
        <v>1273</v>
      </c>
      <c r="D1334" s="2" t="str">
        <f t="shared" si="19"/>
        <v>OK</v>
      </c>
    </row>
    <row r="1335" spans="1:4" x14ac:dyDescent="0.2">
      <c r="A1335" s="5">
        <v>1274</v>
      </c>
      <c r="B1335" s="138">
        <f>'Expenditures 15-22'!C182</f>
        <v>126880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126880</v>
      </c>
      <c r="C1339" s="2" t="s">
        <v>594</v>
      </c>
      <c r="D1339" s="2" t="str">
        <f t="shared" si="19"/>
        <v>Error?</v>
      </c>
    </row>
    <row r="1340" spans="1:4" x14ac:dyDescent="0.2">
      <c r="A1340" s="5">
        <v>1279</v>
      </c>
      <c r="B1340" s="138">
        <f>'Expenditures 15-22'!C210</f>
        <v>126880</v>
      </c>
      <c r="C1340" s="2" t="s">
        <v>594</v>
      </c>
      <c r="D1340" s="2" t="str">
        <f t="shared" si="19"/>
        <v>Error?</v>
      </c>
    </row>
    <row r="1341" spans="1:4" x14ac:dyDescent="0.2">
      <c r="A1341" s="5">
        <v>1280</v>
      </c>
      <c r="B1341" s="138">
        <f>'Expenditures 15-22'!D182</f>
        <v>10498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10498</v>
      </c>
      <c r="C1345" s="2" t="s">
        <v>594</v>
      </c>
      <c r="D1345" s="2" t="str">
        <f t="shared" si="20"/>
        <v>Error?</v>
      </c>
    </row>
    <row r="1346" spans="1:4" x14ac:dyDescent="0.2">
      <c r="A1346" s="5">
        <v>1285</v>
      </c>
      <c r="B1346" s="138">
        <f>'Expenditures 15-22'!D210</f>
        <v>10498</v>
      </c>
      <c r="C1346" s="2" t="s">
        <v>594</v>
      </c>
      <c r="D1346" s="2" t="str">
        <f t="shared" si="20"/>
        <v>Error?</v>
      </c>
    </row>
    <row r="1347" spans="1:4" x14ac:dyDescent="0.2">
      <c r="A1347" s="5">
        <v>1286</v>
      </c>
      <c r="B1347" s="138">
        <f>'Expenditures 15-22'!E182</f>
        <v>3961238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3961238</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3961238</v>
      </c>
      <c r="C1353" s="2" t="s">
        <v>594</v>
      </c>
      <c r="D1353" s="2" t="str">
        <f t="shared" si="20"/>
        <v>Error?</v>
      </c>
    </row>
    <row r="1354" spans="1:4" x14ac:dyDescent="0.2">
      <c r="A1354" s="5">
        <v>1293</v>
      </c>
      <c r="B1354" s="138">
        <f>'Expenditures 15-22'!F182</f>
        <v>161811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161811</v>
      </c>
      <c r="C1358" s="2" t="s">
        <v>594</v>
      </c>
      <c r="D1358" s="2" t="str">
        <f t="shared" si="20"/>
        <v>Error?</v>
      </c>
    </row>
    <row r="1359" spans="1:4" x14ac:dyDescent="0.2">
      <c r="A1359" s="5">
        <v>1298</v>
      </c>
      <c r="B1359" s="138">
        <f>'Expenditures 15-22'!F210</f>
        <v>161811</v>
      </c>
      <c r="C1359" s="2" t="s">
        <v>594</v>
      </c>
      <c r="D1359" s="2" t="str">
        <f t="shared" si="20"/>
        <v>Error?</v>
      </c>
    </row>
    <row r="1360" spans="1:4" x14ac:dyDescent="0.2">
      <c r="A1360" s="5">
        <v>1299</v>
      </c>
      <c r="B1360" s="138">
        <f>'Expenditures 15-22'!G182</f>
        <v>114634</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114634</v>
      </c>
      <c r="C1364" s="2" t="s">
        <v>594</v>
      </c>
      <c r="D1364" s="2" t="str">
        <f t="shared" si="20"/>
        <v>Error?</v>
      </c>
    </row>
    <row r="1365" spans="1:4" x14ac:dyDescent="0.2">
      <c r="A1365" s="5">
        <v>1304</v>
      </c>
      <c r="B1365" s="138">
        <f>'Expenditures 15-22'!G210</f>
        <v>114634</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4375061</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4375061</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4375061</v>
      </c>
      <c r="C1388" s="2" t="s">
        <v>594</v>
      </c>
      <c r="D1388" s="2" t="str">
        <f t="shared" si="20"/>
        <v>Error?</v>
      </c>
    </row>
    <row r="1389" spans="1:4" x14ac:dyDescent="0.2">
      <c r="A1389" s="5">
        <v>1328</v>
      </c>
      <c r="B1389" s="138">
        <f>'Expenditures 15-22'!K211</f>
        <v>5642478</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137319</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3862</v>
      </c>
      <c r="D1408" s="2" t="str">
        <f t="shared" si="21"/>
        <v>Error?</v>
      </c>
    </row>
    <row r="1409" spans="1:4" x14ac:dyDescent="0.2">
      <c r="A1409" s="5">
        <v>1348</v>
      </c>
      <c r="B1409" s="138">
        <f>'Expenditures 15-22'!D224</f>
        <v>6668</v>
      </c>
      <c r="D1409" s="2" t="str">
        <f t="shared" si="21"/>
        <v>Error?</v>
      </c>
    </row>
    <row r="1410" spans="1:4" x14ac:dyDescent="0.2">
      <c r="A1410" s="5">
        <v>1349</v>
      </c>
      <c r="B1410" s="138">
        <f>'Expenditures 15-22'!D229</f>
        <v>1081973</v>
      </c>
      <c r="C1410" s="2" t="s">
        <v>594</v>
      </c>
      <c r="D1410" s="2" t="str">
        <f t="shared" si="21"/>
        <v>Error?</v>
      </c>
    </row>
    <row r="1411" spans="1:4" x14ac:dyDescent="0.2">
      <c r="A1411" s="5">
        <v>1350</v>
      </c>
      <c r="B1411" s="138">
        <f>'Expenditures 15-22'!D232</f>
        <v>26071</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242178</v>
      </c>
      <c r="D1413" s="2" t="str">
        <f t="shared" si="21"/>
        <v>Error?</v>
      </c>
    </row>
    <row r="1414" spans="1:4" x14ac:dyDescent="0.2">
      <c r="A1414" s="5">
        <v>1353</v>
      </c>
      <c r="B1414" s="138">
        <f>'Expenditures 15-22'!D235</f>
        <v>13388</v>
      </c>
      <c r="D1414" s="2" t="str">
        <f t="shared" si="21"/>
        <v>Error?</v>
      </c>
    </row>
    <row r="1415" spans="1:4" x14ac:dyDescent="0.2">
      <c r="A1415" s="5">
        <v>1354</v>
      </c>
      <c r="B1415" s="138">
        <f>'Expenditures 15-22'!D236</f>
        <v>18767</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300404</v>
      </c>
      <c r="C1417" s="2" t="s">
        <v>594</v>
      </c>
      <c r="D1417" s="2" t="str">
        <f t="shared" si="21"/>
        <v>Error?</v>
      </c>
    </row>
    <row r="1418" spans="1:4" x14ac:dyDescent="0.2">
      <c r="A1418" s="5">
        <v>1357</v>
      </c>
      <c r="B1418" s="138">
        <f>'Expenditures 15-22'!D240</f>
        <v>49893</v>
      </c>
      <c r="D1418" s="2" t="str">
        <f t="shared" si="21"/>
        <v>Error?</v>
      </c>
    </row>
    <row r="1419" spans="1:4" x14ac:dyDescent="0.2">
      <c r="A1419" s="5">
        <v>1358</v>
      </c>
      <c r="B1419" s="138">
        <f>'Expenditures 15-22'!D241</f>
        <v>102599</v>
      </c>
      <c r="D1419" s="2" t="str">
        <f t="shared" si="21"/>
        <v>Error?</v>
      </c>
    </row>
    <row r="1420" spans="1:4" x14ac:dyDescent="0.2">
      <c r="A1420" s="5">
        <v>1359</v>
      </c>
      <c r="B1420" s="138">
        <f>'Expenditures 15-22'!D242</f>
        <v>2270</v>
      </c>
      <c r="D1420" s="2" t="str">
        <f t="shared" si="21"/>
        <v>Error?</v>
      </c>
    </row>
    <row r="1421" spans="1:4" x14ac:dyDescent="0.2">
      <c r="A1421" s="5">
        <v>1360</v>
      </c>
      <c r="B1421" s="138">
        <f>'Expenditures 15-22'!D243</f>
        <v>154762</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17659</v>
      </c>
      <c r="D1423" s="2" t="str">
        <f t="shared" si="21"/>
        <v>Error?</v>
      </c>
    </row>
    <row r="1424" spans="1:4" x14ac:dyDescent="0.2">
      <c r="A1424" s="5">
        <v>1363</v>
      </c>
      <c r="B1424" s="138">
        <f>'Expenditures 15-22'!D257</f>
        <v>57014</v>
      </c>
      <c r="C1424" s="2" t="s">
        <v>594</v>
      </c>
      <c r="D1424" s="2" t="str">
        <f t="shared" si="21"/>
        <v>Error?</v>
      </c>
    </row>
    <row r="1425" spans="1:4" x14ac:dyDescent="0.2">
      <c r="A1425" s="5">
        <v>1364</v>
      </c>
      <c r="B1425" s="138">
        <f>'Expenditures 15-22'!D259</f>
        <v>180151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180151</v>
      </c>
      <c r="C1427" s="2" t="s">
        <v>594</v>
      </c>
      <c r="D1427" s="2" t="str">
        <f t="shared" si="21"/>
        <v>Error?</v>
      </c>
    </row>
    <row r="1428" spans="1:4" x14ac:dyDescent="0.2">
      <c r="A1428" s="5">
        <v>1367</v>
      </c>
      <c r="B1428" s="138">
        <f>'Expenditures 15-22'!D263</f>
        <v>100926</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924612</v>
      </c>
      <c r="D1431" s="2" t="str">
        <f t="shared" si="21"/>
        <v>Error?</v>
      </c>
    </row>
    <row r="1432" spans="1:4" x14ac:dyDescent="0.2">
      <c r="A1432" s="5">
        <v>1371</v>
      </c>
      <c r="B1432" s="138">
        <f>'Expenditures 15-22'!D267</f>
        <v>15092</v>
      </c>
      <c r="D1432" s="2" t="str">
        <f t="shared" si="21"/>
        <v>Error?</v>
      </c>
    </row>
    <row r="1433" spans="1:4" x14ac:dyDescent="0.2">
      <c r="A1433" s="5">
        <v>1372</v>
      </c>
      <c r="B1433" s="138">
        <f>'Expenditures 15-22'!D268</f>
        <v>19832</v>
      </c>
      <c r="D1433" s="2" t="str">
        <f t="shared" si="21"/>
        <v>Error?</v>
      </c>
    </row>
    <row r="1434" spans="1:4" x14ac:dyDescent="0.2">
      <c r="A1434" s="5">
        <v>1373</v>
      </c>
      <c r="B1434" s="138">
        <f>'Expenditures 15-22'!D269</f>
        <v>42345</v>
      </c>
      <c r="D1434" s="2" t="str">
        <f t="shared" si="21"/>
        <v>Error?</v>
      </c>
    </row>
    <row r="1435" spans="1:4" x14ac:dyDescent="0.2">
      <c r="A1435" s="10">
        <v>1374</v>
      </c>
      <c r="D1435" s="2" t="str">
        <f t="shared" si="21"/>
        <v>OK</v>
      </c>
    </row>
    <row r="1436" spans="1:4" x14ac:dyDescent="0.2">
      <c r="A1436" s="5">
        <v>1375</v>
      </c>
      <c r="B1436" s="138">
        <f>'Expenditures 15-22'!D270</f>
        <v>1102807</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138077</v>
      </c>
      <c r="D1439" s="2" t="str">
        <f t="shared" si="21"/>
        <v>Error?</v>
      </c>
    </row>
    <row r="1440" spans="1:4" x14ac:dyDescent="0.2">
      <c r="A1440" s="5">
        <v>1379</v>
      </c>
      <c r="B1440" s="138">
        <f>'Expenditures 15-22'!D275</f>
        <v>48572</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186649</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1981787</v>
      </c>
      <c r="C1446" s="2" t="s">
        <v>594</v>
      </c>
      <c r="D1446" s="2" t="str">
        <f t="shared" si="21"/>
        <v>Error?</v>
      </c>
    </row>
    <row r="1447" spans="1:4" x14ac:dyDescent="0.2">
      <c r="A1447" s="5">
        <v>1386</v>
      </c>
      <c r="B1447" s="138">
        <f>'Expenditures 15-22'!D280</f>
        <v>19107</v>
      </c>
      <c r="D1447" s="2" t="str">
        <f t="shared" si="21"/>
        <v>Error?</v>
      </c>
    </row>
    <row r="1448" spans="1:4" x14ac:dyDescent="0.2">
      <c r="A1448" s="5">
        <v>1387</v>
      </c>
      <c r="B1448" s="138">
        <f>'Expenditures 15-22'!D295</f>
        <v>3082867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137319</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3862</v>
      </c>
      <c r="C1472" s="2" t="s">
        <v>594</v>
      </c>
      <c r="D1472" s="2" t="str">
        <f t="shared" si="22"/>
        <v>Error?</v>
      </c>
    </row>
    <row r="1473" spans="1:4" x14ac:dyDescent="0.2">
      <c r="A1473" s="5">
        <v>1412</v>
      </c>
      <c r="B1473" s="138">
        <f>'Expenditures 15-22'!K224</f>
        <v>6668</v>
      </c>
      <c r="C1473" s="2" t="s">
        <v>594</v>
      </c>
      <c r="D1473" s="2" t="str">
        <f t="shared" si="22"/>
        <v>Error?</v>
      </c>
    </row>
    <row r="1474" spans="1:4" x14ac:dyDescent="0.2">
      <c r="A1474" s="5">
        <v>1413</v>
      </c>
      <c r="B1474" s="138">
        <f>'Expenditures 15-22'!K229</f>
        <v>1081973</v>
      </c>
      <c r="C1474" s="2" t="s">
        <v>594</v>
      </c>
      <c r="D1474" s="2" t="str">
        <f t="shared" si="22"/>
        <v>Error?</v>
      </c>
    </row>
    <row r="1475" spans="1:4" x14ac:dyDescent="0.2">
      <c r="A1475" s="5">
        <v>1414</v>
      </c>
      <c r="B1475" s="138">
        <f>'Expenditures 15-22'!K232</f>
        <v>26071</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242178</v>
      </c>
      <c r="C1477" s="2" t="s">
        <v>594</v>
      </c>
      <c r="D1477" s="2" t="str">
        <f t="shared" si="22"/>
        <v>Error?</v>
      </c>
    </row>
    <row r="1478" spans="1:4" x14ac:dyDescent="0.2">
      <c r="A1478" s="5">
        <v>1417</v>
      </c>
      <c r="B1478" s="138">
        <f>'Expenditures 15-22'!K235</f>
        <v>13388</v>
      </c>
      <c r="C1478" s="2" t="s">
        <v>594</v>
      </c>
      <c r="D1478" s="2" t="str">
        <f t="shared" si="22"/>
        <v>Error?</v>
      </c>
    </row>
    <row r="1479" spans="1:4" x14ac:dyDescent="0.2">
      <c r="A1479" s="5">
        <v>1418</v>
      </c>
      <c r="B1479" s="138">
        <f>'Expenditures 15-22'!K236</f>
        <v>18767</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300404</v>
      </c>
      <c r="C1481" s="2" t="s">
        <v>594</v>
      </c>
      <c r="D1481" s="2" t="str">
        <f t="shared" si="22"/>
        <v>Error?</v>
      </c>
    </row>
    <row r="1482" spans="1:4" x14ac:dyDescent="0.2">
      <c r="A1482" s="5">
        <v>1421</v>
      </c>
      <c r="B1482" s="138">
        <f>'Expenditures 15-22'!K240</f>
        <v>49893</v>
      </c>
      <c r="C1482" s="2" t="s">
        <v>594</v>
      </c>
      <c r="D1482" s="2" t="str">
        <f t="shared" si="22"/>
        <v>Error?</v>
      </c>
    </row>
    <row r="1483" spans="1:4" x14ac:dyDescent="0.2">
      <c r="A1483" s="5">
        <v>1422</v>
      </c>
      <c r="B1483" s="138">
        <f>'Expenditures 15-22'!K241</f>
        <v>102599</v>
      </c>
      <c r="C1483" s="2" t="s">
        <v>594</v>
      </c>
      <c r="D1483" s="2" t="str">
        <f t="shared" si="22"/>
        <v>Error?</v>
      </c>
    </row>
    <row r="1484" spans="1:4" x14ac:dyDescent="0.2">
      <c r="A1484" s="5">
        <v>1423</v>
      </c>
      <c r="B1484" s="138">
        <f>'Expenditures 15-22'!K242</f>
        <v>2270</v>
      </c>
      <c r="C1484" s="2" t="s">
        <v>594</v>
      </c>
      <c r="D1484" s="2" t="str">
        <f t="shared" si="22"/>
        <v>Error?</v>
      </c>
    </row>
    <row r="1485" spans="1:4" x14ac:dyDescent="0.2">
      <c r="A1485" s="5">
        <v>1424</v>
      </c>
      <c r="B1485" s="138">
        <f>'Expenditures 15-22'!K243</f>
        <v>154762</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17659</v>
      </c>
      <c r="C1487" s="2" t="s">
        <v>594</v>
      </c>
      <c r="D1487" s="2" t="str">
        <f t="shared" si="22"/>
        <v>Error?</v>
      </c>
    </row>
    <row r="1488" spans="1:4" x14ac:dyDescent="0.2">
      <c r="A1488" s="5">
        <v>1427</v>
      </c>
      <c r="B1488" s="138">
        <f>'Expenditures 15-22'!K257</f>
        <v>57014</v>
      </c>
      <c r="C1488" s="2" t="s">
        <v>594</v>
      </c>
      <c r="D1488" s="2" t="str">
        <f t="shared" si="22"/>
        <v>Error?</v>
      </c>
    </row>
    <row r="1489" spans="1:4" x14ac:dyDescent="0.2">
      <c r="A1489" s="5">
        <v>1428</v>
      </c>
      <c r="B1489" s="138">
        <f>'Expenditures 15-22'!K259</f>
        <v>180151</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180151</v>
      </c>
      <c r="C1491" s="2" t="s">
        <v>594</v>
      </c>
      <c r="D1491" s="2" t="str">
        <f t="shared" si="22"/>
        <v>Error?</v>
      </c>
    </row>
    <row r="1492" spans="1:4" x14ac:dyDescent="0.2">
      <c r="A1492" s="5">
        <v>1431</v>
      </c>
      <c r="B1492" s="138">
        <f>'Expenditures 15-22'!K263</f>
        <v>100926</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924612</v>
      </c>
      <c r="C1495" s="2" t="s">
        <v>594</v>
      </c>
      <c r="D1495" s="2" t="str">
        <f t="shared" si="22"/>
        <v>Error?</v>
      </c>
    </row>
    <row r="1496" spans="1:4" x14ac:dyDescent="0.2">
      <c r="A1496" s="5">
        <v>1435</v>
      </c>
      <c r="B1496" s="138">
        <f>'Expenditures 15-22'!K267</f>
        <v>15092</v>
      </c>
      <c r="C1496" s="2" t="s">
        <v>594</v>
      </c>
      <c r="D1496" s="2" t="str">
        <f t="shared" si="22"/>
        <v>Error?</v>
      </c>
    </row>
    <row r="1497" spans="1:4" x14ac:dyDescent="0.2">
      <c r="A1497" s="5">
        <v>1436</v>
      </c>
      <c r="B1497" s="138">
        <f>'Expenditures 15-22'!K268</f>
        <v>19832</v>
      </c>
      <c r="C1497" s="2" t="s">
        <v>594</v>
      </c>
      <c r="D1497" s="2" t="str">
        <f t="shared" si="22"/>
        <v>Error?</v>
      </c>
    </row>
    <row r="1498" spans="1:4" x14ac:dyDescent="0.2">
      <c r="A1498" s="5">
        <v>1437</v>
      </c>
      <c r="B1498" s="138">
        <f>'Expenditures 15-22'!K269</f>
        <v>42345</v>
      </c>
      <c r="C1498" s="2" t="s">
        <v>594</v>
      </c>
      <c r="D1498" s="2" t="str">
        <f t="shared" si="22"/>
        <v>Error?</v>
      </c>
    </row>
    <row r="1499" spans="1:4" x14ac:dyDescent="0.2">
      <c r="A1499" s="10">
        <v>1438</v>
      </c>
      <c r="D1499" s="2" t="str">
        <f t="shared" si="22"/>
        <v>OK</v>
      </c>
    </row>
    <row r="1500" spans="1:4" x14ac:dyDescent="0.2">
      <c r="A1500" s="5">
        <v>1439</v>
      </c>
      <c r="B1500" s="138">
        <f>'Expenditures 15-22'!K270</f>
        <v>1102807</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138077</v>
      </c>
      <c r="C1503" s="2" t="s">
        <v>594</v>
      </c>
      <c r="D1503" s="2" t="str">
        <f t="shared" si="22"/>
        <v>Error?</v>
      </c>
    </row>
    <row r="1504" spans="1:4" x14ac:dyDescent="0.2">
      <c r="A1504" s="5">
        <v>1443</v>
      </c>
      <c r="B1504" s="138">
        <f>'Expenditures 15-22'!K275</f>
        <v>48572</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186649</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1981787</v>
      </c>
      <c r="C1510" s="2" t="s">
        <v>594</v>
      </c>
      <c r="D1510" s="2" t="str">
        <f t="shared" si="22"/>
        <v>Error?</v>
      </c>
    </row>
    <row r="1511" spans="1:4" x14ac:dyDescent="0.2">
      <c r="A1511" s="5">
        <v>1450</v>
      </c>
      <c r="B1511" s="138">
        <f>'Expenditures 15-22'!K280</f>
        <v>19107</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3082867</v>
      </c>
      <c r="C1517" s="2" t="s">
        <v>594</v>
      </c>
      <c r="D1517" s="2" t="str">
        <f t="shared" si="22"/>
        <v>Error?</v>
      </c>
    </row>
    <row r="1518" spans="1:4" x14ac:dyDescent="0.2">
      <c r="A1518" s="5">
        <v>1457</v>
      </c>
      <c r="B1518" s="138">
        <f>'Expenditures 15-22'!K296</f>
        <v>160148</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6327</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6327</v>
      </c>
      <c r="C1535" s="2" t="s">
        <v>594</v>
      </c>
      <c r="D1535" s="2" t="str">
        <f t="shared" ref="D1535:D1598" si="23">IF(ISBLANK(B1535),"OK",IF(A1535-B1535=0,"OK","Error?"))</f>
        <v>Error?</v>
      </c>
    </row>
    <row r="1536" spans="1:4" x14ac:dyDescent="0.2">
      <c r="A1536" s="5">
        <v>1475</v>
      </c>
      <c r="B1536" s="138">
        <f>'Expenditures 15-22'!E312</f>
        <v>6327</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477721</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477721</v>
      </c>
      <c r="C1547" s="2" t="s">
        <v>594</v>
      </c>
      <c r="D1547" s="2" t="str">
        <f t="shared" si="23"/>
        <v>Error?</v>
      </c>
    </row>
    <row r="1548" spans="1:4" x14ac:dyDescent="0.2">
      <c r="A1548" s="5">
        <v>1487</v>
      </c>
      <c r="B1548" s="138">
        <f>'Expenditures 15-22'!G312</f>
        <v>477721</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484048</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484048</v>
      </c>
      <c r="C1559" s="2" t="s">
        <v>594</v>
      </c>
      <c r="D1559" s="2" t="str">
        <f t="shared" si="23"/>
        <v>Error?</v>
      </c>
    </row>
    <row r="1560" spans="1:4" x14ac:dyDescent="0.2">
      <c r="A1560" s="5">
        <v>1499</v>
      </c>
      <c r="B1560" s="138">
        <f>'Expenditures 15-22'!K312</f>
        <v>484048</v>
      </c>
      <c r="C1560" s="2" t="s">
        <v>594</v>
      </c>
      <c r="D1560" s="2" t="str">
        <f t="shared" si="23"/>
        <v>Error?</v>
      </c>
    </row>
    <row r="1561" spans="1:4" x14ac:dyDescent="0.2">
      <c r="A1561" s="5">
        <v>1500</v>
      </c>
      <c r="B1561" s="138">
        <f>'Expenditures 15-22'!K313</f>
        <v>-480489</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-19626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13789195</v>
      </c>
      <c r="C1630" s="2" t="s">
        <v>594</v>
      </c>
      <c r="D1630" s="2" t="str">
        <f t="shared" si="24"/>
        <v>Error?</v>
      </c>
    </row>
    <row r="1631" spans="1:4" x14ac:dyDescent="0.2">
      <c r="A1631" s="5">
        <v>1570</v>
      </c>
      <c r="B1631" s="138">
        <f>'Acct Summary 7-8'!D79</f>
        <v>5199370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4717076</v>
      </c>
      <c r="C1644" s="2" t="s">
        <v>594</v>
      </c>
      <c r="D1644" s="2" t="str">
        <f t="shared" si="24"/>
        <v>Error?</v>
      </c>
    </row>
    <row r="1645" spans="1:4" x14ac:dyDescent="0.2">
      <c r="A1645" s="5">
        <v>1584</v>
      </c>
      <c r="B1645" s="138">
        <f>'Acct Summary 7-8'!E79</f>
        <v>2686698</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2851126</v>
      </c>
      <c r="C1658" s="2" t="s">
        <v>594</v>
      </c>
      <c r="D1658" s="2" t="str">
        <f t="shared" si="24"/>
        <v>Error?</v>
      </c>
    </row>
    <row r="1659" spans="1:4" x14ac:dyDescent="0.2">
      <c r="A1659" s="5">
        <v>1598</v>
      </c>
      <c r="B1659" s="138">
        <f>'Acct Summary 7-8'!F79</f>
        <v>4190975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1833453</v>
      </c>
      <c r="C1672" s="2" t="s">
        <v>594</v>
      </c>
      <c r="D1672" s="2" t="str">
        <f t="shared" si="25"/>
        <v>Error?</v>
      </c>
    </row>
    <row r="1673" spans="1:4" x14ac:dyDescent="0.2">
      <c r="A1673" s="5">
        <v>1612</v>
      </c>
      <c r="B1673" s="138">
        <f>'Acct Summary 7-8'!G79</f>
        <v>2938895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3099043</v>
      </c>
      <c r="C1686" s="2" t="s">
        <v>594</v>
      </c>
      <c r="D1686" s="2" t="str">
        <f t="shared" si="25"/>
        <v>Error?</v>
      </c>
    </row>
    <row r="1687" spans="1:4" x14ac:dyDescent="0.2">
      <c r="A1687" s="5">
        <v>1626</v>
      </c>
      <c r="B1687" s="138">
        <f>'Acct Summary 7-8'!H79</f>
        <v>696372</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215883</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56819826</v>
      </c>
      <c r="C1744" s="2" t="s">
        <v>594</v>
      </c>
      <c r="D1744" s="2" t="str">
        <f t="shared" si="26"/>
        <v>Error?</v>
      </c>
    </row>
    <row r="1745" spans="1:5" x14ac:dyDescent="0.2">
      <c r="A1745" s="5">
        <v>1684</v>
      </c>
      <c r="B1745" s="138">
        <f>'Tax Sched 23'!B5</f>
        <v>7113169</v>
      </c>
      <c r="C1745" s="2" t="s">
        <v>594</v>
      </c>
      <c r="D1745" s="2" t="str">
        <f t="shared" si="26"/>
        <v>Error?</v>
      </c>
    </row>
    <row r="1746" spans="1:5" x14ac:dyDescent="0.2">
      <c r="A1746" s="5">
        <v>1685</v>
      </c>
      <c r="B1746" s="138">
        <f>'Tax Sched 23'!B6</f>
        <v>4927610</v>
      </c>
      <c r="C1746" s="2" t="s">
        <v>594</v>
      </c>
      <c r="D1746" s="2" t="str">
        <f t="shared" si="26"/>
        <v>Error?</v>
      </c>
    </row>
    <row r="1747" spans="1:5" x14ac:dyDescent="0.2">
      <c r="A1747" s="5">
        <v>1686</v>
      </c>
      <c r="B1747" s="138">
        <f>'Tax Sched 23'!B7</f>
        <v>8093392</v>
      </c>
      <c r="C1747" s="2" t="s">
        <v>594</v>
      </c>
      <c r="D1747" s="2" t="str">
        <f t="shared" si="26"/>
        <v>Error?</v>
      </c>
    </row>
    <row r="1748" spans="1:5" x14ac:dyDescent="0.2">
      <c r="A1748" s="5">
        <v>1687</v>
      </c>
      <c r="B1748" s="138">
        <f>'Tax Sched 23'!B8</f>
        <v>952047</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853891</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6285600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87164400</v>
      </c>
      <c r="C1759" s="2" t="s">
        <v>594</v>
      </c>
      <c r="D1759" s="2" t="str">
        <f t="shared" si="26"/>
        <v>Error?</v>
      </c>
    </row>
    <row r="1760" spans="1:5" x14ac:dyDescent="0.2">
      <c r="A1760" s="5">
        <v>1699</v>
      </c>
      <c r="B1760" s="138">
        <f>'Tax Sched 23'!D4</f>
        <v>56819826</v>
      </c>
      <c r="C1760" s="2" t="s">
        <v>594</v>
      </c>
      <c r="D1760" s="2" t="str">
        <f t="shared" si="26"/>
        <v>Error?</v>
      </c>
    </row>
    <row r="1761" spans="1:5" x14ac:dyDescent="0.2">
      <c r="A1761" s="5">
        <v>1700</v>
      </c>
      <c r="B1761" s="138">
        <f>'Tax Sched 23'!D5</f>
        <v>7113169</v>
      </c>
      <c r="C1761" s="2" t="s">
        <v>594</v>
      </c>
      <c r="D1761" s="2" t="str">
        <f t="shared" si="26"/>
        <v>Error?</v>
      </c>
    </row>
    <row r="1762" spans="1:5" s="8" customFormat="1" x14ac:dyDescent="0.2">
      <c r="A1762" s="5">
        <v>1701</v>
      </c>
      <c r="B1762" s="138">
        <f>'Tax Sched 23'!D6</f>
        <v>4927610</v>
      </c>
      <c r="C1762" s="2" t="s">
        <v>594</v>
      </c>
      <c r="D1762" s="2" t="str">
        <f t="shared" si="26"/>
        <v>Error?</v>
      </c>
      <c r="E1762" s="9"/>
    </row>
    <row r="1763" spans="1:5" x14ac:dyDescent="0.2">
      <c r="A1763" s="5">
        <v>1702</v>
      </c>
      <c r="B1763" s="138">
        <f>'Tax Sched 23'!D7</f>
        <v>8093392</v>
      </c>
      <c r="C1763" s="2" t="s">
        <v>594</v>
      </c>
      <c r="D1763" s="2" t="str">
        <f t="shared" si="26"/>
        <v>Error?</v>
      </c>
    </row>
    <row r="1764" spans="1:5" x14ac:dyDescent="0.2">
      <c r="A1764" s="5">
        <v>1703</v>
      </c>
      <c r="B1764" s="138">
        <f>'Tax Sched 23'!D8</f>
        <v>952047</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853891</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6285600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87164400</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62067400</v>
      </c>
      <c r="C1792" s="2" t="s">
        <v>594</v>
      </c>
      <c r="D1792" s="2" t="str">
        <f t="shared" si="27"/>
        <v>Error?</v>
      </c>
    </row>
    <row r="1793" spans="1:4" x14ac:dyDescent="0.2">
      <c r="A1793" s="5">
        <v>1732</v>
      </c>
      <c r="B1793" s="138">
        <f>'Tax Sched 23'!F5</f>
        <v>7725000</v>
      </c>
      <c r="C1793" s="2" t="s">
        <v>594</v>
      </c>
      <c r="D1793" s="2" t="str">
        <f t="shared" si="27"/>
        <v>Error?</v>
      </c>
    </row>
    <row r="1794" spans="1:4" x14ac:dyDescent="0.2">
      <c r="A1794" s="5">
        <v>1733</v>
      </c>
      <c r="B1794" s="138">
        <f>'Tax Sched 23'!F6</f>
        <v>5065756</v>
      </c>
      <c r="C1794" s="2" t="s">
        <v>594</v>
      </c>
      <c r="D1794" s="2" t="str">
        <f t="shared" si="27"/>
        <v>Error?</v>
      </c>
    </row>
    <row r="1795" spans="1:4" x14ac:dyDescent="0.2">
      <c r="A1795" s="5">
        <v>1734</v>
      </c>
      <c r="B1795" s="138">
        <f>'Tax Sched 23'!F7</f>
        <v>5150000</v>
      </c>
      <c r="C1795" s="2" t="s">
        <v>594</v>
      </c>
      <c r="D1795" s="2" t="str">
        <f t="shared" si="27"/>
        <v>Error?</v>
      </c>
    </row>
    <row r="1796" spans="1:4" x14ac:dyDescent="0.2">
      <c r="A1796" s="5">
        <v>1735</v>
      </c>
      <c r="B1796" s="138">
        <f>'Tax Sched 23'!F8</f>
        <v>1030000</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927000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6695000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90926156</v>
      </c>
      <c r="C1807" s="2" t="s">
        <v>594</v>
      </c>
      <c r="D1807" s="2" t="str">
        <f t="shared" si="27"/>
        <v>Error?</v>
      </c>
    </row>
    <row r="1808" spans="1:4" x14ac:dyDescent="0.2">
      <c r="A1808" s="5">
        <v>1747</v>
      </c>
      <c r="B1808" s="138">
        <f>'Tax Sched 23'!E4</f>
        <v>62067400</v>
      </c>
      <c r="D1808" s="2" t="str">
        <f t="shared" si="27"/>
        <v>Error?</v>
      </c>
    </row>
    <row r="1809" spans="1:4" x14ac:dyDescent="0.2">
      <c r="A1809" s="5">
        <v>1748</v>
      </c>
      <c r="B1809" s="138">
        <f>'Tax Sched 23'!E5</f>
        <v>7725000</v>
      </c>
      <c r="D1809" s="2" t="str">
        <f t="shared" si="27"/>
        <v>Error?</v>
      </c>
    </row>
    <row r="1810" spans="1:4" x14ac:dyDescent="0.2">
      <c r="A1810" s="5">
        <v>1749</v>
      </c>
      <c r="B1810" s="138">
        <f>'Tax Sched 23'!E6</f>
        <v>5065756</v>
      </c>
      <c r="D1810" s="2" t="str">
        <f t="shared" si="27"/>
        <v>Error?</v>
      </c>
    </row>
    <row r="1811" spans="1:4" x14ac:dyDescent="0.2">
      <c r="A1811" s="5">
        <v>1750</v>
      </c>
      <c r="B1811" s="138">
        <f>'Tax Sched 23'!E7</f>
        <v>5150000</v>
      </c>
      <c r="D1811" s="2" t="str">
        <f t="shared" si="27"/>
        <v>Error?</v>
      </c>
    </row>
    <row r="1812" spans="1:4" x14ac:dyDescent="0.2">
      <c r="A1812" s="5">
        <v>1751</v>
      </c>
      <c r="B1812" s="138">
        <f>'Tax Sched 23'!E8</f>
        <v>1030000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927000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6695000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90926156</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34337282</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6285600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6285600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6285600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1965066</v>
      </c>
      <c r="D2008" s="2" t="str">
        <f t="shared" si="30"/>
        <v>Error?</v>
      </c>
    </row>
    <row r="2009" spans="1:4" x14ac:dyDescent="0.2">
      <c r="A2009" s="5">
        <v>1948</v>
      </c>
      <c r="B2009" s="138">
        <f>'Cap Outlay Deprec 26'!C8</f>
        <v>96482896</v>
      </c>
      <c r="D2009" s="2" t="str">
        <f t="shared" si="30"/>
        <v>Error?</v>
      </c>
    </row>
    <row r="2010" spans="1:4" x14ac:dyDescent="0.2">
      <c r="A2010" s="5">
        <v>1949</v>
      </c>
      <c r="B2010" s="138">
        <f>'Cap Outlay Deprec 26'!C10</f>
        <v>3764581</v>
      </c>
      <c r="D2010" s="2" t="str">
        <f t="shared" si="30"/>
        <v>Error?</v>
      </c>
    </row>
    <row r="2011" spans="1:4" x14ac:dyDescent="0.2">
      <c r="A2011" s="5">
        <v>1950</v>
      </c>
      <c r="B2011" s="138">
        <f>'Cap Outlay Deprec 26'!C12</f>
        <v>21692869</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123905412</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555408</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1718557</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2273965</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1965066</v>
      </c>
      <c r="C2026" s="2" t="s">
        <v>594</v>
      </c>
      <c r="D2026" s="2" t="str">
        <f t="shared" si="30"/>
        <v>Error?</v>
      </c>
    </row>
    <row r="2027" spans="1:4" x14ac:dyDescent="0.2">
      <c r="A2027" s="5">
        <v>1966</v>
      </c>
      <c r="B2027" s="138">
        <f>'Cap Outlay Deprec 26'!F8</f>
        <v>97038304</v>
      </c>
      <c r="C2027" s="2" t="s">
        <v>594</v>
      </c>
      <c r="D2027" s="2" t="str">
        <f t="shared" si="30"/>
        <v>Error?</v>
      </c>
    </row>
    <row r="2028" spans="1:4" x14ac:dyDescent="0.2">
      <c r="A2028" s="5">
        <v>1967</v>
      </c>
      <c r="B2028" s="138">
        <f>'Cap Outlay Deprec 26'!F10</f>
        <v>3764581</v>
      </c>
      <c r="C2028" s="2" t="s">
        <v>594</v>
      </c>
      <c r="D2028" s="2" t="str">
        <f t="shared" si="30"/>
        <v>Error?</v>
      </c>
    </row>
    <row r="2029" spans="1:4" x14ac:dyDescent="0.2">
      <c r="A2029" s="5">
        <v>1968</v>
      </c>
      <c r="B2029" s="138">
        <f>'Cap Outlay Deprec 26'!F12</f>
        <v>23411426</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126179377</v>
      </c>
      <c r="C2031" s="2" t="s">
        <v>594</v>
      </c>
      <c r="D2031" s="2" t="str">
        <f t="shared" si="30"/>
        <v>Error?</v>
      </c>
    </row>
    <row r="2032" spans="1:4" x14ac:dyDescent="0.2">
      <c r="A2032" s="10">
        <v>1971</v>
      </c>
      <c r="D2032" s="2" t="str">
        <f t="shared" si="30"/>
        <v>OK</v>
      </c>
    </row>
    <row r="2033" spans="1:4" x14ac:dyDescent="0.2">
      <c r="A2033" s="5">
        <v>1972</v>
      </c>
      <c r="B2033" s="138">
        <f>'Cap Outlay Deprec 26'!H8</f>
        <v>45932507</v>
      </c>
      <c r="D2033" s="2" t="str">
        <f t="shared" si="30"/>
        <v>Error?</v>
      </c>
    </row>
    <row r="2034" spans="1:4" x14ac:dyDescent="0.2">
      <c r="A2034" s="5">
        <v>1973</v>
      </c>
      <c r="B2034" s="138">
        <f>'Cap Outlay Deprec 26'!H10</f>
        <v>3902226</v>
      </c>
      <c r="D2034" s="2" t="str">
        <f t="shared" si="30"/>
        <v>Error?</v>
      </c>
    </row>
    <row r="2035" spans="1:4" x14ac:dyDescent="0.2">
      <c r="A2035" s="5">
        <v>1974</v>
      </c>
      <c r="B2035" s="138">
        <f>'Cap Outlay Deprec 26'!H12</f>
        <v>21407236</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71241969</v>
      </c>
      <c r="C2037" s="2" t="s">
        <v>594</v>
      </c>
      <c r="D2037" s="2" t="str">
        <f t="shared" si="30"/>
        <v>Error?</v>
      </c>
    </row>
    <row r="2038" spans="1:4" x14ac:dyDescent="0.2">
      <c r="A2038" s="10">
        <v>1977</v>
      </c>
      <c r="D2038" s="2" t="str">
        <f t="shared" si="30"/>
        <v>OK</v>
      </c>
    </row>
    <row r="2039" spans="1:4" x14ac:dyDescent="0.2">
      <c r="A2039" s="5">
        <v>1978</v>
      </c>
      <c r="B2039" s="138">
        <f>'Cap Outlay Deprec 26'!I8</f>
        <v>1936561</v>
      </c>
      <c r="D2039" s="2" t="str">
        <f t="shared" si="30"/>
        <v>Error?</v>
      </c>
    </row>
    <row r="2040" spans="1:4" x14ac:dyDescent="0.2">
      <c r="A2040" s="5">
        <v>1979</v>
      </c>
      <c r="B2040" s="138">
        <f>'Cap Outlay Deprec 26'!I10</f>
        <v>-137645</v>
      </c>
      <c r="D2040" s="2" t="str">
        <f t="shared" si="30"/>
        <v>Error?</v>
      </c>
    </row>
    <row r="2041" spans="1:4" x14ac:dyDescent="0.2">
      <c r="A2041" s="5">
        <v>1980</v>
      </c>
      <c r="B2041" s="138">
        <f>'Cap Outlay Deprec 26'!I12</f>
        <v>470814</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2269730</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47869068</v>
      </c>
      <c r="C2051" s="2" t="s">
        <v>594</v>
      </c>
      <c r="D2051" s="2" t="str">
        <f t="shared" si="31"/>
        <v>Error?</v>
      </c>
    </row>
    <row r="2052" spans="1:4" x14ac:dyDescent="0.2">
      <c r="A2052" s="5">
        <v>1991</v>
      </c>
      <c r="B2052" s="138">
        <f>'Cap Outlay Deprec 26'!K10</f>
        <v>3764581</v>
      </c>
      <c r="C2052" s="2" t="s">
        <v>594</v>
      </c>
      <c r="D2052" s="2" t="str">
        <f t="shared" si="31"/>
        <v>Error?</v>
      </c>
    </row>
    <row r="2053" spans="1:4" x14ac:dyDescent="0.2">
      <c r="A2053" s="5">
        <v>1992</v>
      </c>
      <c r="B2053" s="138">
        <f>'Cap Outlay Deprec 26'!K12</f>
        <v>21878050</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73511699</v>
      </c>
      <c r="C2055" s="2" t="s">
        <v>594</v>
      </c>
      <c r="D2055" s="2" t="str">
        <f t="shared" si="31"/>
        <v>Error?</v>
      </c>
    </row>
    <row r="2056" spans="1:4" x14ac:dyDescent="0.2">
      <c r="A2056" s="5">
        <v>1995</v>
      </c>
      <c r="B2056" s="138">
        <f>'Cap Outlay Deprec 26'!L5</f>
        <v>1965066</v>
      </c>
      <c r="C2056" s="2" t="s">
        <v>594</v>
      </c>
      <c r="D2056" s="2" t="str">
        <f t="shared" si="31"/>
        <v>Error?</v>
      </c>
    </row>
    <row r="2057" spans="1:4" x14ac:dyDescent="0.2">
      <c r="A2057" s="5">
        <v>1996</v>
      </c>
      <c r="B2057" s="138">
        <f>'Cap Outlay Deprec 26'!L8</f>
        <v>49169236</v>
      </c>
      <c r="C2057" s="2" t="s">
        <v>594</v>
      </c>
      <c r="D2057" s="2" t="str">
        <f t="shared" si="31"/>
        <v>Error?</v>
      </c>
    </row>
    <row r="2058" spans="1:4" x14ac:dyDescent="0.2">
      <c r="A2058" s="5">
        <v>1997</v>
      </c>
      <c r="B2058" s="138">
        <f>'Cap Outlay Deprec 26'!L10</f>
        <v>0</v>
      </c>
      <c r="C2058" s="2" t="s">
        <v>594</v>
      </c>
      <c r="D2058" s="2" t="str">
        <f t="shared" si="31"/>
        <v>Error?</v>
      </c>
    </row>
    <row r="2059" spans="1:4" x14ac:dyDescent="0.2">
      <c r="A2059" s="5">
        <v>1998</v>
      </c>
      <c r="B2059" s="138">
        <f>'Cap Outlay Deprec 26'!L12</f>
        <v>1533376</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52667678</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18432</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213858</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8012039</v>
      </c>
      <c r="D2435" s="2" t="str">
        <f t="shared" si="37"/>
        <v>Error?</v>
      </c>
    </row>
    <row r="2436" spans="1:4" x14ac:dyDescent="0.2">
      <c r="A2436" s="10">
        <v>2375</v>
      </c>
      <c r="D2436" s="2" t="str">
        <f t="shared" si="37"/>
        <v>OK</v>
      </c>
    </row>
    <row r="2437" spans="1:4" x14ac:dyDescent="0.2">
      <c r="A2437" s="5">
        <v>2376</v>
      </c>
      <c r="B2437" s="138">
        <f>'Assets-Liab 5-6'!D38</f>
        <v>283458</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1569</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66825288</v>
      </c>
      <c r="C2551" s="2" t="s">
        <v>594</v>
      </c>
      <c r="D2551" s="2" t="str">
        <f t="shared" si="38"/>
        <v>Error?</v>
      </c>
    </row>
    <row r="2552" spans="1:4" x14ac:dyDescent="0.2">
      <c r="A2552" s="10">
        <v>2491</v>
      </c>
      <c r="D2552" s="2" t="str">
        <f t="shared" si="38"/>
        <v>OK</v>
      </c>
    </row>
    <row r="2553" spans="1:4" x14ac:dyDescent="0.2">
      <c r="A2553" s="5">
        <v>2492</v>
      </c>
      <c r="B2553" s="138">
        <f>'Acct Summary 7-8'!C6</f>
        <v>14282594</v>
      </c>
      <c r="C2553" s="2" t="s">
        <v>594</v>
      </c>
      <c r="D2553" s="2" t="str">
        <f t="shared" si="38"/>
        <v>Error?</v>
      </c>
    </row>
    <row r="2554" spans="1:4" x14ac:dyDescent="0.2">
      <c r="A2554" s="5">
        <v>2493</v>
      </c>
      <c r="B2554" s="138">
        <f>'Acct Summary 7-8'!C7</f>
        <v>6807404</v>
      </c>
      <c r="C2554" s="2" t="s">
        <v>594</v>
      </c>
      <c r="D2554" s="2" t="str">
        <f t="shared" si="38"/>
        <v>Error?</v>
      </c>
    </row>
    <row r="2555" spans="1:4" x14ac:dyDescent="0.2">
      <c r="A2555" s="5">
        <v>2494</v>
      </c>
      <c r="B2555" s="138">
        <f>'Acct Summary 7-8'!C8</f>
        <v>87915286</v>
      </c>
      <c r="C2555" s="2" t="s">
        <v>594</v>
      </c>
      <c r="D2555" s="2" t="str">
        <f t="shared" si="38"/>
        <v>Error?</v>
      </c>
    </row>
    <row r="2556" spans="1:4" x14ac:dyDescent="0.2">
      <c r="A2556" s="5">
        <v>2495</v>
      </c>
      <c r="B2556" s="138">
        <f>'Acct Summary 7-8'!C12</f>
        <v>55815659</v>
      </c>
      <c r="C2556" s="2" t="s">
        <v>594</v>
      </c>
      <c r="D2556" s="2" t="str">
        <f t="shared" si="38"/>
        <v>Error?</v>
      </c>
    </row>
    <row r="2557" spans="1:4" x14ac:dyDescent="0.2">
      <c r="A2557" s="5">
        <v>2496</v>
      </c>
      <c r="B2557" s="138">
        <f>'Acct Summary 7-8'!C13</f>
        <v>25266716</v>
      </c>
      <c r="C2557" s="2" t="s">
        <v>594</v>
      </c>
      <c r="D2557" s="2" t="str">
        <f t="shared" si="38"/>
        <v>Error?</v>
      </c>
    </row>
    <row r="2558" spans="1:4" x14ac:dyDescent="0.2">
      <c r="A2558" s="5">
        <v>2497</v>
      </c>
      <c r="B2558" s="138">
        <f>'Acct Summary 7-8'!C14</f>
        <v>241355</v>
      </c>
      <c r="C2558" s="2" t="s">
        <v>594</v>
      </c>
      <c r="D2558" s="2" t="str">
        <f t="shared" si="38"/>
        <v>Error?</v>
      </c>
    </row>
    <row r="2559" spans="1:4" x14ac:dyDescent="0.2">
      <c r="A2559" s="5">
        <v>2498</v>
      </c>
      <c r="B2559" s="138">
        <f>'Acct Summary 7-8'!C15</f>
        <v>213858</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81537588</v>
      </c>
      <c r="C2561" s="2" t="s">
        <v>594</v>
      </c>
      <c r="D2561" s="2" t="str">
        <f t="shared" si="39"/>
        <v>Error?</v>
      </c>
    </row>
    <row r="2562" spans="1:4" x14ac:dyDescent="0.2">
      <c r="A2562" s="5">
        <v>2501</v>
      </c>
      <c r="B2562" s="138">
        <f>'Acct Summary 7-8'!C20</f>
        <v>6377698</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7255727</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7255727</v>
      </c>
      <c r="C2568" s="2" t="s">
        <v>594</v>
      </c>
      <c r="D2568" s="2" t="str">
        <f t="shared" si="39"/>
        <v>Error?</v>
      </c>
    </row>
    <row r="2569" spans="1:4" x14ac:dyDescent="0.2">
      <c r="A2569" s="5">
        <v>2508</v>
      </c>
      <c r="B2569" s="138">
        <f>'Acct Summary 7-8'!D13</f>
        <v>7641843</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7641843</v>
      </c>
      <c r="C2573" s="2" t="s">
        <v>594</v>
      </c>
      <c r="D2573" s="2" t="str">
        <f t="shared" si="39"/>
        <v>Error?</v>
      </c>
    </row>
    <row r="2574" spans="1:4" x14ac:dyDescent="0.2">
      <c r="A2574" s="5">
        <v>2513</v>
      </c>
      <c r="B2574" s="138">
        <f>'Acct Summary 7-8'!D20</f>
        <v>-386116</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8228799</v>
      </c>
      <c r="C2591" s="2" t="s">
        <v>594</v>
      </c>
      <c r="D2591" s="2" t="str">
        <f t="shared" si="39"/>
        <v>Error?</v>
      </c>
    </row>
    <row r="2592" spans="1:4" x14ac:dyDescent="0.2">
      <c r="A2592" s="10">
        <v>2531</v>
      </c>
      <c r="D2592" s="2" t="str">
        <f t="shared" si="39"/>
        <v>OK</v>
      </c>
    </row>
    <row r="2593" spans="1:4" x14ac:dyDescent="0.2">
      <c r="A2593" s="5">
        <v>2532</v>
      </c>
      <c r="B2593" s="138">
        <f>'Acct Summary 7-8'!F6</f>
        <v>1788740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10017539</v>
      </c>
      <c r="C2595" s="2" t="s">
        <v>594</v>
      </c>
      <c r="D2595" s="2" t="str">
        <f t="shared" si="39"/>
        <v>Error?</v>
      </c>
    </row>
    <row r="2596" spans="1:4" x14ac:dyDescent="0.2">
      <c r="A2596" s="5">
        <v>2535</v>
      </c>
      <c r="B2596" s="138">
        <f>'Acct Summary 7-8'!F13</f>
        <v>4375061</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4375061</v>
      </c>
      <c r="C2600" s="2" t="s">
        <v>594</v>
      </c>
      <c r="D2600" s="2" t="str">
        <f t="shared" si="39"/>
        <v>Error?</v>
      </c>
    </row>
    <row r="2601" spans="1:4" x14ac:dyDescent="0.2">
      <c r="A2601" s="5">
        <v>2540</v>
      </c>
      <c r="B2601" s="138">
        <f>'Acct Summary 7-8'!F20</f>
        <v>5642478</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3243015</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3243015</v>
      </c>
      <c r="C2606" s="2" t="s">
        <v>594</v>
      </c>
      <c r="D2606" s="2" t="str">
        <f t="shared" si="39"/>
        <v>Error?</v>
      </c>
    </row>
    <row r="2607" spans="1:4" x14ac:dyDescent="0.2">
      <c r="A2607" s="5">
        <v>2546</v>
      </c>
      <c r="B2607" s="138">
        <f>'Acct Summary 7-8'!G12</f>
        <v>1081973</v>
      </c>
      <c r="C2607" s="2" t="s">
        <v>594</v>
      </c>
      <c r="D2607" s="2" t="str">
        <f t="shared" si="39"/>
        <v>Error?</v>
      </c>
    </row>
    <row r="2608" spans="1:4" x14ac:dyDescent="0.2">
      <c r="A2608" s="5">
        <v>2547</v>
      </c>
      <c r="B2608" s="138">
        <f>'Acct Summary 7-8'!G13</f>
        <v>1981787</v>
      </c>
      <c r="C2608" s="2" t="s">
        <v>594</v>
      </c>
      <c r="D2608" s="2" t="str">
        <f t="shared" si="39"/>
        <v>Error?</v>
      </c>
    </row>
    <row r="2609" spans="1:4" x14ac:dyDescent="0.2">
      <c r="A2609" s="5">
        <v>2548</v>
      </c>
      <c r="B2609" s="138">
        <f>'Acct Summary 7-8'!G14</f>
        <v>19107</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3082867</v>
      </c>
      <c r="C2612" s="2" t="s">
        <v>594</v>
      </c>
      <c r="D2612" s="2" t="str">
        <f t="shared" si="39"/>
        <v>Error?</v>
      </c>
    </row>
    <row r="2613" spans="1:4" x14ac:dyDescent="0.2">
      <c r="A2613" s="5">
        <v>2552</v>
      </c>
      <c r="B2613" s="138">
        <f>'Acct Summary 7-8'!G20</f>
        <v>160148</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4959239</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4959239</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5483588</v>
      </c>
      <c r="C2634" s="2" t="s">
        <v>594</v>
      </c>
      <c r="D2634" s="2" t="str">
        <f t="shared" si="40"/>
        <v>Error?</v>
      </c>
    </row>
    <row r="2635" spans="1:4" x14ac:dyDescent="0.2">
      <c r="A2635" s="5">
        <v>2574</v>
      </c>
      <c r="B2635" s="138">
        <f>'Acct Summary 7-8'!E17</f>
        <v>5483588</v>
      </c>
      <c r="C2635" s="2" t="s">
        <v>594</v>
      </c>
      <c r="D2635" s="2" t="str">
        <f t="shared" si="40"/>
        <v>Error?</v>
      </c>
    </row>
    <row r="2636" spans="1:4" x14ac:dyDescent="0.2">
      <c r="A2636" s="5">
        <v>2575</v>
      </c>
      <c r="B2636" s="138">
        <f>'Acct Summary 7-8'!E20</f>
        <v>-524349</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3559</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3559</v>
      </c>
      <c r="C2658" s="2" t="s">
        <v>594</v>
      </c>
      <c r="D2658" s="2" t="str">
        <f t="shared" si="40"/>
        <v>Error?</v>
      </c>
    </row>
    <row r="2659" spans="1:4" x14ac:dyDescent="0.2">
      <c r="A2659" s="5">
        <v>2598</v>
      </c>
      <c r="B2659" s="138">
        <f>'Acct Summary 7-8'!H13</f>
        <v>484048</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484048</v>
      </c>
      <c r="C2661" s="2" t="s">
        <v>594</v>
      </c>
      <c r="D2661" s="2" t="str">
        <f t="shared" si="40"/>
        <v>Error?</v>
      </c>
    </row>
    <row r="2662" spans="1:4" x14ac:dyDescent="0.2">
      <c r="A2662" s="5">
        <v>2601</v>
      </c>
      <c r="B2662" s="138">
        <f>'Acct Summary 7-8'!H20</f>
        <v>-480489</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540074</v>
      </c>
      <c r="D2718" s="2" t="str">
        <f t="shared" si="41"/>
        <v>Error?</v>
      </c>
    </row>
    <row r="2719" spans="1:4" x14ac:dyDescent="0.2">
      <c r="A2719" s="5">
        <v>2658</v>
      </c>
      <c r="B2719" s="138">
        <f>'Expenditures 15-22'!D51</f>
        <v>117515</v>
      </c>
      <c r="D2719" s="2" t="str">
        <f t="shared" si="41"/>
        <v>Error?</v>
      </c>
    </row>
    <row r="2720" spans="1:4" x14ac:dyDescent="0.2">
      <c r="A2720" s="5">
        <v>2659</v>
      </c>
      <c r="B2720" s="138">
        <f>'Expenditures 15-22'!E51</f>
        <v>1128</v>
      </c>
      <c r="D2720" s="2" t="str">
        <f t="shared" si="41"/>
        <v>Error?</v>
      </c>
    </row>
    <row r="2721" spans="1:4" x14ac:dyDescent="0.2">
      <c r="A2721" s="5">
        <v>2660</v>
      </c>
      <c r="B2721" s="138">
        <f>'Expenditures 15-22'!F51</f>
        <v>10706</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635</v>
      </c>
      <c r="D2723" s="2" t="str">
        <f t="shared" si="41"/>
        <v>Error?</v>
      </c>
    </row>
    <row r="2724" spans="1:4" x14ac:dyDescent="0.2">
      <c r="A2724" s="5">
        <v>2663</v>
      </c>
      <c r="B2724" s="138">
        <f>'Expenditures 15-22'!K51</f>
        <v>674424</v>
      </c>
      <c r="C2724" s="2" t="s">
        <v>594</v>
      </c>
      <c r="D2724" s="2" t="str">
        <f t="shared" si="41"/>
        <v>Error?</v>
      </c>
    </row>
    <row r="2725" spans="1:4" x14ac:dyDescent="0.2">
      <c r="A2725" s="5">
        <v>2664</v>
      </c>
      <c r="B2725" s="138">
        <f>'Expenditures 15-22'!D247</f>
        <v>32893</v>
      </c>
      <c r="D2725" s="2" t="str">
        <f t="shared" si="41"/>
        <v>Error?</v>
      </c>
    </row>
    <row r="2726" spans="1:4" x14ac:dyDescent="0.2">
      <c r="A2726" s="5">
        <v>2665</v>
      </c>
      <c r="B2726" s="138">
        <f>'Expenditures 15-22'!K247</f>
        <v>32893</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195426</v>
      </c>
      <c r="C2789" s="2" t="s">
        <v>594</v>
      </c>
      <c r="D2789" s="2" t="str">
        <f t="shared" si="42"/>
        <v>Error?</v>
      </c>
    </row>
    <row r="2790" spans="1:4" x14ac:dyDescent="0.2">
      <c r="A2790" s="5">
        <v>2729</v>
      </c>
      <c r="B2790" s="138">
        <f>'Expenditures 15-22'!E102</f>
        <v>195426</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3743788</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451554</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3743788</v>
      </c>
      <c r="D2912" s="2" t="str">
        <f t="shared" si="44"/>
        <v>Error?</v>
      </c>
    </row>
    <row r="2913" spans="1:4" x14ac:dyDescent="0.2">
      <c r="A2913" s="5">
        <v>2852</v>
      </c>
      <c r="B2913" s="138">
        <f>'Assets-Liab 5-6'!I41</f>
        <v>3743788</v>
      </c>
      <c r="C2913" s="2" t="s">
        <v>594</v>
      </c>
      <c r="D2913" s="2" t="str">
        <f t="shared" si="44"/>
        <v>Error?</v>
      </c>
    </row>
    <row r="2914" spans="1:4" x14ac:dyDescent="0.2">
      <c r="A2914" s="5">
        <v>2853</v>
      </c>
      <c r="B2914" s="138">
        <f>'Assets-Liab 5-6'!L33</f>
        <v>451554</v>
      </c>
      <c r="D2914" s="2" t="str">
        <f t="shared" si="44"/>
        <v>Error?</v>
      </c>
    </row>
    <row r="2915" spans="1:4" x14ac:dyDescent="0.2">
      <c r="A2915" s="10">
        <v>2854</v>
      </c>
      <c r="D2915" s="2" t="str">
        <f t="shared" si="44"/>
        <v>OK</v>
      </c>
    </row>
    <row r="2916" spans="1:4" x14ac:dyDescent="0.2">
      <c r="A2916" s="5">
        <v>2855</v>
      </c>
      <c r="B2916" s="138">
        <f>'Assets-Liab 5-6'!L34</f>
        <v>451554</v>
      </c>
      <c r="C2916" s="2" t="s">
        <v>594</v>
      </c>
      <c r="D2916" s="2" t="str">
        <f t="shared" si="44"/>
        <v>Error?</v>
      </c>
    </row>
    <row r="2917" spans="1:4" x14ac:dyDescent="0.2">
      <c r="A2917" s="5">
        <v>2856</v>
      </c>
      <c r="B2917" s="138">
        <f>'Assets-Liab 5-6'!L41</f>
        <v>451554</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6000</v>
      </c>
      <c r="D2949" s="2" t="str">
        <f t="shared" si="45"/>
        <v>Error?</v>
      </c>
    </row>
    <row r="2950" spans="1:4" x14ac:dyDescent="0.2">
      <c r="A2950" s="5">
        <v>2889</v>
      </c>
      <c r="B2950" s="138">
        <f>'Expenditures 15-22'!E79</f>
        <v>189426</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18432</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6000</v>
      </c>
      <c r="C2973" s="2" t="s">
        <v>594</v>
      </c>
      <c r="D2973" s="2" t="str">
        <f t="shared" si="45"/>
        <v>Error?</v>
      </c>
    </row>
    <row r="2974" spans="1:4" x14ac:dyDescent="0.2">
      <c r="A2974" s="5">
        <v>2913</v>
      </c>
      <c r="B2974" s="138">
        <f>'Expenditures 15-22'!K79</f>
        <v>207858</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21502</v>
      </c>
      <c r="C3225" s="2" t="s">
        <v>594</v>
      </c>
      <c r="D3225" s="2" t="str">
        <f t="shared" si="49"/>
        <v>Error?</v>
      </c>
    </row>
    <row r="3226" spans="1:4" x14ac:dyDescent="0.2">
      <c r="A3226" s="5">
        <v>3165</v>
      </c>
      <c r="B3226" s="138">
        <f>'Acct Summary 7-8'!I8</f>
        <v>21502</v>
      </c>
      <c r="C3226" s="2" t="s">
        <v>594</v>
      </c>
      <c r="D3226" s="2" t="str">
        <f t="shared" si="49"/>
        <v>Error?</v>
      </c>
    </row>
    <row r="3227" spans="1:4" x14ac:dyDescent="0.2">
      <c r="A3227" s="5">
        <v>3166</v>
      </c>
      <c r="B3227" s="138">
        <f>'Acct Summary 7-8'!I20</f>
        <v>21502</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8000000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568877</v>
      </c>
      <c r="C3231" s="2" t="s">
        <v>594</v>
      </c>
      <c r="D3231" s="2" t="str">
        <f t="shared" si="49"/>
        <v>Error?</v>
      </c>
    </row>
    <row r="3232" spans="1:4" x14ac:dyDescent="0.2">
      <c r="A3232" s="5">
        <v>3171</v>
      </c>
      <c r="B3232" s="138">
        <f>'Acct Summary 7-8'!C77</f>
        <v>7431123</v>
      </c>
      <c r="C3232" s="2" t="s">
        <v>594</v>
      </c>
      <c r="D3232" s="2" t="str">
        <f t="shared" si="49"/>
        <v>Error?</v>
      </c>
    </row>
    <row r="3233" spans="1:4" x14ac:dyDescent="0.2">
      <c r="A3233" s="5">
        <v>3172</v>
      </c>
      <c r="B3233" s="138">
        <f>'Acct Summary 7-8'!C78</f>
        <v>13808821</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23722</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119900</v>
      </c>
      <c r="C3237" s="2" t="s">
        <v>594</v>
      </c>
      <c r="D3237" s="2" t="str">
        <f t="shared" si="49"/>
        <v>Error?</v>
      </c>
    </row>
    <row r="3238" spans="1:4" x14ac:dyDescent="0.2">
      <c r="A3238" s="5">
        <v>3177</v>
      </c>
      <c r="B3238" s="138">
        <f>'Acct Summary 7-8'!D77</f>
        <v>-96178</v>
      </c>
      <c r="C3238" s="2" t="s">
        <v>594</v>
      </c>
      <c r="D3238" s="2" t="str">
        <f t="shared" si="49"/>
        <v>Error?</v>
      </c>
    </row>
    <row r="3239" spans="1:4" x14ac:dyDescent="0.2">
      <c r="A3239" s="5">
        <v>3178</v>
      </c>
      <c r="B3239" s="138">
        <f>'Acct Summary 7-8'!D78</f>
        <v>-482294</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8000000</v>
      </c>
      <c r="C3254" s="2" t="s">
        <v>594</v>
      </c>
      <c r="D3254" s="2" t="str">
        <f t="shared" si="49"/>
        <v>Error?</v>
      </c>
    </row>
    <row r="3255" spans="1:4" x14ac:dyDescent="0.2">
      <c r="A3255" s="5">
        <v>3194</v>
      </c>
      <c r="B3255" s="138">
        <f>'Acct Summary 7-8'!F77</f>
        <v>-8000000</v>
      </c>
      <c r="C3255" s="2" t="s">
        <v>594</v>
      </c>
      <c r="D3255" s="2" t="str">
        <f t="shared" si="49"/>
        <v>Error?</v>
      </c>
    </row>
    <row r="3256" spans="1:4" x14ac:dyDescent="0.2">
      <c r="A3256" s="5">
        <v>3195</v>
      </c>
      <c r="B3256" s="138">
        <f>'Acct Summary 7-8'!F78</f>
        <v>-2357522</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160148</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688777</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688777</v>
      </c>
      <c r="C3277" s="2" t="s">
        <v>594</v>
      </c>
      <c r="D3277" s="2" t="str">
        <f t="shared" si="50"/>
        <v>Error?</v>
      </c>
    </row>
    <row r="3278" spans="1:4" x14ac:dyDescent="0.2">
      <c r="A3278" s="5">
        <v>3217</v>
      </c>
      <c r="B3278" s="138">
        <f>'Acct Summary 7-8'!E78</f>
        <v>164428</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-480489</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21502</v>
      </c>
      <c r="C3320" s="2" t="s">
        <v>594</v>
      </c>
      <c r="D3320" s="2" t="str">
        <f t="shared" si="50"/>
        <v>Error?</v>
      </c>
    </row>
    <row r="3321" spans="1:4" x14ac:dyDescent="0.2">
      <c r="A3321" s="5">
        <v>3260</v>
      </c>
      <c r="B3321" s="138">
        <f>'Acct Summary 7-8'!I79</f>
        <v>3722286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3743788</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7174594</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2327580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72539</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103092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71684</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1423389</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11172878</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388869</v>
      </c>
      <c r="D3387" s="2" t="str">
        <f t="shared" si="51"/>
        <v>Error?</v>
      </c>
    </row>
    <row r="3388" spans="1:4" x14ac:dyDescent="0.2">
      <c r="A3388" s="5">
        <v>3327</v>
      </c>
      <c r="B3388" s="138">
        <f>'Expenditures 15-22'!D217</f>
        <v>490162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388869</v>
      </c>
      <c r="C3390" s="2" t="s">
        <v>594</v>
      </c>
      <c r="D3390" s="2" t="str">
        <f t="shared" si="51"/>
        <v>Error?</v>
      </c>
    </row>
    <row r="3391" spans="1:4" x14ac:dyDescent="0.2">
      <c r="A3391" s="5">
        <v>3330</v>
      </c>
      <c r="B3391" s="138">
        <f>'Expenditures 15-22'!K217</f>
        <v>490162</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30394445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5049432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2839691</v>
      </c>
      <c r="D3417" s="2" t="str">
        <f t="shared" si="52"/>
        <v>Error?</v>
      </c>
    </row>
    <row r="3418" spans="1:4" x14ac:dyDescent="0.2">
      <c r="A3418" s="10">
        <v>3357</v>
      </c>
      <c r="D3418" s="2" t="str">
        <f t="shared" si="52"/>
        <v>OK</v>
      </c>
    </row>
    <row r="3419" spans="1:4" x14ac:dyDescent="0.2">
      <c r="A3419" s="5">
        <v>3358</v>
      </c>
      <c r="B3419" s="138">
        <f>'Assets-Liab 5-6'!F4</f>
        <v>1963557</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3224531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214191</v>
      </c>
      <c r="D3425" s="2" t="str">
        <f t="shared" si="52"/>
        <v>Error?</v>
      </c>
    </row>
    <row r="3426" spans="1:4" x14ac:dyDescent="0.2">
      <c r="A3426" s="10">
        <v>3365</v>
      </c>
      <c r="D3426" s="2" t="str">
        <f t="shared" si="52"/>
        <v>OK</v>
      </c>
    </row>
    <row r="3427" spans="1:4" x14ac:dyDescent="0.2">
      <c r="A3427" s="5">
        <v>3366</v>
      </c>
      <c r="B3427" s="138">
        <f>'Assets-Liab 5-6'!I4</f>
        <v>1536430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451554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2118865</v>
      </c>
      <c r="C3446" s="2" t="s">
        <v>594</v>
      </c>
      <c r="D3446" s="2" t="str">
        <f t="shared" si="52"/>
        <v>Error?</v>
      </c>
    </row>
    <row r="3447" spans="1:4" x14ac:dyDescent="0.2">
      <c r="A3447" s="5">
        <v>3386</v>
      </c>
      <c r="B3447" s="138">
        <f>'Tax Sched 23'!D16</f>
        <v>2118865</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2266000</v>
      </c>
      <c r="C3449" s="2" t="s">
        <v>594</v>
      </c>
      <c r="D3449" s="2" t="str">
        <f t="shared" si="52"/>
        <v>Error?</v>
      </c>
    </row>
    <row r="3450" spans="1:4" x14ac:dyDescent="0.2">
      <c r="A3450" s="5">
        <v>3389</v>
      </c>
      <c r="B3450" s="138">
        <f>'Tax Sched 23'!E16</f>
        <v>2266000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23722</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64628</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64937</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64937</v>
      </c>
      <c r="D3567" s="2" t="str">
        <f t="shared" si="54"/>
        <v>Error?</v>
      </c>
    </row>
    <row r="3568" spans="1:4" x14ac:dyDescent="0.2">
      <c r="A3568" s="5">
        <v>3507</v>
      </c>
      <c r="B3568" s="138">
        <f>'Assets-Liab 5-6'!K41</f>
        <v>64937</v>
      </c>
      <c r="C3568" s="2" t="s">
        <v>594</v>
      </c>
      <c r="D3568" s="2" t="str">
        <f t="shared" si="54"/>
        <v>Error?</v>
      </c>
    </row>
    <row r="3569" spans="1:4" x14ac:dyDescent="0.2">
      <c r="A3569" s="5">
        <v>3508</v>
      </c>
      <c r="B3569" s="138">
        <f>'Acct Summary 7-8'!K4</f>
        <v>904</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904</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904</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904</v>
      </c>
      <c r="C3588" s="2" t="s">
        <v>594</v>
      </c>
      <c r="D3588" s="2" t="str">
        <f t="shared" si="55"/>
        <v>Error?</v>
      </c>
    </row>
    <row r="3589" spans="1:4" x14ac:dyDescent="0.2">
      <c r="A3589" s="5">
        <v>3528</v>
      </c>
      <c r="B3589" s="138">
        <f>'Acct Summary 7-8'!K79</f>
        <v>64033</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64937</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904</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466549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38938828</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126854114</v>
      </c>
      <c r="C4122" s="2" t="s">
        <v>594</v>
      </c>
      <c r="D4122" s="2" t="str">
        <f t="shared" si="63"/>
        <v>Error?</v>
      </c>
    </row>
    <row r="4123" spans="1:4" x14ac:dyDescent="0.2">
      <c r="A4123" s="5">
        <v>4062</v>
      </c>
      <c r="B4123" s="138">
        <f>'Acct Summary 7-8'!D10</f>
        <v>7255727</v>
      </c>
      <c r="C4123" s="2" t="s">
        <v>594</v>
      </c>
      <c r="D4123" s="2" t="str">
        <f t="shared" si="63"/>
        <v>Error?</v>
      </c>
    </row>
    <row r="4124" spans="1:4" x14ac:dyDescent="0.2">
      <c r="A4124" s="5">
        <v>4063</v>
      </c>
      <c r="B4124" s="138">
        <f>'Acct Summary 7-8'!E10</f>
        <v>4959239</v>
      </c>
      <c r="C4124" s="2" t="s">
        <v>594</v>
      </c>
      <c r="D4124" s="2" t="str">
        <f t="shared" si="63"/>
        <v>Error?</v>
      </c>
    </row>
    <row r="4125" spans="1:4" x14ac:dyDescent="0.2">
      <c r="A4125" s="5">
        <v>4064</v>
      </c>
      <c r="B4125" s="138">
        <f>'Acct Summary 7-8'!F10</f>
        <v>10017539</v>
      </c>
      <c r="C4125" s="2" t="s">
        <v>594</v>
      </c>
      <c r="D4125" s="2" t="str">
        <f t="shared" si="63"/>
        <v>Error?</v>
      </c>
    </row>
    <row r="4126" spans="1:4" x14ac:dyDescent="0.2">
      <c r="A4126" s="5">
        <v>4065</v>
      </c>
      <c r="B4126" s="138">
        <f>'Acct Summary 7-8'!G10</f>
        <v>3243015</v>
      </c>
      <c r="C4126" s="2" t="s">
        <v>594</v>
      </c>
      <c r="D4126" s="2" t="str">
        <f t="shared" si="63"/>
        <v>Error?</v>
      </c>
    </row>
    <row r="4127" spans="1:4" x14ac:dyDescent="0.2">
      <c r="A4127" s="5">
        <v>4066</v>
      </c>
      <c r="B4127" s="138">
        <f>'Acct Summary 7-8'!H10</f>
        <v>3559</v>
      </c>
      <c r="C4127" s="2" t="s">
        <v>594</v>
      </c>
      <c r="D4127" s="2" t="str">
        <f t="shared" si="63"/>
        <v>Error?</v>
      </c>
    </row>
    <row r="4128" spans="1:4" x14ac:dyDescent="0.2">
      <c r="A4128" s="5">
        <v>4067</v>
      </c>
      <c r="B4128" s="138">
        <f>'Acct Summary 7-8'!I10</f>
        <v>21502</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904</v>
      </c>
      <c r="C4130" s="2" t="s">
        <v>594</v>
      </c>
      <c r="D4130" s="2" t="str">
        <f t="shared" si="63"/>
        <v>Error?</v>
      </c>
    </row>
    <row r="4131" spans="1:4" x14ac:dyDescent="0.2">
      <c r="A4131" s="5">
        <v>4070</v>
      </c>
      <c r="B4131" s="138">
        <f>'Acct Summary 7-8'!C18</f>
        <v>38938828</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120476416</v>
      </c>
      <c r="C4136" s="2" t="s">
        <v>594</v>
      </c>
      <c r="D4136" s="2" t="str">
        <f t="shared" si="63"/>
        <v>Error?</v>
      </c>
    </row>
    <row r="4137" spans="1:4" x14ac:dyDescent="0.2">
      <c r="A4137" s="5">
        <v>4076</v>
      </c>
      <c r="B4137" s="138">
        <f>'Acct Summary 7-8'!D19</f>
        <v>7641843</v>
      </c>
      <c r="C4137" s="2" t="s">
        <v>594</v>
      </c>
      <c r="D4137" s="2" t="str">
        <f t="shared" si="63"/>
        <v>Error?</v>
      </c>
    </row>
    <row r="4138" spans="1:4" x14ac:dyDescent="0.2">
      <c r="A4138" s="5">
        <v>4077</v>
      </c>
      <c r="B4138" s="138">
        <f>'Acct Summary 7-8'!E19</f>
        <v>5483588</v>
      </c>
      <c r="C4138" s="2" t="s">
        <v>594</v>
      </c>
      <c r="D4138" s="2" t="str">
        <f t="shared" si="63"/>
        <v>Error?</v>
      </c>
    </row>
    <row r="4139" spans="1:4" x14ac:dyDescent="0.2">
      <c r="A4139" s="5">
        <v>4078</v>
      </c>
      <c r="B4139" s="138">
        <f>'Acct Summary 7-8'!F19</f>
        <v>4375061</v>
      </c>
      <c r="C4139" s="2" t="s">
        <v>594</v>
      </c>
      <c r="D4139" s="2" t="str">
        <f t="shared" si="63"/>
        <v>Error?</v>
      </c>
    </row>
    <row r="4140" spans="1:4" x14ac:dyDescent="0.2">
      <c r="A4140" s="5">
        <v>4079</v>
      </c>
      <c r="B4140" s="138">
        <f>'Acct Summary 7-8'!G19</f>
        <v>3082867</v>
      </c>
      <c r="C4140" s="2" t="s">
        <v>594</v>
      </c>
      <c r="D4140" s="2" t="str">
        <f t="shared" si="63"/>
        <v>Error?</v>
      </c>
    </row>
    <row r="4141" spans="1:4" x14ac:dyDescent="0.2">
      <c r="A4141" s="5">
        <v>4080</v>
      </c>
      <c r="B4141" s="138">
        <f>'Acct Summary 7-8'!H19</f>
        <v>484048</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31185013</v>
      </c>
      <c r="C4171" s="2" t="s">
        <v>594</v>
      </c>
      <c r="D4171" s="2" t="str">
        <f t="shared" si="64"/>
        <v>Error?</v>
      </c>
    </row>
    <row r="4172" spans="1:4" x14ac:dyDescent="0.2">
      <c r="A4172" s="5">
        <v>4111</v>
      </c>
      <c r="B4172" s="138">
        <f>'Short-Term Long-Term Debt 24'!J49</f>
        <v>28333887</v>
      </c>
      <c r="C4172" s="2" t="s">
        <v>594</v>
      </c>
      <c r="D4172" s="2" t="str">
        <f t="shared" si="64"/>
        <v>Error?</v>
      </c>
    </row>
    <row r="4173" spans="1:4" x14ac:dyDescent="0.2">
      <c r="A4173" s="5">
        <v>4112</v>
      </c>
      <c r="B4173" s="138">
        <f>'Short-Term Long-Term Debt 24'!H49</f>
        <v>4375157</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1222888</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3427.4</v>
      </c>
      <c r="C4265" s="2" t="s">
        <v>594</v>
      </c>
      <c r="D4265" s="2" t="str">
        <f t="shared" si="65"/>
        <v>Error?</v>
      </c>
      <c r="E4265" s="128"/>
    </row>
    <row r="4266" spans="1:5" x14ac:dyDescent="0.2">
      <c r="A4266" s="12">
        <v>4205</v>
      </c>
      <c r="B4266" s="138">
        <f>('FP Info 3'!F10)*100000</f>
        <v>426.59999999999997</v>
      </c>
      <c r="C4266" s="2" t="s">
        <v>594</v>
      </c>
      <c r="D4266" s="2" t="str">
        <f t="shared" si="65"/>
        <v>Error?</v>
      </c>
      <c r="E4266" s="128"/>
    </row>
    <row r="4267" spans="1:5" x14ac:dyDescent="0.2">
      <c r="A4267" s="12">
        <v>4206</v>
      </c>
      <c r="B4267" s="138">
        <f>('FP Info 3'!H10)*100000</f>
        <v>284.40000000000003</v>
      </c>
      <c r="C4267" s="2" t="s">
        <v>594</v>
      </c>
      <c r="D4267" s="2" t="str">
        <f t="shared" si="65"/>
        <v>Error?</v>
      </c>
      <c r="E4267" s="128"/>
    </row>
    <row r="4268" spans="1:5" x14ac:dyDescent="0.2">
      <c r="A4268" s="12">
        <v>4207</v>
      </c>
      <c r="B4268" s="138">
        <f>('FP Info 3'!J10)*100000</f>
        <v>4138</v>
      </c>
      <c r="C4268" s="2" t="s">
        <v>594</v>
      </c>
      <c r="D4268" s="2" t="str">
        <f t="shared" si="65"/>
        <v>Error?</v>
      </c>
    </row>
    <row r="4269" spans="1:5" x14ac:dyDescent="0.2">
      <c r="A4269" s="12">
        <v>4208</v>
      </c>
      <c r="B4269" s="138">
        <f>'FP Info 3'!J16</f>
        <v>24083512</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235052</v>
      </c>
      <c r="D4300" s="2" t="str">
        <f t="shared" si="66"/>
        <v>Error?</v>
      </c>
    </row>
    <row r="4301" spans="1:4" x14ac:dyDescent="0.2">
      <c r="A4301" s="5">
        <v>4240</v>
      </c>
      <c r="B4301" s="138">
        <f>'Rest Tax Levies-Tort Im 25'!G37</f>
        <v>38143</v>
      </c>
      <c r="D4301" s="2" t="str">
        <f t="shared" si="66"/>
        <v>Error?</v>
      </c>
    </row>
    <row r="4302" spans="1:4" x14ac:dyDescent="0.2">
      <c r="A4302" s="5">
        <v>4241</v>
      </c>
      <c r="B4302" s="138">
        <f>'Rest Tax Levies-Tort Im 25'!G38</f>
        <v>356796</v>
      </c>
      <c r="D4302" s="2" t="str">
        <f t="shared" si="66"/>
        <v>Error?</v>
      </c>
    </row>
    <row r="4303" spans="1:4" x14ac:dyDescent="0.2">
      <c r="A4303" s="5">
        <v>4242</v>
      </c>
      <c r="B4303" s="138">
        <f>'Rest Tax Levies-Tort Im 25'!G39</f>
        <v>5060</v>
      </c>
      <c r="D4303" s="2" t="str">
        <f t="shared" si="66"/>
        <v>Error?</v>
      </c>
    </row>
    <row r="4304" spans="1:4" x14ac:dyDescent="0.2">
      <c r="A4304" s="5">
        <v>4243</v>
      </c>
      <c r="B4304" s="138">
        <f>'Rest Tax Levies-Tort Im 25'!G40</f>
        <v>30000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180141</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300576</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262384</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167027</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4617</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4999</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1810938671</v>
      </c>
      <c r="D4995" s="2" t="str">
        <f t="shared" si="77"/>
        <v>Error?</v>
      </c>
    </row>
    <row r="4996" spans="1:4" x14ac:dyDescent="0.2">
      <c r="A4996" s="12">
        <v>4935</v>
      </c>
      <c r="B4996" s="138">
        <f>'FP Info 3'!H31</f>
        <v>124954768.29900001</v>
      </c>
      <c r="D4996" s="2" t="str">
        <f t="shared" si="77"/>
        <v>Error?</v>
      </c>
    </row>
    <row r="4997" spans="1:4" x14ac:dyDescent="0.2">
      <c r="A4997" s="12">
        <v>4936</v>
      </c>
      <c r="B4997" s="138">
        <f>'FP Info 3'!H37</f>
        <v>31185013</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8000000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8000000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56819826</v>
      </c>
      <c r="D5061" s="2" t="str">
        <f t="shared" si="78"/>
        <v>Error?</v>
      </c>
    </row>
    <row r="5062" spans="1:4" x14ac:dyDescent="0.2">
      <c r="A5062" s="10">
        <v>5001</v>
      </c>
      <c r="D5062" s="2" t="str">
        <f t="shared" si="78"/>
        <v>OK</v>
      </c>
    </row>
    <row r="5063" spans="1:4" x14ac:dyDescent="0.2">
      <c r="A5063" s="5">
        <v>5002</v>
      </c>
      <c r="B5063" s="138">
        <f>'Revenues 9-14'!C7</f>
        <v>6285600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63105426</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869140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869140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6580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6580</v>
      </c>
      <c r="C5087" s="2" t="s">
        <v>594</v>
      </c>
      <c r="D5087" s="2" t="str">
        <f t="shared" si="78"/>
        <v>Error?</v>
      </c>
    </row>
    <row r="5088" spans="1:4" x14ac:dyDescent="0.2">
      <c r="A5088" s="5">
        <v>5027</v>
      </c>
      <c r="B5088" s="138">
        <f>'Revenues 9-14'!C65</f>
        <v>390155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390155</v>
      </c>
      <c r="C5090" s="2" t="s">
        <v>594</v>
      </c>
      <c r="D5090" s="2" t="str">
        <f t="shared" si="78"/>
        <v>Error?</v>
      </c>
    </row>
    <row r="5091" spans="1:4" x14ac:dyDescent="0.2">
      <c r="A5091" s="5">
        <v>5030</v>
      </c>
      <c r="B5091" s="138">
        <f>'Revenues 9-14'!C70</f>
        <v>16839</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73789</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332371</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216801</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216801</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669238</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36847</v>
      </c>
      <c r="D5118" s="2" t="str">
        <f t="shared" si="78"/>
        <v>Error?</v>
      </c>
    </row>
    <row r="5119" spans="1:4" x14ac:dyDescent="0.2">
      <c r="A5119" s="5">
        <v>5058</v>
      </c>
      <c r="B5119" s="138">
        <f>'Revenues 9-14'!C107</f>
        <v>41161</v>
      </c>
      <c r="D5119" s="2" t="str">
        <f t="shared" ref="D5119:D5182" si="79">IF(ISBLANK(B5119),"OK",IF(A5119-B5119=0,"OK","Error?"))</f>
        <v>Error?</v>
      </c>
    </row>
    <row r="5120" spans="1:4" x14ac:dyDescent="0.2">
      <c r="A5120" s="5">
        <v>5059</v>
      </c>
      <c r="B5120" s="138">
        <f>'Revenues 9-14'!C108</f>
        <v>1904815</v>
      </c>
      <c r="C5120" s="2" t="s">
        <v>594</v>
      </c>
      <c r="D5120" s="2" t="str">
        <f t="shared" si="79"/>
        <v>Error?</v>
      </c>
    </row>
    <row r="5121" spans="1:4" x14ac:dyDescent="0.2">
      <c r="A5121" s="5">
        <v>5060</v>
      </c>
      <c r="B5121" s="138">
        <f>'Revenues 9-14'!C109</f>
        <v>66825288</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12092303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12092303</v>
      </c>
      <c r="C5132" s="2" t="s">
        <v>594</v>
      </c>
      <c r="D5132" s="2" t="str">
        <f t="shared" si="79"/>
        <v>Error?</v>
      </c>
    </row>
    <row r="5133" spans="1:4" x14ac:dyDescent="0.2">
      <c r="A5133" s="5">
        <v>5072</v>
      </c>
      <c r="B5133" s="138">
        <f>'Revenues 9-14'!C124</f>
        <v>92088</v>
      </c>
      <c r="D5133" s="2" t="str">
        <f t="shared" si="79"/>
        <v>Error?</v>
      </c>
    </row>
    <row r="5134" spans="1:4" x14ac:dyDescent="0.2">
      <c r="A5134" s="5">
        <v>5073</v>
      </c>
      <c r="B5134" s="138">
        <f>'Revenues 9-14'!C125</f>
        <v>220597</v>
      </c>
      <c r="D5134" s="2" t="str">
        <f t="shared" si="79"/>
        <v>Error?</v>
      </c>
    </row>
    <row r="5135" spans="1:4" x14ac:dyDescent="0.2">
      <c r="A5135" s="5">
        <v>5074</v>
      </c>
      <c r="B5135" s="138">
        <f>'Revenues 9-14'!C126</f>
        <v>358837</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9076</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680598</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1474361</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1474361</v>
      </c>
      <c r="C5165" s="2" t="s">
        <v>594</v>
      </c>
      <c r="D5165" s="2" t="str">
        <f t="shared" si="79"/>
        <v>Error?</v>
      </c>
    </row>
    <row r="5166" spans="1:4" x14ac:dyDescent="0.2">
      <c r="A5166" s="10">
        <v>5105</v>
      </c>
      <c r="D5166" s="2" t="str">
        <f t="shared" si="79"/>
        <v>OK</v>
      </c>
    </row>
    <row r="5167" spans="1:4" x14ac:dyDescent="0.2">
      <c r="A5167" s="5">
        <v>5106</v>
      </c>
      <c r="B5167" s="138">
        <f>'Revenues 9-14'!C145</f>
        <v>30333</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2190291</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14282594</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2001936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818830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13393</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2834159</v>
      </c>
      <c r="C5246" s="2" t="s">
        <v>594</v>
      </c>
      <c r="D5246" s="2" t="str">
        <f t="shared" si="80"/>
        <v>Error?</v>
      </c>
    </row>
    <row r="5247" spans="1:4" x14ac:dyDescent="0.2">
      <c r="A5247" s="5">
        <v>5186</v>
      </c>
      <c r="B5247" s="138">
        <f>'Revenues 9-14'!C203</f>
        <v>1610002</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1610002</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54798</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1343142</v>
      </c>
      <c r="D5278" s="2" t="str">
        <f t="shared" si="81"/>
        <v>Error?</v>
      </c>
    </row>
    <row r="5279" spans="1:4" x14ac:dyDescent="0.2">
      <c r="A5279" s="5">
        <v>5218</v>
      </c>
      <c r="B5279" s="138">
        <f>'Revenues 9-14'!C221</f>
        <v>36178</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1434118</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18997</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6807404</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6807404</v>
      </c>
      <c r="C5326" s="2" t="s">
        <v>594</v>
      </c>
      <c r="D5326" s="2" t="str">
        <f t="shared" si="82"/>
        <v>Error?</v>
      </c>
    </row>
    <row r="5327" spans="1:4" x14ac:dyDescent="0.2">
      <c r="A5327" s="5">
        <v>5266</v>
      </c>
      <c r="B5327" s="138">
        <f>'Revenues 9-14'!C275</f>
        <v>87915286</v>
      </c>
      <c r="C5327" s="2" t="s">
        <v>594</v>
      </c>
      <c r="D5327" s="2" t="str">
        <f t="shared" si="82"/>
        <v>Error?</v>
      </c>
    </row>
    <row r="5328" spans="1:4" x14ac:dyDescent="0.2">
      <c r="A5328" s="5">
        <v>5267</v>
      </c>
      <c r="B5328" s="138">
        <f>'Revenues 9-14'!D5</f>
        <v>7113169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7113169</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80669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80669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49796</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9763</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2330</v>
      </c>
      <c r="D5354" s="2" t="str">
        <f t="shared" si="82"/>
        <v>Error?</v>
      </c>
    </row>
    <row r="5355" spans="1:4" x14ac:dyDescent="0.2">
      <c r="A5355" s="5">
        <v>5294</v>
      </c>
      <c r="B5355" s="138">
        <f>'Revenues 9-14'!D108</f>
        <v>61889</v>
      </c>
      <c r="C5355" s="2" t="s">
        <v>594</v>
      </c>
      <c r="D5355" s="2" t="str">
        <f t="shared" si="82"/>
        <v>Error?</v>
      </c>
    </row>
    <row r="5356" spans="1:4" x14ac:dyDescent="0.2">
      <c r="A5356" s="5">
        <v>5295</v>
      </c>
      <c r="B5356" s="138">
        <f>'Revenues 9-14'!D109</f>
        <v>7255727</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7255727</v>
      </c>
      <c r="C5508" s="2" t="s">
        <v>594</v>
      </c>
      <c r="D5508" s="2" t="str">
        <f t="shared" si="85"/>
        <v>Error?</v>
      </c>
    </row>
    <row r="5509" spans="1:4" x14ac:dyDescent="0.2">
      <c r="A5509" s="5">
        <v>5448</v>
      </c>
      <c r="B5509" s="138">
        <f>'Revenues 9-14'!E5</f>
        <v>4927610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4927610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31629</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31629</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4959239</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4959239</v>
      </c>
      <c r="C5552" s="2" t="s">
        <v>594</v>
      </c>
      <c r="D5552" s="2" t="str">
        <f t="shared" si="85"/>
        <v>Error?</v>
      </c>
    </row>
    <row r="5553" spans="1:4" x14ac:dyDescent="0.2">
      <c r="A5553" s="5">
        <v>5492</v>
      </c>
      <c r="B5553" s="138">
        <f>'Revenues 9-14'!F5</f>
        <v>8093392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8093392</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35779</v>
      </c>
      <c r="D5563" s="2" t="str">
        <f t="shared" si="85"/>
        <v>Error?</v>
      </c>
    </row>
    <row r="5564" spans="1:4" x14ac:dyDescent="0.2">
      <c r="A5564" s="5">
        <v>5503</v>
      </c>
      <c r="B5564" s="138">
        <f>'Revenues 9-14'!F43</f>
        <v>518</v>
      </c>
      <c r="D5564" s="2" t="str">
        <f t="shared" si="85"/>
        <v>Error?</v>
      </c>
    </row>
    <row r="5565" spans="1:4" x14ac:dyDescent="0.2">
      <c r="A5565" s="5">
        <v>5504</v>
      </c>
      <c r="B5565" s="138">
        <f>'Revenues 9-14'!F44</f>
        <v>0</v>
      </c>
      <c r="D5565" s="2" t="str">
        <f t="shared" si="85"/>
        <v>Error?</v>
      </c>
    </row>
    <row r="5566" spans="1:4" x14ac:dyDescent="0.2">
      <c r="A5566" s="5">
        <v>5505</v>
      </c>
      <c r="B5566" s="138">
        <f>'Revenues 9-14'!F45</f>
        <v>11190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47487</v>
      </c>
      <c r="C5579" s="2" t="s">
        <v>594</v>
      </c>
      <c r="D5579" s="2" t="str">
        <f t="shared" si="86"/>
        <v>Error?</v>
      </c>
    </row>
    <row r="5580" spans="1:4" x14ac:dyDescent="0.2">
      <c r="A5580" s="5">
        <v>5519</v>
      </c>
      <c r="B5580" s="138">
        <f>'Revenues 9-14'!F65</f>
        <v>87920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87920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8228799</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583120</v>
      </c>
      <c r="D5615" s="2" t="str">
        <f t="shared" si="86"/>
        <v>Error?</v>
      </c>
    </row>
    <row r="5616" spans="1:4" x14ac:dyDescent="0.2">
      <c r="A5616" s="10">
        <v>5555</v>
      </c>
      <c r="D5616" s="2" t="str">
        <f t="shared" si="86"/>
        <v>OK</v>
      </c>
    </row>
    <row r="5617" spans="1:4" x14ac:dyDescent="0.2">
      <c r="A5617" s="5">
        <v>5556</v>
      </c>
      <c r="B5617" s="138">
        <f>'Revenues 9-14'!F152</f>
        <v>1205620</v>
      </c>
      <c r="D5617" s="2" t="str">
        <f t="shared" si="86"/>
        <v>Error?</v>
      </c>
    </row>
    <row r="5618" spans="1:4" x14ac:dyDescent="0.2">
      <c r="A5618" s="5">
        <v>5557</v>
      </c>
      <c r="B5618" s="138">
        <f>'Revenues 9-14'!F154</f>
        <v>1788740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1788740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1788740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10017539</v>
      </c>
      <c r="C5720" s="2" t="s">
        <v>594</v>
      </c>
      <c r="D5720" s="2" t="str">
        <f t="shared" si="88"/>
        <v>Error?</v>
      </c>
    </row>
    <row r="5721" spans="1:4" x14ac:dyDescent="0.2">
      <c r="A5721" s="5">
        <v>5660</v>
      </c>
      <c r="B5721" s="138">
        <f>'Revenues 9-14'!G5</f>
        <v>952047</v>
      </c>
      <c r="D5721" s="2" t="str">
        <f t="shared" si="88"/>
        <v>Error?</v>
      </c>
    </row>
    <row r="5722" spans="1:4" x14ac:dyDescent="0.2">
      <c r="A5722" s="5">
        <v>5661</v>
      </c>
      <c r="B5722" s="138">
        <f>'Revenues 9-14'!G7</f>
        <v>0</v>
      </c>
      <c r="D5722" s="2" t="str">
        <f t="shared" si="88"/>
        <v>Error?</v>
      </c>
    </row>
    <row r="5723" spans="1:4" x14ac:dyDescent="0.2">
      <c r="A5723" s="5">
        <v>5662</v>
      </c>
      <c r="B5723" s="138">
        <f>'Revenues 9-14'!G8</f>
        <v>2118865</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3070912</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104130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104130</v>
      </c>
      <c r="C5730" s="2" t="s">
        <v>594</v>
      </c>
      <c r="D5730" s="2" t="str">
        <f t="shared" si="88"/>
        <v>Error?</v>
      </c>
    </row>
    <row r="5731" spans="1:4" x14ac:dyDescent="0.2">
      <c r="A5731" s="5">
        <v>5670</v>
      </c>
      <c r="B5731" s="138">
        <f>'Revenues 9-14'!G65</f>
        <v>61604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61604</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6369</v>
      </c>
      <c r="D5736" s="2" t="str">
        <f t="shared" si="88"/>
        <v>Error?</v>
      </c>
    </row>
    <row r="5737" spans="1:4" x14ac:dyDescent="0.2">
      <c r="A5737" s="5">
        <v>5676</v>
      </c>
      <c r="B5737" s="138">
        <f>'Revenues 9-14'!G108</f>
        <v>6369</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3243015</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3559</v>
      </c>
      <c r="D5879" s="2" t="str">
        <f t="shared" si="90"/>
        <v>Error?</v>
      </c>
    </row>
    <row r="5880" spans="1:4" x14ac:dyDescent="0.2">
      <c r="A5880" s="5">
        <v>5819</v>
      </c>
      <c r="B5880" s="138">
        <f>'Revenues 9-14'!H66</f>
        <v>0</v>
      </c>
      <c r="D5880" s="2" t="str">
        <f t="shared" si="90"/>
        <v>Error?</v>
      </c>
    </row>
    <row r="5881" spans="1:4" x14ac:dyDescent="0.2">
      <c r="A5881" s="5">
        <v>5820</v>
      </c>
      <c r="B5881" s="138">
        <f>'Revenues 9-14'!H67</f>
        <v>3559</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3559</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21502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21502</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21502</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904</v>
      </c>
      <c r="D5993" s="2" t="str">
        <f t="shared" si="92"/>
        <v>Error?</v>
      </c>
    </row>
    <row r="5994" spans="1:4" x14ac:dyDescent="0.2">
      <c r="A5994" s="5">
        <v>5933</v>
      </c>
      <c r="B5994" s="138">
        <f>'Revenues 9-14'!K66</f>
        <v>0</v>
      </c>
      <c r="D5994" s="2" t="str">
        <f t="shared" si="92"/>
        <v>Error?</v>
      </c>
    </row>
    <row r="5995" spans="1:4" x14ac:dyDescent="0.2">
      <c r="A5995" s="5">
        <v>5934</v>
      </c>
      <c r="B5995" s="138">
        <f>'Revenues 9-14'!K67</f>
        <v>904</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904</v>
      </c>
      <c r="C6023" s="2" t="s">
        <v>594</v>
      </c>
      <c r="D6023" s="2" t="str">
        <f t="shared" si="93"/>
        <v>Error?</v>
      </c>
    </row>
    <row r="6024" spans="1:5" x14ac:dyDescent="0.2">
      <c r="A6024" s="5">
        <v>5963</v>
      </c>
      <c r="B6024" s="138">
        <f>'Revenues 9-14'!G109</f>
        <v>3243015</v>
      </c>
      <c r="C6024" s="2" t="s">
        <v>594</v>
      </c>
      <c r="D6024" s="2" t="str">
        <f t="shared" si="93"/>
        <v>Error?</v>
      </c>
    </row>
    <row r="6025" spans="1:5" x14ac:dyDescent="0.2">
      <c r="A6025" s="5">
        <v>5964</v>
      </c>
      <c r="B6025" s="138">
        <f>'Revenues 9-14'!H109</f>
        <v>3559</v>
      </c>
      <c r="C6025" s="2" t="s">
        <v>594</v>
      </c>
      <c r="D6025" s="2" t="str">
        <f t="shared" si="93"/>
        <v>Error?</v>
      </c>
    </row>
    <row r="6026" spans="1:5" x14ac:dyDescent="0.2">
      <c r="A6026" s="5">
        <v>5965</v>
      </c>
      <c r="B6026" s="138">
        <f>'Revenues 9-14'!I109</f>
        <v>21502</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904</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241743</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265336</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5768.15</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2200000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1624221</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126390</v>
      </c>
      <c r="D6099" s="2" t="str">
        <f t="shared" si="94"/>
        <v>Error?</v>
      </c>
      <c r="E6099" s="2" t="s">
        <v>199</v>
      </c>
    </row>
    <row r="6100" spans="1:5" x14ac:dyDescent="0.2">
      <c r="A6100">
        <v>6039</v>
      </c>
      <c r="B6100" s="138">
        <f>'Assets-Liab 5-6'!D9</f>
        <v>28040</v>
      </c>
      <c r="D6100" s="2" t="str">
        <f t="shared" si="94"/>
        <v>Error?</v>
      </c>
      <c r="E6100" s="2" t="s">
        <v>199</v>
      </c>
    </row>
    <row r="6101" spans="1:5" x14ac:dyDescent="0.2">
      <c r="A6101">
        <v>6040</v>
      </c>
      <c r="B6101" s="138">
        <f>'Assets-Liab 5-6'!E9</f>
        <v>10798</v>
      </c>
      <c r="D6101" s="2" t="str">
        <f t="shared" si="94"/>
        <v>Error?</v>
      </c>
      <c r="E6101" s="2" t="s">
        <v>199</v>
      </c>
    </row>
    <row r="6102" spans="1:5" x14ac:dyDescent="0.2">
      <c r="A6102">
        <v>6041</v>
      </c>
      <c r="B6102" s="138">
        <f>'Assets-Liab 5-6'!F9</f>
        <v>28137</v>
      </c>
      <c r="D6102" s="2" t="str">
        <f t="shared" si="94"/>
        <v>Error?</v>
      </c>
      <c r="E6102" s="2" t="s">
        <v>199</v>
      </c>
    </row>
    <row r="6103" spans="1:5" x14ac:dyDescent="0.2">
      <c r="A6103">
        <f>A6102+1</f>
        <v>6042</v>
      </c>
      <c r="B6103" s="138">
        <f>'Assets-Liab 5-6'!G9</f>
        <v>20656</v>
      </c>
      <c r="D6103" s="2" t="str">
        <f t="shared" si="94"/>
        <v>Error?</v>
      </c>
      <c r="E6103" s="2" t="s">
        <v>199</v>
      </c>
    </row>
    <row r="6104" spans="1:5" x14ac:dyDescent="0.2">
      <c r="A6104">
        <v>6043</v>
      </c>
      <c r="B6104" s="138">
        <f>'Assets-Liab 5-6'!H9</f>
        <v>1692</v>
      </c>
      <c r="D6104" s="2" t="str">
        <f t="shared" si="94"/>
        <v>Error?</v>
      </c>
      <c r="E6104" s="2" t="s">
        <v>199</v>
      </c>
    </row>
    <row r="6105" spans="1:5" x14ac:dyDescent="0.2">
      <c r="A6105">
        <v>6044</v>
      </c>
      <c r="B6105" s="138">
        <f>'Assets-Liab 5-6'!I9</f>
        <v>7358</v>
      </c>
      <c r="D6105" s="2" t="str">
        <f t="shared" si="94"/>
        <v>Error?</v>
      </c>
      <c r="E6105" s="2" t="s">
        <v>199</v>
      </c>
    </row>
    <row r="6106" spans="1:5" x14ac:dyDescent="0.2">
      <c r="A6106">
        <v>6045</v>
      </c>
      <c r="B6106" s="138">
        <f>'Assets-Liab 5-6'!J9</f>
        <v>719</v>
      </c>
      <c r="D6106" s="2" t="str">
        <f t="shared" si="94"/>
        <v>Error?</v>
      </c>
      <c r="E6106" s="2" t="s">
        <v>199</v>
      </c>
    </row>
    <row r="6107" spans="1:5" x14ac:dyDescent="0.2">
      <c r="A6107">
        <v>6046</v>
      </c>
      <c r="B6107" s="138">
        <f>'Assets-Liab 5-6'!K9</f>
        <v>309</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158417</v>
      </c>
      <c r="D6113" s="2" t="str">
        <f t="shared" si="94"/>
        <v>Error?</v>
      </c>
      <c r="E6113" s="2" t="s">
        <v>199</v>
      </c>
    </row>
    <row r="6114" spans="1:5" x14ac:dyDescent="0.2">
      <c r="A6114">
        <v>6053</v>
      </c>
      <c r="B6114" s="138">
        <f>'Assets-Liab 5-6'!D11</f>
        <v>8165</v>
      </c>
      <c r="D6114" s="2" t="str">
        <f t="shared" si="94"/>
        <v>Error?</v>
      </c>
      <c r="E6114" s="2" t="s">
        <v>199</v>
      </c>
    </row>
    <row r="6115" spans="1:5" x14ac:dyDescent="0.2">
      <c r="A6115">
        <v>6054</v>
      </c>
      <c r="B6115" s="138">
        <f>'Assets-Liab 5-6'!E11</f>
        <v>637</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123877</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855814</v>
      </c>
      <c r="D6124" s="2" t="str">
        <f t="shared" si="94"/>
        <v>Error?</v>
      </c>
      <c r="E6124" s="2" t="s">
        <v>199</v>
      </c>
    </row>
    <row r="6125" spans="1:5" x14ac:dyDescent="0.2">
      <c r="A6125">
        <v>6064</v>
      </c>
      <c r="B6125" s="138">
        <f>'Assets-Liab 5-6'!C25</f>
        <v>2200000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194549</v>
      </c>
      <c r="D6142" s="2" t="str">
        <f t="shared" si="94"/>
        <v>Error?</v>
      </c>
      <c r="E6142" s="2" t="s">
        <v>199</v>
      </c>
    </row>
    <row r="6143" spans="1:5" x14ac:dyDescent="0.2">
      <c r="A6143">
        <v>6082</v>
      </c>
      <c r="B6143" s="138">
        <f>'Assets-Liab 5-6'!D27</f>
        <v>72773</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152747</v>
      </c>
      <c r="D6145" s="2" t="str">
        <f t="shared" si="95"/>
        <v>Error?</v>
      </c>
      <c r="E6145" s="2" t="s">
        <v>199</v>
      </c>
    </row>
    <row r="6146" spans="1:5" x14ac:dyDescent="0.2">
      <c r="A6146">
        <v>6085</v>
      </c>
      <c r="B6146" s="138">
        <f>'Assets-Liab 5-6'!G27</f>
        <v>146144</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5903058</v>
      </c>
      <c r="D6169" s="2" t="str">
        <f t="shared" si="95"/>
        <v>Error?</v>
      </c>
      <c r="E6169" s="2" t="s">
        <v>199</v>
      </c>
    </row>
    <row r="6170" spans="1:5" x14ac:dyDescent="0.2">
      <c r="A6170">
        <v>6109</v>
      </c>
      <c r="B6170" s="138">
        <f>'Assets-Liab 5-6'!D30</f>
        <v>11577</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3247</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433454</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433454</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422360</v>
      </c>
      <c r="D6215" s="2" t="str">
        <f t="shared" si="96"/>
        <v>Error?</v>
      </c>
      <c r="E6215" s="2" t="s">
        <v>199</v>
      </c>
    </row>
    <row r="6216" spans="1:5" x14ac:dyDescent="0.2">
      <c r="A6216">
        <v>6155</v>
      </c>
      <c r="B6216" s="138">
        <f>'Assets-Liab 5-6'!J41</f>
        <v>855814</v>
      </c>
      <c r="D6216" s="2" t="str">
        <f t="shared" si="96"/>
        <v>Error?</v>
      </c>
      <c r="E6216" s="2" t="s">
        <v>199</v>
      </c>
    </row>
    <row r="6217" spans="1:5" x14ac:dyDescent="0.2">
      <c r="A6217">
        <v>6156</v>
      </c>
      <c r="B6217" s="138">
        <f>'Assets-Liab 5-6'!J4</f>
        <v>297764</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433454</v>
      </c>
      <c r="D6219" s="2" t="str">
        <f t="shared" si="96"/>
        <v>Error?</v>
      </c>
      <c r="E6219" s="2" t="s">
        <v>199</v>
      </c>
    </row>
    <row r="6220" spans="1:5" x14ac:dyDescent="0.2">
      <c r="A6220">
        <v>6159</v>
      </c>
      <c r="B6220" s="138">
        <f>'Acct Summary 7-8'!J4</f>
        <v>856255</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856255</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856255</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665051</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665051</v>
      </c>
      <c r="D6229" s="2" t="str">
        <f t="shared" si="96"/>
        <v>Error?</v>
      </c>
      <c r="E6229" s="2" t="s">
        <v>199</v>
      </c>
    </row>
    <row r="6230" spans="1:5" x14ac:dyDescent="0.2">
      <c r="A6230">
        <v>6169</v>
      </c>
      <c r="B6230" s="138">
        <f>'Acct Summary 7-8'!J20</f>
        <v>191204</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191204</v>
      </c>
      <c r="D6263" s="2" t="str">
        <f t="shared" si="96"/>
        <v>Error?</v>
      </c>
      <c r="E6263" s="2" t="s">
        <v>199</v>
      </c>
    </row>
    <row r="6264" spans="1:5" x14ac:dyDescent="0.2">
      <c r="A6264">
        <v>6203</v>
      </c>
      <c r="B6264" s="138">
        <f>'Acct Summary 7-8'!J79</f>
        <v>231156</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422360</v>
      </c>
      <c r="D6266" s="2" t="str">
        <f t="shared" si="96"/>
        <v>Error?</v>
      </c>
      <c r="E6266" s="2" t="s">
        <v>199</v>
      </c>
    </row>
    <row r="6267" spans="1:5" x14ac:dyDescent="0.2">
      <c r="A6267">
        <v>6206</v>
      </c>
      <c r="B6267" s="138">
        <f>'Acct Summary 7-8'!C82</f>
        <v>13808821</v>
      </c>
      <c r="D6267" s="2" t="str">
        <f t="shared" si="96"/>
        <v>Error?</v>
      </c>
      <c r="E6267" s="2" t="s">
        <v>199</v>
      </c>
    </row>
    <row r="6268" spans="1:5" x14ac:dyDescent="0.2">
      <c r="A6268">
        <v>6207</v>
      </c>
      <c r="B6268" s="138">
        <f>'Acct Summary 7-8'!D82</f>
        <v>-482294</v>
      </c>
      <c r="D6268" s="2" t="str">
        <f t="shared" si="96"/>
        <v>Error?</v>
      </c>
      <c r="E6268" s="2" t="s">
        <v>199</v>
      </c>
    </row>
    <row r="6269" spans="1:5" x14ac:dyDescent="0.2">
      <c r="A6269">
        <v>6208</v>
      </c>
      <c r="B6269" s="138">
        <f>'Acct Summary 7-8'!E82</f>
        <v>164428</v>
      </c>
      <c r="D6269" s="2" t="str">
        <f t="shared" si="96"/>
        <v>Error?</v>
      </c>
      <c r="E6269" s="2" t="s">
        <v>199</v>
      </c>
    </row>
    <row r="6270" spans="1:5" x14ac:dyDescent="0.2">
      <c r="A6270">
        <v>6209</v>
      </c>
      <c r="B6270" s="138">
        <f>'Acct Summary 7-8'!F82</f>
        <v>-2357522</v>
      </c>
      <c r="D6270" s="2" t="str">
        <f t="shared" si="96"/>
        <v>Error?</v>
      </c>
      <c r="E6270" s="2" t="s">
        <v>199</v>
      </c>
    </row>
    <row r="6271" spans="1:5" x14ac:dyDescent="0.2">
      <c r="A6271">
        <v>6210</v>
      </c>
      <c r="B6271" s="138">
        <f>'Acct Summary 7-8'!G82</f>
        <v>160148</v>
      </c>
      <c r="D6271" s="2" t="str">
        <f t="shared" ref="D6271:D6334" si="97">IF(ISBLANK(B6271),"OK",IF(A6271-B6271=0,"OK","Error?"))</f>
        <v>Error?</v>
      </c>
      <c r="E6271" s="2" t="s">
        <v>199</v>
      </c>
    </row>
    <row r="6272" spans="1:5" x14ac:dyDescent="0.2">
      <c r="A6272">
        <v>6211</v>
      </c>
      <c r="B6272" s="138">
        <f>'Acct Summary 7-8'!H82</f>
        <v>-480489</v>
      </c>
      <c r="D6272" s="2" t="str">
        <f t="shared" si="97"/>
        <v>Error?</v>
      </c>
      <c r="E6272" s="2" t="s">
        <v>199</v>
      </c>
    </row>
    <row r="6273" spans="1:5" x14ac:dyDescent="0.2">
      <c r="A6273">
        <v>6212</v>
      </c>
      <c r="B6273" s="138">
        <f>'Acct Summary 7-8'!I82</f>
        <v>21502</v>
      </c>
      <c r="D6273" s="2" t="str">
        <f t="shared" si="97"/>
        <v>Error?</v>
      </c>
      <c r="E6273" s="2" t="s">
        <v>199</v>
      </c>
    </row>
    <row r="6274" spans="1:5" x14ac:dyDescent="0.2">
      <c r="A6274">
        <v>6213</v>
      </c>
      <c r="B6274" s="138">
        <f>'Acct Summary 7-8'!J82</f>
        <v>191204</v>
      </c>
      <c r="D6274" s="2" t="str">
        <f t="shared" si="97"/>
        <v>Error?</v>
      </c>
      <c r="E6274" s="2" t="s">
        <v>199</v>
      </c>
    </row>
    <row r="6275" spans="1:5" x14ac:dyDescent="0.2">
      <c r="A6275">
        <v>6214</v>
      </c>
      <c r="B6275" s="138">
        <f>'Acct Summary 7-8'!K82</f>
        <v>904</v>
      </c>
      <c r="D6275" s="2" t="str">
        <f t="shared" si="97"/>
        <v>Error?</v>
      </c>
      <c r="E6275" s="2" t="s">
        <v>199</v>
      </c>
    </row>
    <row r="6276" spans="1:5" x14ac:dyDescent="0.2">
      <c r="A6276">
        <v>6215</v>
      </c>
      <c r="B6276" s="138">
        <f>'Acct Summary 7-8'!C83</f>
        <v>1.0014232883065328</v>
      </c>
      <c r="D6276" s="2" t="str">
        <f t="shared" si="97"/>
        <v>Error?</v>
      </c>
      <c r="E6276" s="2" t="s">
        <v>199</v>
      </c>
    </row>
    <row r="6277" spans="1:5" x14ac:dyDescent="0.2">
      <c r="A6277">
        <v>6216</v>
      </c>
      <c r="B6277" s="138">
        <f>'Acct Summary 7-8'!D83</f>
        <v>-0.10224427166320831</v>
      </c>
      <c r="D6277" s="2" t="str">
        <f t="shared" si="97"/>
        <v>Error?</v>
      </c>
      <c r="E6277" s="2" t="s">
        <v>199</v>
      </c>
    </row>
    <row r="6278" spans="1:5" x14ac:dyDescent="0.2">
      <c r="A6278">
        <v>6217</v>
      </c>
      <c r="B6278" s="138">
        <f>'Acct Summary 7-8'!E83</f>
        <v>5.76712498851331E-2</v>
      </c>
      <c r="D6278" s="2" t="str">
        <f t="shared" si="97"/>
        <v>Error?</v>
      </c>
      <c r="E6278" s="2" t="s">
        <v>199</v>
      </c>
    </row>
    <row r="6279" spans="1:5" x14ac:dyDescent="0.2">
      <c r="A6279">
        <v>6218</v>
      </c>
      <c r="B6279" s="138">
        <f>'Acct Summary 7-8'!F83</f>
        <v>-1.2858371608107761</v>
      </c>
      <c r="D6279" s="2" t="str">
        <f t="shared" si="97"/>
        <v>Error?</v>
      </c>
      <c r="E6279" s="2" t="s">
        <v>199</v>
      </c>
    </row>
    <row r="6280" spans="1:5" x14ac:dyDescent="0.2">
      <c r="A6280">
        <v>6219</v>
      </c>
      <c r="B6280" s="138">
        <f>'Acct Summary 7-8'!G83</f>
        <v>5.1676598227259188E-2</v>
      </c>
      <c r="D6280" s="2" t="str">
        <f t="shared" si="97"/>
        <v>Error?</v>
      </c>
      <c r="E6280" s="2" t="s">
        <v>199</v>
      </c>
    </row>
    <row r="6281" spans="1:5" x14ac:dyDescent="0.2">
      <c r="A6281">
        <v>6220</v>
      </c>
      <c r="B6281" s="138">
        <f>'Acct Summary 7-8'!H83</f>
        <v>-2.2256916941120886</v>
      </c>
      <c r="D6281" s="2" t="str">
        <f t="shared" si="97"/>
        <v>Error?</v>
      </c>
      <c r="E6281" s="2" t="s">
        <v>199</v>
      </c>
    </row>
    <row r="6282" spans="1:5" x14ac:dyDescent="0.2">
      <c r="A6282">
        <v>6221</v>
      </c>
      <c r="B6282" s="138">
        <f>'Acct Summary 7-8'!I83</f>
        <v>5.7433807683554732E-3</v>
      </c>
      <c r="D6282" s="2" t="str">
        <f t="shared" si="97"/>
        <v>Error?</v>
      </c>
      <c r="E6282" s="2" t="s">
        <v>199</v>
      </c>
    </row>
    <row r="6283" spans="1:5" x14ac:dyDescent="0.2">
      <c r="A6283">
        <v>6222</v>
      </c>
      <c r="B6283" s="138">
        <f>'Acct Summary 7-8'!J83</f>
        <v>0.45270385453167916</v>
      </c>
      <c r="D6283" s="2" t="str">
        <f t="shared" si="97"/>
        <v>Error?</v>
      </c>
      <c r="E6283" s="2" t="s">
        <v>199</v>
      </c>
    </row>
    <row r="6284" spans="1:5" x14ac:dyDescent="0.2">
      <c r="A6284">
        <v>6223</v>
      </c>
      <c r="B6284" s="138">
        <f>'Acct Summary 7-8'!K83</f>
        <v>1.3921185148682569E-2</v>
      </c>
      <c r="D6284" s="2" t="str">
        <f t="shared" si="97"/>
        <v>Error?</v>
      </c>
      <c r="E6284" s="2" t="s">
        <v>199</v>
      </c>
    </row>
    <row r="6285" spans="1:5" x14ac:dyDescent="0.2">
      <c r="A6285">
        <v>6224</v>
      </c>
      <c r="B6285" s="138">
        <f>'Acct Summary 7-8'!E37</f>
        <v>680157</v>
      </c>
      <c r="D6285" s="2" t="str">
        <f t="shared" si="97"/>
        <v>Error?</v>
      </c>
      <c r="E6285" s="2" t="s">
        <v>199</v>
      </c>
    </row>
    <row r="6286" spans="1:5" x14ac:dyDescent="0.2">
      <c r="A6286">
        <v>6225</v>
      </c>
      <c r="B6286" s="138">
        <f>'Acct Summary 7-8'!E38</f>
        <v>8620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853891</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853891</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2364</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2364</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1152952</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856255</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180483</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298286</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1018333</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11022</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11022</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4366</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4366</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14165</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14165</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5727</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5727</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35280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35280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665051</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856255</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647</v>
      </c>
      <c r="D7073" s="2" t="str">
        <f t="shared" si="109"/>
        <v>Error?</v>
      </c>
    </row>
    <row r="7074" spans="1:4" x14ac:dyDescent="0.2">
      <c r="A7074">
        <v>7013</v>
      </c>
      <c r="B7074" s="138">
        <f>'Expenditures 15-22'!K216</f>
        <v>647</v>
      </c>
      <c r="D7074" s="2" t="str">
        <f t="shared" si="109"/>
        <v>Error?</v>
      </c>
    </row>
    <row r="7075" spans="1:4" x14ac:dyDescent="0.2">
      <c r="A7075">
        <v>7014</v>
      </c>
      <c r="B7075" s="138">
        <f>'Expenditures 15-22'!D218</f>
        <v>54446</v>
      </c>
      <c r="D7075" s="2" t="str">
        <f t="shared" si="109"/>
        <v>Error?</v>
      </c>
    </row>
    <row r="7076" spans="1:4" x14ac:dyDescent="0.2">
      <c r="A7076">
        <v>7015</v>
      </c>
      <c r="B7076" s="138">
        <f>'Expenditures 15-22'!K218</f>
        <v>54446</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6462</v>
      </c>
      <c r="D7091" s="2" t="str">
        <f t="shared" si="109"/>
        <v>Error?</v>
      </c>
    </row>
    <row r="7092" spans="1:4" x14ac:dyDescent="0.2">
      <c r="A7092">
        <v>7031</v>
      </c>
      <c r="B7092" s="138">
        <f>'Expenditures 15-22'!K253</f>
        <v>6462</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235052</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235052</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38143</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38143</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356796</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356796</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5060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5060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30000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30000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665051</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665051</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665051</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665051</v>
      </c>
      <c r="D7224" s="2" t="str">
        <f t="shared" si="111"/>
        <v>Error?</v>
      </c>
    </row>
    <row r="7225" spans="1:4" x14ac:dyDescent="0.2">
      <c r="A7225">
        <v>7164</v>
      </c>
      <c r="B7225" s="138">
        <f>'Expenditures 15-22'!K343</f>
        <v>191204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97238</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18618</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1947</v>
      </c>
      <c r="D7250" s="2" t="str">
        <f t="shared" si="112"/>
        <v>Error?</v>
      </c>
    </row>
    <row r="7251" spans="1:4" x14ac:dyDescent="0.2">
      <c r="A7251">
        <f t="shared" si="113"/>
        <v>7190</v>
      </c>
      <c r="B7251" s="138">
        <f>'Expenditures 15-22'!C9</f>
        <v>745693</v>
      </c>
      <c r="D7251" s="2" t="str">
        <f t="shared" si="112"/>
        <v>Error?</v>
      </c>
    </row>
    <row r="7252" spans="1:4" x14ac:dyDescent="0.2">
      <c r="A7252">
        <f t="shared" si="113"/>
        <v>7191</v>
      </c>
      <c r="B7252" s="138">
        <f>'Expenditures 15-22'!D9</f>
        <v>271610</v>
      </c>
      <c r="D7252" s="2" t="str">
        <f t="shared" si="112"/>
        <v>Error?</v>
      </c>
    </row>
    <row r="7253" spans="1:4" x14ac:dyDescent="0.2">
      <c r="A7253">
        <f t="shared" si="113"/>
        <v>7192</v>
      </c>
      <c r="B7253" s="138">
        <f>'Expenditures 15-22'!E9</f>
        <v>71</v>
      </c>
      <c r="D7253" s="2" t="str">
        <f t="shared" si="112"/>
        <v>Error?</v>
      </c>
    </row>
    <row r="7254" spans="1:4" x14ac:dyDescent="0.2">
      <c r="A7254">
        <f t="shared" si="113"/>
        <v>7193</v>
      </c>
      <c r="B7254" s="138">
        <f>'Expenditures 15-22'!F9</f>
        <v>959</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2269730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567591</v>
      </c>
      <c r="D7654" s="2" t="str">
        <f t="shared" si="124"/>
        <v>Error?</v>
      </c>
      <c r="E7654" s="2" t="s">
        <v>881</v>
      </c>
    </row>
    <row r="7655" spans="1:5" x14ac:dyDescent="0.2">
      <c r="A7655">
        <v>7594</v>
      </c>
      <c r="B7655" s="138">
        <f>'Acct Summary 7-8'!D56</f>
        <v>112566</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1286</v>
      </c>
      <c r="D7663" s="2" t="str">
        <f t="shared" si="124"/>
        <v>Error?</v>
      </c>
      <c r="E7663" s="2" t="s">
        <v>881</v>
      </c>
    </row>
    <row r="7664" spans="1:5" x14ac:dyDescent="0.2">
      <c r="A7664">
        <v>7603</v>
      </c>
      <c r="B7664" s="138">
        <f>'Acct Summary 7-8'!D60</f>
        <v>7334</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6285600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1</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29'!D141</f>
        <v>132637</v>
      </c>
      <c r="D7797" s="2" t="str">
        <f t="shared" si="127"/>
        <v>Error?</v>
      </c>
      <c r="E7797" s="4" t="s">
        <v>2017</v>
      </c>
    </row>
    <row r="7798" spans="1:5" x14ac:dyDescent="0.2">
      <c r="A7798">
        <v>7737</v>
      </c>
      <c r="B7798" s="138">
        <f>'Contracts Paid in CY 29'!F141</f>
        <v>105804</v>
      </c>
      <c r="D7798" s="2" t="str">
        <f t="shared" si="127"/>
        <v>Error?</v>
      </c>
      <c r="E7798" s="4" t="s">
        <v>2017</v>
      </c>
    </row>
    <row r="7799" spans="1:5" x14ac:dyDescent="0.2">
      <c r="A7799">
        <v>7738</v>
      </c>
      <c r="B7799" s="138">
        <f>'Contracts Paid in CY 29'!G141</f>
        <v>24833</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0" t="s">
        <v>1253</v>
      </c>
      <c r="B2" s="2400"/>
      <c r="C2" s="2400"/>
      <c r="D2" s="2400"/>
      <c r="E2" s="2400"/>
      <c r="F2" s="2400"/>
      <c r="G2" s="2400"/>
      <c r="H2" s="2400"/>
      <c r="I2" s="2400"/>
      <c r="J2" s="2400"/>
      <c r="K2" s="2400"/>
      <c r="L2" s="2400"/>
    </row>
    <row r="3" spans="1:29" ht="13.5" customHeight="1" x14ac:dyDescent="0.2">
      <c r="A3" s="2431" t="s">
        <v>1252</v>
      </c>
      <c r="B3" s="2431"/>
      <c r="C3" s="2431"/>
      <c r="D3" s="2431"/>
      <c r="E3" s="2431"/>
      <c r="F3" s="2431"/>
      <c r="G3" s="2431"/>
      <c r="H3" s="2431"/>
      <c r="I3" s="2431"/>
      <c r="J3" s="2431"/>
      <c r="K3" s="2431"/>
      <c r="L3" s="2431"/>
    </row>
    <row r="4" spans="1:29" ht="13.5" customHeight="1" x14ac:dyDescent="0.2">
      <c r="A4" s="2400" t="s">
        <v>1799</v>
      </c>
      <c r="B4" s="2421"/>
      <c r="C4" s="2421"/>
      <c r="D4" s="2421"/>
      <c r="E4" s="2421"/>
      <c r="F4" s="2421"/>
      <c r="G4" s="2421"/>
      <c r="H4" s="2421"/>
      <c r="I4" s="2421"/>
      <c r="J4" s="2421"/>
      <c r="K4" s="2421"/>
      <c r="L4" s="2421"/>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2" t="str">
        <f>COVER!A17</f>
        <v>Wheeling CCSD 21</v>
      </c>
      <c r="B7" s="2423"/>
      <c r="C7" s="2423"/>
      <c r="D7" s="2424"/>
      <c r="E7" s="2425">
        <f>COVER!A13</f>
        <v>5016021004</v>
      </c>
      <c r="F7" s="2426"/>
      <c r="G7" s="2432" t="str">
        <f>COVER!T23</f>
        <v>066-003289</v>
      </c>
      <c r="H7" s="2433"/>
      <c r="I7" s="2433"/>
      <c r="J7" s="2433"/>
      <c r="K7" s="2433"/>
      <c r="L7" s="2434"/>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5"/>
      <c r="B9" s="2436"/>
      <c r="C9" s="2436"/>
      <c r="D9" s="2436"/>
      <c r="E9" s="2436"/>
      <c r="F9" s="2437"/>
      <c r="G9" s="2406" t="str">
        <f>COVER!T13</f>
        <v>Evoy, Kamschulte, Jacobs &amp; Co. LLP</v>
      </c>
      <c r="H9" s="2438"/>
      <c r="I9" s="2438"/>
      <c r="J9" s="2438"/>
      <c r="K9" s="2438"/>
      <c r="L9" s="2439"/>
    </row>
    <row r="10" spans="1:29" ht="13.5" customHeight="1" x14ac:dyDescent="0.2">
      <c r="A10" s="2412" t="str">
        <f>COVER!A38</f>
        <v>Dr. Michael Connolly</v>
      </c>
      <c r="B10" s="2413"/>
      <c r="C10" s="2413"/>
      <c r="D10" s="2413"/>
      <c r="E10" s="2413"/>
      <c r="F10" s="2414"/>
      <c r="G10" s="2406" t="str">
        <f>COVER!T17</f>
        <v>2122 Yeoman Street</v>
      </c>
      <c r="H10" s="2407"/>
      <c r="I10" s="2407"/>
      <c r="J10" s="2407"/>
      <c r="K10" s="2407"/>
      <c r="L10" s="2408"/>
    </row>
    <row r="11" spans="1:29" ht="13.5" customHeight="1" x14ac:dyDescent="0.2">
      <c r="A11" s="1185" t="s">
        <v>1599</v>
      </c>
      <c r="B11" s="1186"/>
      <c r="C11" s="1187"/>
      <c r="D11" s="1192"/>
      <c r="E11" s="1187"/>
      <c r="F11" s="1191"/>
      <c r="G11" s="2406" t="str">
        <f>COVER!T19</f>
        <v>Waukegan</v>
      </c>
      <c r="H11" s="2407"/>
      <c r="I11" s="2407"/>
      <c r="J11" s="2407"/>
      <c r="K11" s="2407"/>
      <c r="L11" s="2408"/>
    </row>
    <row r="12" spans="1:29" ht="13.5" customHeight="1" x14ac:dyDescent="0.2">
      <c r="A12" s="2415" t="s">
        <v>1598</v>
      </c>
      <c r="B12" s="2416"/>
      <c r="C12" s="2416"/>
      <c r="D12" s="2416"/>
      <c r="E12" s="2416"/>
      <c r="F12" s="2417"/>
      <c r="G12" s="2409"/>
      <c r="H12" s="2410"/>
      <c r="I12" s="2410"/>
      <c r="J12" s="2410"/>
      <c r="K12" s="2410"/>
      <c r="L12" s="2411"/>
    </row>
    <row r="13" spans="1:29" ht="13.5" customHeight="1" x14ac:dyDescent="0.2">
      <c r="A13" s="2406"/>
      <c r="B13" s="2407"/>
      <c r="C13" s="2407"/>
      <c r="D13" s="2407"/>
      <c r="E13" s="2407"/>
      <c r="F13" s="2408"/>
      <c r="G13" s="2401" t="s">
        <v>1600</v>
      </c>
      <c r="H13" s="2402"/>
      <c r="I13" s="2418" t="str">
        <f>COVER!T25</f>
        <v>jaceto@ekjllp.com</v>
      </c>
      <c r="J13" s="2419"/>
      <c r="K13" s="2419"/>
      <c r="L13" s="2420"/>
    </row>
    <row r="14" spans="1:29" ht="13.5" customHeight="1" x14ac:dyDescent="0.2">
      <c r="A14" s="2406" t="str">
        <f>COVER!A19</f>
        <v>999 West Dundee Road</v>
      </c>
      <c r="B14" s="2407"/>
      <c r="C14" s="2407"/>
      <c r="D14" s="2407"/>
      <c r="E14" s="2407"/>
      <c r="F14" s="2408"/>
      <c r="G14" s="1196" t="s">
        <v>1247</v>
      </c>
      <c r="H14" s="1194"/>
      <c r="I14" s="1194"/>
      <c r="J14" s="1194"/>
      <c r="K14" s="1194"/>
      <c r="L14" s="1195"/>
    </row>
    <row r="15" spans="1:29" ht="13.5" customHeight="1" x14ac:dyDescent="0.2">
      <c r="A15" s="2406" t="str">
        <f>COVER!A21</f>
        <v xml:space="preserve">Wheeling   </v>
      </c>
      <c r="B15" s="2407"/>
      <c r="C15" s="2407"/>
      <c r="D15" s="2407"/>
      <c r="E15" s="2407"/>
      <c r="F15" s="2408"/>
      <c r="G15" s="2403" t="str">
        <f>COVER!T15</f>
        <v>John D. Aceto, Jr., CPA</v>
      </c>
      <c r="H15" s="2404"/>
      <c r="I15" s="2404"/>
      <c r="J15" s="2404"/>
      <c r="K15" s="2404"/>
      <c r="L15" s="2405"/>
    </row>
    <row r="16" spans="1:29" ht="12.2" customHeight="1" x14ac:dyDescent="0.2">
      <c r="A16" s="2428">
        <f>COVER!A25</f>
        <v>60090</v>
      </c>
      <c r="B16" s="2429"/>
      <c r="C16" s="2429"/>
      <c r="D16" s="2429"/>
      <c r="E16" s="2429"/>
      <c r="F16" s="2430"/>
      <c r="G16" s="2440"/>
      <c r="H16" s="2441"/>
      <c r="I16" s="2441"/>
      <c r="J16" s="2441"/>
      <c r="K16" s="2441"/>
      <c r="L16" s="2442"/>
    </row>
    <row r="17" spans="1:13" ht="12.2" customHeight="1" x14ac:dyDescent="0.2">
      <c r="A17" s="2443"/>
      <c r="B17" s="2429"/>
      <c r="C17" s="2429"/>
      <c r="D17" s="2429"/>
      <c r="E17" s="2429"/>
      <c r="F17" s="2430"/>
      <c r="G17" s="1196" t="s">
        <v>1246</v>
      </c>
      <c r="H17" s="1194"/>
      <c r="I17" s="1194"/>
      <c r="J17" s="1194"/>
      <c r="K17" s="1198" t="s">
        <v>1245</v>
      </c>
      <c r="L17" s="1191"/>
      <c r="M17" s="1184"/>
    </row>
    <row r="18" spans="1:13" ht="12.2" customHeight="1" x14ac:dyDescent="0.2">
      <c r="A18" s="2412"/>
      <c r="B18" s="2413"/>
      <c r="C18" s="2413"/>
      <c r="D18" s="2413"/>
      <c r="E18" s="2413"/>
      <c r="F18" s="2414"/>
      <c r="G18" s="2422" t="str">
        <f>COVER!T21</f>
        <v>847-662-8300</v>
      </c>
      <c r="H18" s="2423"/>
      <c r="I18" s="2423"/>
      <c r="J18" s="2423"/>
      <c r="K18" s="2422" t="str">
        <f>COVER!X21</f>
        <v>847-6628305</v>
      </c>
      <c r="L18" s="2427"/>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1944</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4" t="str">
        <f>'Single Audit Cover'!A7</f>
        <v>Wheeling CCSD 21</v>
      </c>
      <c r="B1" s="2421"/>
      <c r="C1" s="2421"/>
      <c r="D1" s="2421"/>
    </row>
    <row r="2" spans="1:11" s="1215" customFormat="1" ht="12.75" x14ac:dyDescent="0.2">
      <c r="A2" s="2445">
        <f>'Single Audit Cover'!E7</f>
        <v>5016021004</v>
      </c>
      <c r="B2" s="2446"/>
      <c r="C2" s="2446"/>
      <c r="D2" s="2446"/>
    </row>
    <row r="3" spans="1:11" s="1215" customFormat="1" ht="12.75" x14ac:dyDescent="0.2">
      <c r="A3" s="2444" t="s">
        <v>1593</v>
      </c>
      <c r="B3" s="2421"/>
      <c r="C3" s="2421"/>
      <c r="D3" s="2421"/>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1945</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36" sqref="D36"/>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8" t="str">
        <f>'Single Audit Cover'!A7</f>
        <v>Wheeling CCSD 21</v>
      </c>
      <c r="B1" s="2448"/>
      <c r="C1" s="2448"/>
      <c r="D1" s="2448"/>
      <c r="E1" s="2448"/>
    </row>
    <row r="2" spans="1:5" x14ac:dyDescent="0.2">
      <c r="A2" s="2449">
        <f>'Single Audit Cover'!E7</f>
        <v>5016021004</v>
      </c>
      <c r="B2" s="2449"/>
      <c r="C2" s="2449"/>
      <c r="D2" s="2449"/>
      <c r="E2" s="2449"/>
    </row>
    <row r="3" spans="1:5" ht="4.5" customHeight="1" x14ac:dyDescent="0.2"/>
    <row r="4" spans="1:5" x14ac:dyDescent="0.2">
      <c r="A4" s="2448" t="s">
        <v>1307</v>
      </c>
      <c r="B4" s="2448"/>
      <c r="C4" s="2448"/>
      <c r="D4" s="2448"/>
      <c r="E4" s="2448"/>
    </row>
    <row r="5" spans="1:5" x14ac:dyDescent="0.2">
      <c r="A5" s="2451" t="str">
        <f>'Single Audit Cover'!A4</f>
        <v>Year Ending June 30, 2018</v>
      </c>
      <c r="B5" s="2451"/>
      <c r="C5" s="2451"/>
      <c r="D5" s="2451"/>
      <c r="E5" s="2451"/>
    </row>
    <row r="6" spans="1:5" x14ac:dyDescent="0.2">
      <c r="A6" s="2448" t="s">
        <v>1306</v>
      </c>
      <c r="B6" s="2448"/>
      <c r="C6" s="2448"/>
      <c r="D6" s="2448"/>
      <c r="E6" s="2448"/>
    </row>
    <row r="8" spans="1:5" x14ac:dyDescent="0.2">
      <c r="A8" s="1260" t="s">
        <v>1305</v>
      </c>
    </row>
    <row r="10" spans="1:5" x14ac:dyDescent="0.2">
      <c r="A10" s="1261" t="s">
        <v>1304</v>
      </c>
      <c r="B10" s="1262" t="s">
        <v>1303</v>
      </c>
      <c r="C10" s="1262"/>
      <c r="D10" s="1263">
        <f>SUM('Acct Summary 7-8'!C7:K7)</f>
        <v>6807404</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265336</v>
      </c>
    </row>
    <row r="15" spans="1:5" x14ac:dyDescent="0.2">
      <c r="A15" s="1261"/>
      <c r="B15" s="1262"/>
      <c r="C15" s="1262"/>
    </row>
    <row r="16" spans="1:5" x14ac:dyDescent="0.2">
      <c r="A16" s="1261" t="s">
        <v>1953</v>
      </c>
      <c r="B16" s="1262"/>
      <c r="C16" s="1262"/>
    </row>
    <row r="17" spans="1:4" x14ac:dyDescent="0.2">
      <c r="A17" s="1261" t="s">
        <v>1601</v>
      </c>
      <c r="B17" s="1262" t="s">
        <v>1298</v>
      </c>
      <c r="C17" s="1262"/>
      <c r="D17" s="1264">
        <f>-SUM('Revenues 9-14'!C271:D271,'Revenues 9-14'!F271:G271)</f>
        <v>-300576</v>
      </c>
    </row>
    <row r="19" spans="1:4" ht="13.5" thickBot="1" x14ac:dyDescent="0.25">
      <c r="A19" s="1265" t="s">
        <v>1297</v>
      </c>
      <c r="D19" s="1266">
        <f>SUM(D10:D17)</f>
        <v>6772164</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0"/>
      <c r="B24" s="2450"/>
      <c r="D24" s="1268"/>
    </row>
    <row r="25" spans="1:4" x14ac:dyDescent="0.2">
      <c r="A25" s="2447"/>
      <c r="B25" s="2447"/>
      <c r="D25" s="1268"/>
    </row>
    <row r="26" spans="1:4" x14ac:dyDescent="0.2">
      <c r="A26" s="2447"/>
      <c r="B26" s="2447"/>
      <c r="D26" s="1268"/>
    </row>
    <row r="27" spans="1:4" x14ac:dyDescent="0.2">
      <c r="A27" s="2447"/>
      <c r="B27" s="2447"/>
      <c r="D27" s="1268"/>
    </row>
    <row r="28" spans="1:4" x14ac:dyDescent="0.2">
      <c r="A28" s="2447"/>
      <c r="B28" s="2447"/>
      <c r="D28" s="1268"/>
    </row>
    <row r="29" spans="1:4" x14ac:dyDescent="0.2">
      <c r="A29" s="2447"/>
      <c r="B29" s="2447"/>
      <c r="D29" s="1268"/>
    </row>
    <row r="30" spans="1:4" x14ac:dyDescent="0.2">
      <c r="A30" s="2447"/>
      <c r="B30" s="2447"/>
      <c r="D30" s="1268"/>
    </row>
    <row r="32" spans="1:4" x14ac:dyDescent="0.2">
      <c r="A32" s="1260" t="s">
        <v>1295</v>
      </c>
      <c r="D32" s="1263">
        <f>SUM(D19:D30)</f>
        <v>6772164</v>
      </c>
    </row>
    <row r="33" spans="1:4" x14ac:dyDescent="0.2">
      <c r="D33" s="1269"/>
    </row>
    <row r="34" spans="1:4" x14ac:dyDescent="0.2">
      <c r="A34" s="317" t="s">
        <v>1294</v>
      </c>
    </row>
    <row r="35" spans="1:4" x14ac:dyDescent="0.2">
      <c r="A35" s="317" t="s">
        <v>1293</v>
      </c>
      <c r="B35" s="1258" t="s">
        <v>1292</v>
      </c>
      <c r="D35" s="1270">
        <v>6772164</v>
      </c>
    </row>
    <row r="37" spans="1:4" x14ac:dyDescent="0.2">
      <c r="A37" s="1260" t="s">
        <v>1291</v>
      </c>
    </row>
    <row r="39" spans="1:4" ht="13.35" customHeight="1" x14ac:dyDescent="0.2">
      <c r="A39" s="1267" t="s">
        <v>1290</v>
      </c>
    </row>
    <row r="40" spans="1:4" x14ac:dyDescent="0.2">
      <c r="A40" s="2447"/>
      <c r="B40" s="2447"/>
      <c r="D40" s="1268"/>
    </row>
    <row r="41" spans="1:4" x14ac:dyDescent="0.2">
      <c r="A41" s="2447"/>
      <c r="B41" s="2447"/>
      <c r="D41" s="1271"/>
    </row>
    <row r="42" spans="1:4" x14ac:dyDescent="0.2">
      <c r="A42" s="2447"/>
      <c r="B42" s="2447"/>
      <c r="D42" s="1271"/>
    </row>
    <row r="43" spans="1:4" x14ac:dyDescent="0.2">
      <c r="A43" s="2447"/>
      <c r="B43" s="2447"/>
      <c r="D43" s="1271"/>
    </row>
    <row r="44" spans="1:4" x14ac:dyDescent="0.2">
      <c r="A44" s="2447"/>
      <c r="B44" s="2447"/>
      <c r="D44" s="1271"/>
    </row>
    <row r="45" spans="1:4" x14ac:dyDescent="0.2">
      <c r="A45" s="2447"/>
      <c r="B45" s="2447"/>
      <c r="D45" s="1271"/>
    </row>
    <row r="47" spans="1:4" x14ac:dyDescent="0.2">
      <c r="B47" s="1272" t="s">
        <v>1289</v>
      </c>
      <c r="C47" s="1272"/>
      <c r="D47" s="1273">
        <f>SUM(D35:D45)</f>
        <v>6772164</v>
      </c>
    </row>
    <row r="49" spans="2:4" x14ac:dyDescent="0.2">
      <c r="B49" s="1272" t="s">
        <v>1288</v>
      </c>
      <c r="C49" s="1272"/>
      <c r="D49" s="1273">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5" zoomScale="130" zoomScaleNormal="130" workbookViewId="0">
      <selection activeCell="I27" sqref="I27"/>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Wheeling CCSD 21</v>
      </c>
      <c r="C1" s="2452"/>
      <c r="D1" s="2452"/>
      <c r="E1" s="2452"/>
      <c r="F1" s="2452"/>
      <c r="G1" s="2452"/>
      <c r="H1" s="2452"/>
      <c r="I1" s="2452"/>
      <c r="J1" s="2452"/>
      <c r="K1" s="2452"/>
      <c r="L1" s="2452"/>
      <c r="M1" s="2452"/>
    </row>
    <row r="2" spans="2:14" ht="15" x14ac:dyDescent="0.2">
      <c r="B2" s="2453">
        <f>'Single Audit Cover'!E7</f>
        <v>5016021004</v>
      </c>
      <c r="C2" s="2453"/>
      <c r="D2" s="2453"/>
      <c r="E2" s="2453"/>
      <c r="F2" s="2453"/>
      <c r="G2" s="2453"/>
      <c r="H2" s="2453"/>
      <c r="I2" s="2453"/>
      <c r="J2" s="2453"/>
      <c r="K2" s="2453"/>
      <c r="L2" s="2453"/>
      <c r="M2" s="2453"/>
      <c r="N2" s="1302"/>
    </row>
    <row r="3" spans="2:14" ht="15" x14ac:dyDescent="0.2">
      <c r="B3" s="2454" t="s">
        <v>1281</v>
      </c>
      <c r="C3" s="2454"/>
      <c r="D3" s="2454"/>
      <c r="E3" s="2454"/>
      <c r="F3" s="2454"/>
      <c r="G3" s="2454"/>
      <c r="H3" s="2454"/>
      <c r="I3" s="2454"/>
      <c r="J3" s="2454"/>
      <c r="K3" s="2454"/>
      <c r="L3" s="2454"/>
      <c r="M3" s="2454"/>
      <c r="N3" s="1302"/>
    </row>
    <row r="4" spans="2:14" ht="15" x14ac:dyDescent="0.2">
      <c r="B4" s="2455" t="str">
        <f>'Single Audit Cover'!A4</f>
        <v>Year Ending June 30, 2018</v>
      </c>
      <c r="C4" s="2455"/>
      <c r="D4" s="2455"/>
      <c r="E4" s="2455"/>
      <c r="F4" s="2455"/>
      <c r="G4" s="2455"/>
      <c r="H4" s="2455"/>
      <c r="I4" s="2455"/>
      <c r="J4" s="2455"/>
      <c r="K4" s="2455"/>
      <c r="L4" s="2455"/>
      <c r="M4" s="2455"/>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2112</v>
      </c>
      <c r="C11" s="1338"/>
      <c r="D11" s="1339"/>
      <c r="E11" s="1340"/>
      <c r="F11" s="1340"/>
      <c r="G11" s="1340"/>
      <c r="H11" s="1340"/>
      <c r="I11" s="1340"/>
      <c r="J11" s="1340"/>
      <c r="K11" s="1340"/>
      <c r="L11" s="1340">
        <f>+G11+I11+K11</f>
        <v>0</v>
      </c>
      <c r="M11" s="1340"/>
    </row>
    <row r="12" spans="2:14" ht="20.100000000000001" customHeight="1" x14ac:dyDescent="0.2">
      <c r="B12" s="1337" t="s">
        <v>2113</v>
      </c>
      <c r="C12" s="1341"/>
      <c r="D12" s="1342"/>
      <c r="E12" s="1343"/>
      <c r="F12" s="1343"/>
      <c r="G12" s="1343"/>
      <c r="H12" s="1343"/>
      <c r="I12" s="1343"/>
      <c r="J12" s="1343"/>
      <c r="K12" s="1343"/>
      <c r="L12" s="1340">
        <f t="shared" ref="L12:L27" si="0">+G12+I12+K12</f>
        <v>0</v>
      </c>
      <c r="M12" s="1343"/>
    </row>
    <row r="13" spans="2:14" ht="20.100000000000001" customHeight="1" x14ac:dyDescent="0.2">
      <c r="B13" s="1337" t="s">
        <v>2114</v>
      </c>
      <c r="C13" s="1341"/>
      <c r="D13" s="1342"/>
      <c r="E13" s="1343"/>
      <c r="F13" s="1343"/>
      <c r="G13" s="1343"/>
      <c r="H13" s="1343"/>
      <c r="I13" s="1343"/>
      <c r="J13" s="1343"/>
      <c r="K13" s="1343"/>
      <c r="L13" s="1340">
        <f t="shared" si="0"/>
        <v>0</v>
      </c>
      <c r="M13" s="1343"/>
    </row>
    <row r="14" spans="2:14" ht="20.100000000000001" customHeight="1" x14ac:dyDescent="0.2">
      <c r="B14" s="1337" t="s">
        <v>2115</v>
      </c>
      <c r="C14" s="1341">
        <v>10.555</v>
      </c>
      <c r="D14" s="1342" t="s">
        <v>2120</v>
      </c>
      <c r="E14" s="1343">
        <v>1326435</v>
      </c>
      <c r="F14" s="1343">
        <v>281768</v>
      </c>
      <c r="G14" s="1343">
        <v>1326435</v>
      </c>
      <c r="H14" s="1343"/>
      <c r="I14" s="1343">
        <v>281768</v>
      </c>
      <c r="J14" s="1343"/>
      <c r="K14" s="1343"/>
      <c r="L14" s="1340">
        <f t="shared" si="0"/>
        <v>1608203</v>
      </c>
      <c r="M14" s="1343" t="s">
        <v>2125</v>
      </c>
    </row>
    <row r="15" spans="2:14" ht="20.100000000000001" customHeight="1" x14ac:dyDescent="0.2">
      <c r="B15" s="1337" t="s">
        <v>2115</v>
      </c>
      <c r="C15" s="1341">
        <v>10.555</v>
      </c>
      <c r="D15" s="1342" t="s">
        <v>2121</v>
      </c>
      <c r="E15" s="1343"/>
      <c r="F15" s="1343">
        <v>1720168</v>
      </c>
      <c r="G15" s="1343"/>
      <c r="H15" s="1343"/>
      <c r="I15" s="1343">
        <v>1720168</v>
      </c>
      <c r="J15" s="1343"/>
      <c r="K15" s="1343"/>
      <c r="L15" s="1340">
        <f t="shared" si="0"/>
        <v>1720168</v>
      </c>
      <c r="M15" s="1343" t="s">
        <v>2125</v>
      </c>
    </row>
    <row r="16" spans="2:14" ht="20.100000000000001" customHeight="1" x14ac:dyDescent="0.2">
      <c r="B16" s="1337" t="s">
        <v>2116</v>
      </c>
      <c r="C16" s="1341">
        <v>10.553000000000001</v>
      </c>
      <c r="D16" s="1342" t="s">
        <v>2123</v>
      </c>
      <c r="E16" s="1343">
        <v>169408</v>
      </c>
      <c r="F16" s="1343">
        <v>32825</v>
      </c>
      <c r="G16" s="1343">
        <v>169408</v>
      </c>
      <c r="H16" s="1343"/>
      <c r="I16" s="1343">
        <v>32825</v>
      </c>
      <c r="J16" s="1343"/>
      <c r="K16" s="1343"/>
      <c r="L16" s="1340">
        <f t="shared" si="0"/>
        <v>202233</v>
      </c>
      <c r="M16" s="1343" t="s">
        <v>2125</v>
      </c>
    </row>
    <row r="17" spans="2:14" ht="20.100000000000001" customHeight="1" x14ac:dyDescent="0.2">
      <c r="B17" s="1337" t="s">
        <v>2116</v>
      </c>
      <c r="C17" s="1341">
        <v>10.553000000000001</v>
      </c>
      <c r="D17" s="1342" t="s">
        <v>2122</v>
      </c>
      <c r="E17" s="1343"/>
      <c r="F17" s="1343">
        <v>786005</v>
      </c>
      <c r="G17" s="1343"/>
      <c r="H17" s="1343"/>
      <c r="I17" s="1343">
        <v>786005</v>
      </c>
      <c r="J17" s="1343"/>
      <c r="K17" s="1343"/>
      <c r="L17" s="1340">
        <f t="shared" si="0"/>
        <v>786005</v>
      </c>
      <c r="M17" s="1343" t="s">
        <v>2125</v>
      </c>
    </row>
    <row r="18" spans="2:14" ht="20.100000000000001" customHeight="1" x14ac:dyDescent="0.2">
      <c r="B18" s="1337" t="s">
        <v>2117</v>
      </c>
      <c r="C18" s="1341">
        <v>10.555</v>
      </c>
      <c r="D18" s="1342" t="s">
        <v>2121</v>
      </c>
      <c r="E18" s="1343"/>
      <c r="F18" s="1343">
        <v>136915</v>
      </c>
      <c r="G18" s="1343"/>
      <c r="H18" s="1343"/>
      <c r="I18" s="1343">
        <v>136915</v>
      </c>
      <c r="J18" s="1343"/>
      <c r="K18" s="1343"/>
      <c r="L18" s="1340">
        <f t="shared" si="0"/>
        <v>136915</v>
      </c>
      <c r="M18" s="1343" t="s">
        <v>2125</v>
      </c>
    </row>
    <row r="19" spans="2:14" ht="20.100000000000001" customHeight="1" x14ac:dyDescent="0.2">
      <c r="B19" s="1337" t="s">
        <v>2118</v>
      </c>
      <c r="C19" s="1341">
        <v>10.555</v>
      </c>
      <c r="D19" s="1342" t="s">
        <v>2124</v>
      </c>
      <c r="E19" s="1343"/>
      <c r="F19" s="1343">
        <v>128421</v>
      </c>
      <c r="G19" s="1343"/>
      <c r="H19" s="1343"/>
      <c r="I19" s="1343">
        <v>128421</v>
      </c>
      <c r="J19" s="1343"/>
      <c r="K19" s="1343"/>
      <c r="L19" s="1340">
        <f t="shared" si="0"/>
        <v>128421</v>
      </c>
      <c r="M19" s="1343" t="s">
        <v>2125</v>
      </c>
    </row>
    <row r="20" spans="2:14" ht="20.100000000000001" customHeight="1" x14ac:dyDescent="0.2">
      <c r="B20" s="1337" t="s">
        <v>2119</v>
      </c>
      <c r="C20" s="1341"/>
      <c r="D20" s="1342"/>
      <c r="E20" s="1343">
        <v>1495843</v>
      </c>
      <c r="F20" s="1343">
        <v>3086102</v>
      </c>
      <c r="G20" s="1343">
        <v>1495843</v>
      </c>
      <c r="H20" s="1343"/>
      <c r="I20" s="1343">
        <v>3086102</v>
      </c>
      <c r="J20" s="1343"/>
      <c r="K20" s="1343"/>
      <c r="L20" s="1340">
        <f t="shared" si="0"/>
        <v>4581945</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t="s">
        <v>2126</v>
      </c>
      <c r="C22" s="1341">
        <v>10.558</v>
      </c>
      <c r="D22" s="1342" t="s">
        <v>2127</v>
      </c>
      <c r="E22" s="1343">
        <v>12737</v>
      </c>
      <c r="F22" s="1343">
        <v>1483</v>
      </c>
      <c r="G22" s="1343">
        <v>12737</v>
      </c>
      <c r="H22" s="1343"/>
      <c r="I22" s="1343">
        <v>1483</v>
      </c>
      <c r="J22" s="1343"/>
      <c r="K22" s="1343"/>
      <c r="L22" s="1340">
        <f t="shared" si="0"/>
        <v>14220</v>
      </c>
      <c r="M22" s="1343" t="s">
        <v>2125</v>
      </c>
    </row>
    <row r="23" spans="2:14" ht="20.100000000000001" customHeight="1" x14ac:dyDescent="0.2">
      <c r="B23" s="1337" t="s">
        <v>2126</v>
      </c>
      <c r="C23" s="1341">
        <v>10.558</v>
      </c>
      <c r="D23" s="1342" t="s">
        <v>2128</v>
      </c>
      <c r="E23" s="1343"/>
      <c r="F23" s="1343">
        <v>11910</v>
      </c>
      <c r="G23" s="1343"/>
      <c r="H23" s="1343"/>
      <c r="I23" s="1343">
        <v>11910</v>
      </c>
      <c r="J23" s="1343"/>
      <c r="K23" s="1343"/>
      <c r="L23" s="1340">
        <f t="shared" si="0"/>
        <v>11910</v>
      </c>
      <c r="M23" s="1343" t="s">
        <v>2125</v>
      </c>
    </row>
    <row r="24" spans="2:14" ht="20.100000000000001" customHeight="1" x14ac:dyDescent="0.2">
      <c r="B24" s="1337" t="s">
        <v>2129</v>
      </c>
      <c r="C24" s="1341"/>
      <c r="D24" s="1342"/>
      <c r="E24" s="1343">
        <v>12737</v>
      </c>
      <c r="F24" s="1343">
        <v>13393</v>
      </c>
      <c r="G24" s="1343">
        <v>12737</v>
      </c>
      <c r="H24" s="1343"/>
      <c r="I24" s="1343">
        <v>13393</v>
      </c>
      <c r="J24" s="1343"/>
      <c r="K24" s="1343"/>
      <c r="L24" s="1340">
        <f t="shared" si="0"/>
        <v>26130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t="s">
        <v>2130</v>
      </c>
      <c r="C26" s="1341"/>
      <c r="D26" s="1342"/>
      <c r="E26" s="1343">
        <v>1508580</v>
      </c>
      <c r="F26" s="1343">
        <v>3099495</v>
      </c>
      <c r="G26" s="1343">
        <v>1508580</v>
      </c>
      <c r="H26" s="1343"/>
      <c r="I26" s="1343">
        <v>3099495</v>
      </c>
      <c r="J26" s="1343"/>
      <c r="K26" s="1343"/>
      <c r="L26" s="1340">
        <f t="shared" si="0"/>
        <v>4608075</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I15" sqref="I15"/>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Wheeling CCSD 21</v>
      </c>
      <c r="C1" s="2452"/>
      <c r="D1" s="2452"/>
      <c r="E1" s="2452"/>
      <c r="F1" s="2452"/>
      <c r="G1" s="2452"/>
      <c r="H1" s="2452"/>
      <c r="I1" s="2452"/>
      <c r="J1" s="2452"/>
      <c r="K1" s="2452"/>
      <c r="L1" s="2452"/>
      <c r="M1" s="2452"/>
    </row>
    <row r="2" spans="2:14" ht="15" x14ac:dyDescent="0.2">
      <c r="B2" s="2453">
        <f>'Single Audit Cover'!E7</f>
        <v>5016021004</v>
      </c>
      <c r="C2" s="2453"/>
      <c r="D2" s="2453"/>
      <c r="E2" s="2453"/>
      <c r="F2" s="2453"/>
      <c r="G2" s="2453"/>
      <c r="H2" s="2453"/>
      <c r="I2" s="2453"/>
      <c r="J2" s="2453"/>
      <c r="K2" s="2453"/>
      <c r="L2" s="2453"/>
      <c r="M2" s="2453"/>
      <c r="N2" s="1302"/>
    </row>
    <row r="3" spans="2:14" ht="15" x14ac:dyDescent="0.2">
      <c r="B3" s="2454" t="s">
        <v>1281</v>
      </c>
      <c r="C3" s="2454"/>
      <c r="D3" s="2454"/>
      <c r="E3" s="2454"/>
      <c r="F3" s="2454"/>
      <c r="G3" s="2454"/>
      <c r="H3" s="2454"/>
      <c r="I3" s="2454"/>
      <c r="J3" s="2454"/>
      <c r="K3" s="2454"/>
      <c r="L3" s="2454"/>
      <c r="M3" s="2454"/>
      <c r="N3" s="1302"/>
    </row>
    <row r="4" spans="2:14" ht="15" x14ac:dyDescent="0.2">
      <c r="B4" s="2455" t="str">
        <f>'Single Audit Cover'!A4</f>
        <v>Year Ending June 30, 2018</v>
      </c>
      <c r="C4" s="2455"/>
      <c r="D4" s="2455"/>
      <c r="E4" s="2455"/>
      <c r="F4" s="2455"/>
      <c r="G4" s="2455"/>
      <c r="H4" s="2455"/>
      <c r="I4" s="2455"/>
      <c r="J4" s="2455"/>
      <c r="K4" s="2455"/>
      <c r="L4" s="2455"/>
      <c r="M4" s="2455"/>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2131</v>
      </c>
      <c r="C11" s="1338"/>
      <c r="D11" s="1339"/>
      <c r="E11" s="1340"/>
      <c r="F11" s="1340"/>
      <c r="G11" s="1340"/>
      <c r="H11" s="1340"/>
      <c r="I11" s="1340"/>
      <c r="J11" s="1340"/>
      <c r="K11" s="1340"/>
      <c r="L11" s="1340">
        <f>+G11+I11+K11</f>
        <v>0</v>
      </c>
      <c r="M11" s="1340"/>
    </row>
    <row r="12" spans="2:14" ht="20.100000000000001" customHeight="1" x14ac:dyDescent="0.2">
      <c r="B12" s="1337" t="s">
        <v>2136</v>
      </c>
      <c r="C12" s="1341"/>
      <c r="D12" s="1342"/>
      <c r="E12" s="1343"/>
      <c r="F12" s="1343"/>
      <c r="G12" s="1343"/>
      <c r="H12" s="1343"/>
      <c r="I12" s="1343"/>
      <c r="J12" s="1343"/>
      <c r="K12" s="1343"/>
      <c r="L12" s="1340">
        <f t="shared" ref="L12:L27" si="0">+G12+I12+K12</f>
        <v>0</v>
      </c>
      <c r="M12" s="1343"/>
    </row>
    <row r="13" spans="2:14" ht="20.100000000000001" customHeight="1" x14ac:dyDescent="0.2">
      <c r="B13" s="1337" t="s">
        <v>2132</v>
      </c>
      <c r="C13" s="1341">
        <v>93.778000000000006</v>
      </c>
      <c r="D13" s="1342" t="s">
        <v>2133</v>
      </c>
      <c r="E13" s="1343"/>
      <c r="F13" s="1343">
        <v>180141</v>
      </c>
      <c r="G13" s="1343"/>
      <c r="H13" s="1343"/>
      <c r="I13" s="1343">
        <v>187647</v>
      </c>
      <c r="J13" s="1343"/>
      <c r="K13" s="1343"/>
      <c r="L13" s="1340">
        <f t="shared" si="0"/>
        <v>187647</v>
      </c>
      <c r="M13" s="1343" t="s">
        <v>2125</v>
      </c>
    </row>
    <row r="14" spans="2:14" ht="20.100000000000001" customHeight="1" x14ac:dyDescent="0.2">
      <c r="B14" s="1337" t="s">
        <v>2134</v>
      </c>
      <c r="C14" s="1341"/>
      <c r="D14" s="1342"/>
      <c r="E14" s="1343"/>
      <c r="F14" s="1343">
        <v>180141</v>
      </c>
      <c r="G14" s="1343"/>
      <c r="H14" s="1343"/>
      <c r="I14" s="1343">
        <v>187647</v>
      </c>
      <c r="J14" s="1343"/>
      <c r="K14" s="1343"/>
      <c r="L14" s="1340">
        <f t="shared" si="0"/>
        <v>187647</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t="s">
        <v>2135</v>
      </c>
      <c r="C16" s="1341"/>
      <c r="D16" s="1342"/>
      <c r="E16" s="1343"/>
      <c r="F16" s="1343"/>
      <c r="G16" s="1343"/>
      <c r="H16" s="1343"/>
      <c r="I16" s="1343"/>
      <c r="J16" s="1343"/>
      <c r="K16" s="1343"/>
      <c r="L16" s="1340">
        <f t="shared" si="0"/>
        <v>0</v>
      </c>
      <c r="M16" s="1343"/>
    </row>
    <row r="17" spans="2:14" ht="20.100000000000001" customHeight="1" x14ac:dyDescent="0.2">
      <c r="B17" s="1337" t="s">
        <v>2137</v>
      </c>
      <c r="C17" s="1341"/>
      <c r="D17" s="1342"/>
      <c r="E17" s="1343"/>
      <c r="F17" s="1343"/>
      <c r="G17" s="1343"/>
      <c r="H17" s="1343"/>
      <c r="I17" s="1343"/>
      <c r="J17" s="1343"/>
      <c r="K17" s="1343"/>
      <c r="L17" s="1340">
        <f t="shared" si="0"/>
        <v>0</v>
      </c>
      <c r="M17" s="1343"/>
    </row>
    <row r="18" spans="2:14" ht="20.100000000000001" customHeight="1" x14ac:dyDescent="0.2">
      <c r="B18" s="1337" t="s">
        <v>2138</v>
      </c>
      <c r="C18" s="1341" t="s">
        <v>2139</v>
      </c>
      <c r="D18" s="1342" t="s">
        <v>2140</v>
      </c>
      <c r="E18" s="1343"/>
      <c r="F18" s="1343">
        <v>54798</v>
      </c>
      <c r="G18" s="1343"/>
      <c r="H18" s="1343"/>
      <c r="I18" s="1343">
        <v>54798</v>
      </c>
      <c r="J18" s="1343"/>
      <c r="K18" s="1343"/>
      <c r="L18" s="1340">
        <f t="shared" si="0"/>
        <v>54798</v>
      </c>
      <c r="M18" s="1343">
        <v>55764</v>
      </c>
    </row>
    <row r="19" spans="2:14" ht="20.100000000000001" customHeight="1" x14ac:dyDescent="0.2">
      <c r="B19" s="1337" t="s">
        <v>2141</v>
      </c>
      <c r="C19" s="1341" t="s">
        <v>2142</v>
      </c>
      <c r="D19" s="1342" t="s">
        <v>2143</v>
      </c>
      <c r="E19" s="1343"/>
      <c r="F19" s="1343">
        <v>1343142</v>
      </c>
      <c r="G19" s="1343"/>
      <c r="H19" s="1343"/>
      <c r="I19" s="1343">
        <v>1343142</v>
      </c>
      <c r="J19" s="1343"/>
      <c r="K19" s="1343"/>
      <c r="L19" s="1340">
        <f t="shared" si="0"/>
        <v>1343142</v>
      </c>
      <c r="M19" s="1343">
        <v>1358673</v>
      </c>
    </row>
    <row r="20" spans="2:14" ht="20.100000000000001" customHeight="1" x14ac:dyDescent="0.2">
      <c r="B20" s="1337" t="s">
        <v>2144</v>
      </c>
      <c r="C20" s="1341"/>
      <c r="D20" s="1342"/>
      <c r="E20" s="1343"/>
      <c r="F20" s="1343">
        <v>1397940</v>
      </c>
      <c r="G20" s="1343"/>
      <c r="H20" s="1343"/>
      <c r="I20" s="1343">
        <v>1397940</v>
      </c>
      <c r="J20" s="1343"/>
      <c r="K20" s="1343"/>
      <c r="L20" s="1340">
        <f t="shared" si="0"/>
        <v>1397940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t="s">
        <v>2113</v>
      </c>
      <c r="C22" s="1341"/>
      <c r="D22" s="1342"/>
      <c r="E22" s="1343"/>
      <c r="F22" s="1343"/>
      <c r="G22" s="1343"/>
      <c r="H22" s="1343"/>
      <c r="I22" s="1343"/>
      <c r="J22" s="1343"/>
      <c r="K22" s="1343"/>
      <c r="L22" s="1340">
        <f t="shared" si="0"/>
        <v>0</v>
      </c>
      <c r="M22" s="1343"/>
    </row>
    <row r="23" spans="2:14" ht="20.100000000000001" customHeight="1" x14ac:dyDescent="0.2">
      <c r="B23" s="1337" t="s">
        <v>2145</v>
      </c>
      <c r="C23" s="1341" t="s">
        <v>2146</v>
      </c>
      <c r="D23" s="1342" t="s">
        <v>2147</v>
      </c>
      <c r="E23" s="1343">
        <v>1234487</v>
      </c>
      <c r="F23" s="1343">
        <v>132945</v>
      </c>
      <c r="G23" s="1343">
        <v>1234487</v>
      </c>
      <c r="H23" s="1343"/>
      <c r="I23" s="1343">
        <v>132945</v>
      </c>
      <c r="J23" s="1343"/>
      <c r="K23" s="1343"/>
      <c r="L23" s="1340">
        <f t="shared" si="0"/>
        <v>1367432</v>
      </c>
      <c r="M23" s="1343">
        <v>1626777</v>
      </c>
    </row>
    <row r="24" spans="2:14" ht="20.100000000000001" customHeight="1" x14ac:dyDescent="0.2">
      <c r="B24" s="1337" t="s">
        <v>2145</v>
      </c>
      <c r="C24" s="1341" t="s">
        <v>2146</v>
      </c>
      <c r="D24" s="1342" t="s">
        <v>2148</v>
      </c>
      <c r="E24" s="1343"/>
      <c r="F24" s="1343">
        <v>1477057</v>
      </c>
      <c r="G24" s="1343"/>
      <c r="H24" s="1343"/>
      <c r="I24" s="1343">
        <v>1477057</v>
      </c>
      <c r="J24" s="1343"/>
      <c r="K24" s="1343"/>
      <c r="L24" s="1340">
        <f t="shared" si="0"/>
        <v>1477057</v>
      </c>
      <c r="M24" s="1343">
        <v>1572424</v>
      </c>
    </row>
    <row r="25" spans="2:14" ht="20.100000000000001" customHeight="1" x14ac:dyDescent="0.2">
      <c r="B25" s="1337" t="s">
        <v>2149</v>
      </c>
      <c r="C25" s="1341" t="s">
        <v>2142</v>
      </c>
      <c r="D25" s="1342" t="s">
        <v>2150</v>
      </c>
      <c r="E25" s="1343"/>
      <c r="F25" s="1343">
        <v>36178</v>
      </c>
      <c r="G25" s="1343"/>
      <c r="H25" s="1343"/>
      <c r="I25" s="1343">
        <v>36178</v>
      </c>
      <c r="J25" s="1343"/>
      <c r="K25" s="1343"/>
      <c r="L25" s="1340">
        <f t="shared" si="0"/>
        <v>36178</v>
      </c>
      <c r="M25" s="1343" t="s">
        <v>2125</v>
      </c>
    </row>
    <row r="26" spans="2:14" ht="20.100000000000001" customHeight="1" x14ac:dyDescent="0.2">
      <c r="B26" s="1337" t="s">
        <v>2151</v>
      </c>
      <c r="C26" s="1341" t="s">
        <v>2152</v>
      </c>
      <c r="D26" s="1342" t="s">
        <v>2153</v>
      </c>
      <c r="E26" s="1343">
        <v>30615</v>
      </c>
      <c r="F26" s="1343">
        <v>8570</v>
      </c>
      <c r="G26" s="1343">
        <v>30615</v>
      </c>
      <c r="H26" s="1343"/>
      <c r="I26" s="1343">
        <v>8570</v>
      </c>
      <c r="J26" s="1343"/>
      <c r="K26" s="1343"/>
      <c r="L26" s="1340">
        <f t="shared" si="0"/>
        <v>39185</v>
      </c>
      <c r="M26" s="1343">
        <v>60888</v>
      </c>
    </row>
    <row r="27" spans="2:14" ht="20.100000000000001" customHeight="1" x14ac:dyDescent="0.2">
      <c r="B27" s="1337" t="s">
        <v>2151</v>
      </c>
      <c r="C27" s="1341" t="s">
        <v>2152</v>
      </c>
      <c r="D27" s="1342" t="s">
        <v>2154</v>
      </c>
      <c r="E27" s="1343"/>
      <c r="F27" s="1343">
        <v>10427</v>
      </c>
      <c r="G27" s="1343"/>
      <c r="H27" s="1343"/>
      <c r="I27" s="1343">
        <v>10427</v>
      </c>
      <c r="J27" s="1343"/>
      <c r="K27" s="1343"/>
      <c r="L27" s="1340">
        <f t="shared" si="0"/>
        <v>10427</v>
      </c>
      <c r="M27" s="1343">
        <v>21703</v>
      </c>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3" t="s">
        <v>1230</v>
      </c>
      <c r="B2" s="2073"/>
      <c r="C2" s="2073"/>
      <c r="D2" s="2073"/>
      <c r="E2" s="2073"/>
      <c r="F2" s="2073"/>
      <c r="G2" s="2073"/>
      <c r="H2" s="2073"/>
      <c r="I2" s="2073"/>
      <c r="J2" s="2073"/>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1893</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7" t="s">
        <v>1731</v>
      </c>
      <c r="B35" s="2088"/>
      <c r="C35" s="2088"/>
      <c r="D35" s="2088"/>
      <c r="E35" s="2089"/>
      <c r="F35" s="2089"/>
      <c r="G35" s="2089"/>
      <c r="H35" s="2089"/>
      <c r="I35" s="2089"/>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7" t="s">
        <v>331</v>
      </c>
      <c r="B47" s="2090"/>
      <c r="C47" s="2090"/>
      <c r="D47" s="2090"/>
      <c r="E47" s="2091"/>
      <c r="F47" s="2091"/>
      <c r="G47" s="2091"/>
      <c r="H47" s="2091"/>
      <c r="I47" s="2091"/>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2074</v>
      </c>
      <c r="C53" s="179">
        <v>22</v>
      </c>
      <c r="D53" s="247" t="s">
        <v>1537</v>
      </c>
      <c r="E53" s="248"/>
      <c r="F53" s="249"/>
      <c r="G53" s="249" t="s">
        <v>1536</v>
      </c>
      <c r="H53" s="250">
        <v>34700</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4"/>
      <c r="C57" s="2095"/>
      <c r="D57" s="2095"/>
      <c r="E57" s="2095"/>
      <c r="F57" s="2095"/>
      <c r="G57" s="2095"/>
      <c r="H57" s="2095"/>
      <c r="I57" s="2095"/>
      <c r="J57" s="2096"/>
    </row>
    <row r="58" spans="1:10" s="181" customFormat="1" x14ac:dyDescent="0.2">
      <c r="A58" s="253"/>
      <c r="B58" s="2097"/>
      <c r="C58" s="2098"/>
      <c r="D58" s="2098"/>
      <c r="E58" s="2098"/>
      <c r="F58" s="2098"/>
      <c r="G58" s="2098"/>
      <c r="H58" s="2098"/>
      <c r="I58" s="2098"/>
      <c r="J58" s="2099"/>
    </row>
    <row r="59" spans="1:10" s="181" customFormat="1" x14ac:dyDescent="0.2">
      <c r="A59" s="253"/>
      <c r="B59" s="2097"/>
      <c r="C59" s="2098"/>
      <c r="D59" s="2098"/>
      <c r="E59" s="2098"/>
      <c r="F59" s="2098"/>
      <c r="G59" s="2098"/>
      <c r="H59" s="2098"/>
      <c r="I59" s="2098"/>
      <c r="J59" s="2099"/>
    </row>
    <row r="60" spans="1:10" s="181" customFormat="1" x14ac:dyDescent="0.2">
      <c r="A60" s="253"/>
      <c r="B60" s="2097"/>
      <c r="C60" s="2098"/>
      <c r="D60" s="2098"/>
      <c r="E60" s="2098"/>
      <c r="F60" s="2098"/>
      <c r="G60" s="2098"/>
      <c r="H60" s="2098"/>
      <c r="I60" s="2098"/>
      <c r="J60" s="2099"/>
    </row>
    <row r="61" spans="1:10" s="181" customFormat="1" x14ac:dyDescent="0.2">
      <c r="A61" s="253"/>
      <c r="B61" s="2097"/>
      <c r="C61" s="2098"/>
      <c r="D61" s="2098"/>
      <c r="E61" s="2098"/>
      <c r="F61" s="2098"/>
      <c r="G61" s="2098"/>
      <c r="H61" s="2098"/>
      <c r="I61" s="2098"/>
      <c r="J61" s="2099"/>
    </row>
    <row r="62" spans="1:10" s="181" customFormat="1" x14ac:dyDescent="0.2">
      <c r="A62" s="253"/>
      <c r="B62" s="2097"/>
      <c r="C62" s="2098"/>
      <c r="D62" s="2098"/>
      <c r="E62" s="2098"/>
      <c r="F62" s="2098"/>
      <c r="G62" s="2098"/>
      <c r="H62" s="2098"/>
      <c r="I62" s="2098"/>
      <c r="J62" s="2099"/>
    </row>
    <row r="63" spans="1:10" s="181" customFormat="1" x14ac:dyDescent="0.2">
      <c r="A63" s="253"/>
      <c r="B63" s="2097"/>
      <c r="C63" s="2098"/>
      <c r="D63" s="2098"/>
      <c r="E63" s="2098"/>
      <c r="F63" s="2098"/>
      <c r="G63" s="2098"/>
      <c r="H63" s="2098"/>
      <c r="I63" s="2098"/>
      <c r="J63" s="2099"/>
    </row>
    <row r="64" spans="1:10" s="181" customFormat="1" x14ac:dyDescent="0.2">
      <c r="A64" s="253"/>
      <c r="B64" s="2097"/>
      <c r="C64" s="2098"/>
      <c r="D64" s="2098"/>
      <c r="E64" s="2098"/>
      <c r="F64" s="2098"/>
      <c r="G64" s="2098"/>
      <c r="H64" s="2098"/>
      <c r="I64" s="2098"/>
      <c r="J64" s="2099"/>
    </row>
    <row r="65" spans="1:10" s="181" customFormat="1" x14ac:dyDescent="0.2">
      <c r="A65" s="253"/>
      <c r="B65" s="2097"/>
      <c r="C65" s="2098"/>
      <c r="D65" s="2098"/>
      <c r="E65" s="2098"/>
      <c r="F65" s="2098"/>
      <c r="G65" s="2098"/>
      <c r="H65" s="2098"/>
      <c r="I65" s="2098"/>
      <c r="J65" s="2099"/>
    </row>
    <row r="66" spans="1:10" s="181" customFormat="1" x14ac:dyDescent="0.2">
      <c r="A66" s="253"/>
      <c r="B66" s="2097"/>
      <c r="C66" s="2098"/>
      <c r="D66" s="2098"/>
      <c r="E66" s="2098"/>
      <c r="F66" s="2098"/>
      <c r="G66" s="2098"/>
      <c r="H66" s="2098"/>
      <c r="I66" s="2098"/>
      <c r="J66" s="2099"/>
    </row>
    <row r="67" spans="1:10" s="181" customFormat="1" ht="9" customHeight="1" x14ac:dyDescent="0.2">
      <c r="A67" s="254"/>
      <c r="B67" s="2100"/>
      <c r="C67" s="2101"/>
      <c r="D67" s="2101"/>
      <c r="E67" s="2101"/>
      <c r="F67" s="2101"/>
      <c r="G67" s="2101"/>
      <c r="H67" s="2101"/>
      <c r="I67" s="2101"/>
      <c r="J67" s="210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7" t="s">
        <v>1390</v>
      </c>
      <c r="B70" s="2090"/>
      <c r="C70" s="2090"/>
      <c r="D70" s="2090"/>
      <c r="E70" s="2091"/>
      <c r="F70" s="2091"/>
      <c r="G70" s="2091"/>
      <c r="H70" s="2091"/>
      <c r="I70" s="2091"/>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2018</v>
      </c>
      <c r="I77" s="1861"/>
      <c r="J77" s="261">
        <v>43343</v>
      </c>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2" t="s">
        <v>1387</v>
      </c>
      <c r="B83" s="2092"/>
      <c r="C83" s="2092"/>
      <c r="D83" s="2093"/>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2066</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2066</v>
      </c>
      <c r="B88" s="286"/>
      <c r="C88" s="287"/>
      <c r="D88" s="288"/>
      <c r="E88" s="276"/>
      <c r="F88" s="276">
        <v>1</v>
      </c>
      <c r="G88" s="276"/>
      <c r="H88" s="276"/>
      <c r="I88" s="276"/>
      <c r="J88" s="277">
        <f>SUM(E88:I88)</f>
        <v>1</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4"/>
      <c r="C102" s="2075"/>
      <c r="D102" s="2075"/>
      <c r="E102" s="2075"/>
      <c r="F102" s="2075"/>
      <c r="G102" s="2075"/>
      <c r="H102" s="2075"/>
      <c r="I102" s="2076"/>
    </row>
    <row r="103" spans="1:9" s="181" customFormat="1" ht="11.25" customHeight="1" x14ac:dyDescent="0.2">
      <c r="A103" s="316"/>
      <c r="B103" s="2077"/>
      <c r="C103" s="2078"/>
      <c r="D103" s="2078"/>
      <c r="E103" s="2078"/>
      <c r="F103" s="2078"/>
      <c r="G103" s="2078"/>
      <c r="H103" s="2078"/>
      <c r="I103" s="2079"/>
    </row>
    <row r="104" spans="1:9" s="181" customFormat="1" ht="11.25" customHeight="1" x14ac:dyDescent="0.2">
      <c r="A104" s="316"/>
      <c r="B104" s="2077"/>
      <c r="C104" s="2078"/>
      <c r="D104" s="2078"/>
      <c r="E104" s="2078"/>
      <c r="F104" s="2078"/>
      <c r="G104" s="2078"/>
      <c r="H104" s="2078"/>
      <c r="I104" s="2079"/>
    </row>
    <row r="105" spans="1:9" s="181" customFormat="1" x14ac:dyDescent="0.2">
      <c r="A105" s="316"/>
      <c r="B105" s="2077"/>
      <c r="C105" s="2078"/>
      <c r="D105" s="2078"/>
      <c r="E105" s="2078"/>
      <c r="F105" s="2078"/>
      <c r="G105" s="2078"/>
      <c r="H105" s="2078"/>
      <c r="I105" s="2079"/>
    </row>
    <row r="106" spans="1:9" s="181" customFormat="1" ht="11.25" customHeight="1" x14ac:dyDescent="0.2">
      <c r="A106" s="316"/>
      <c r="B106" s="2077"/>
      <c r="C106" s="2078"/>
      <c r="D106" s="2078"/>
      <c r="E106" s="2078"/>
      <c r="F106" s="2078"/>
      <c r="G106" s="2078"/>
      <c r="H106" s="2078"/>
      <c r="I106" s="2079"/>
    </row>
    <row r="107" spans="1:9" s="181" customFormat="1" ht="11.25" customHeight="1" x14ac:dyDescent="0.2">
      <c r="A107" s="316"/>
      <c r="B107" s="2077"/>
      <c r="C107" s="2078"/>
      <c r="D107" s="2078"/>
      <c r="E107" s="2078"/>
      <c r="F107" s="2078"/>
      <c r="G107" s="2078"/>
      <c r="H107" s="2078"/>
      <c r="I107" s="2079"/>
    </row>
    <row r="108" spans="1:9" s="181" customFormat="1" ht="11.25" customHeight="1" x14ac:dyDescent="0.2">
      <c r="A108" s="316"/>
      <c r="B108" s="2077"/>
      <c r="C108" s="2078"/>
      <c r="D108" s="2078"/>
      <c r="E108" s="2078"/>
      <c r="F108" s="2078"/>
      <c r="G108" s="2078"/>
      <c r="H108" s="2078"/>
      <c r="I108" s="2079"/>
    </row>
    <row r="109" spans="1:9" s="181" customFormat="1" ht="11.25" customHeight="1" x14ac:dyDescent="0.2">
      <c r="A109" s="316"/>
      <c r="B109" s="2077"/>
      <c r="C109" s="2078"/>
      <c r="D109" s="2078"/>
      <c r="E109" s="2078"/>
      <c r="F109" s="2078"/>
      <c r="G109" s="2078"/>
      <c r="H109" s="2078"/>
      <c r="I109" s="2079"/>
    </row>
    <row r="110" spans="1:9" s="181" customFormat="1" ht="11.25" customHeight="1" x14ac:dyDescent="0.2">
      <c r="A110" s="316"/>
      <c r="B110" s="2077"/>
      <c r="C110" s="2078"/>
      <c r="D110" s="2078"/>
      <c r="E110" s="2078"/>
      <c r="F110" s="2078"/>
      <c r="G110" s="2078"/>
      <c r="H110" s="2078"/>
      <c r="I110" s="2079"/>
    </row>
    <row r="111" spans="1:9" s="181" customFormat="1" ht="11.25" customHeight="1" x14ac:dyDescent="0.2">
      <c r="A111" s="316"/>
      <c r="B111" s="2077"/>
      <c r="C111" s="2078"/>
      <c r="D111" s="2078"/>
      <c r="E111" s="2078"/>
      <c r="F111" s="2078"/>
      <c r="G111" s="2078"/>
      <c r="H111" s="2078"/>
      <c r="I111" s="2079"/>
    </row>
    <row r="112" spans="1:9" s="181" customFormat="1" ht="11.25" customHeight="1" x14ac:dyDescent="0.2">
      <c r="A112" s="316"/>
      <c r="B112" s="2080"/>
      <c r="C112" s="2081"/>
      <c r="D112" s="2081"/>
      <c r="E112" s="2081"/>
      <c r="F112" s="2081"/>
      <c r="G112" s="2081"/>
      <c r="H112" s="2081"/>
      <c r="I112" s="208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3" t="s">
        <v>2081</v>
      </c>
      <c r="D114" s="2083"/>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4" t="s">
        <v>1397</v>
      </c>
      <c r="D117" s="2085"/>
      <c r="E117" s="2086"/>
      <c r="F117" s="2086"/>
      <c r="G117" s="2086"/>
      <c r="H117" s="2086"/>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2019</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O42" sqref="O42"/>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Wheeling CCSD 21</v>
      </c>
      <c r="C1" s="2452"/>
      <c r="D1" s="2452"/>
      <c r="E1" s="2452"/>
      <c r="F1" s="2452"/>
      <c r="G1" s="2452"/>
      <c r="H1" s="2452"/>
      <c r="I1" s="2452"/>
      <c r="J1" s="2452"/>
      <c r="K1" s="2452"/>
      <c r="L1" s="2452"/>
      <c r="M1" s="2452"/>
    </row>
    <row r="2" spans="2:14" ht="15" x14ac:dyDescent="0.2">
      <c r="B2" s="2453">
        <f>'Single Audit Cover'!E7</f>
        <v>5016021004</v>
      </c>
      <c r="C2" s="2453"/>
      <c r="D2" s="2453"/>
      <c r="E2" s="2453"/>
      <c r="F2" s="2453"/>
      <c r="G2" s="2453"/>
      <c r="H2" s="2453"/>
      <c r="I2" s="2453"/>
      <c r="J2" s="2453"/>
      <c r="K2" s="2453"/>
      <c r="L2" s="2453"/>
      <c r="M2" s="2453"/>
      <c r="N2" s="1302"/>
    </row>
    <row r="3" spans="2:14" ht="15" x14ac:dyDescent="0.2">
      <c r="B3" s="2454" t="s">
        <v>1281</v>
      </c>
      <c r="C3" s="2454"/>
      <c r="D3" s="2454"/>
      <c r="E3" s="2454"/>
      <c r="F3" s="2454"/>
      <c r="G3" s="2454"/>
      <c r="H3" s="2454"/>
      <c r="I3" s="2454"/>
      <c r="J3" s="2454"/>
      <c r="K3" s="2454"/>
      <c r="L3" s="2454"/>
      <c r="M3" s="2454"/>
      <c r="N3" s="1302"/>
    </row>
    <row r="4" spans="2:14" ht="15" x14ac:dyDescent="0.2">
      <c r="B4" s="2455" t="str">
        <f>'Single Audit Cover'!A4</f>
        <v>Year Ending June 30, 2018</v>
      </c>
      <c r="C4" s="2455"/>
      <c r="D4" s="2455"/>
      <c r="E4" s="2455"/>
      <c r="F4" s="2455"/>
      <c r="G4" s="2455"/>
      <c r="H4" s="2455"/>
      <c r="I4" s="2455"/>
      <c r="J4" s="2455"/>
      <c r="K4" s="2455"/>
      <c r="L4" s="2455"/>
      <c r="M4" s="2455"/>
      <c r="N4" s="1302"/>
    </row>
    <row r="6" spans="2:14" x14ac:dyDescent="0.2">
      <c r="B6" s="1303"/>
      <c r="C6" s="1304"/>
      <c r="D6" s="1305" t="s">
        <v>1327</v>
      </c>
      <c r="E6" s="1306" t="s">
        <v>548</v>
      </c>
      <c r="F6" s="1307"/>
      <c r="G6" s="1308" t="s">
        <v>1834</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1835</v>
      </c>
      <c r="D9" s="1314" t="s">
        <v>1836</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t="s">
        <v>2155</v>
      </c>
      <c r="C11" s="1338"/>
      <c r="D11" s="1339"/>
      <c r="E11" s="1340"/>
      <c r="F11" s="1340"/>
      <c r="G11" s="1340"/>
      <c r="H11" s="1340"/>
      <c r="I11" s="1340"/>
      <c r="J11" s="1340"/>
      <c r="K11" s="1340"/>
      <c r="L11" s="1340">
        <f>+G11+I11+K11</f>
        <v>0</v>
      </c>
      <c r="M11" s="1340"/>
    </row>
    <row r="12" spans="2:14" ht="20.100000000000001" customHeight="1" x14ac:dyDescent="0.2">
      <c r="B12" s="1337" t="s">
        <v>2156</v>
      </c>
      <c r="C12" s="1341" t="s">
        <v>2152</v>
      </c>
      <c r="D12" s="1342" t="s">
        <v>2157</v>
      </c>
      <c r="E12" s="1343">
        <v>224401</v>
      </c>
      <c r="F12" s="1343">
        <v>45046</v>
      </c>
      <c r="G12" s="1343">
        <v>224401</v>
      </c>
      <c r="H12" s="1343"/>
      <c r="I12" s="1343">
        <v>45046</v>
      </c>
      <c r="J12" s="1343"/>
      <c r="K12" s="1343"/>
      <c r="L12" s="1340">
        <f t="shared" ref="L12:L27" si="0">+G12+I12+K12</f>
        <v>269447</v>
      </c>
      <c r="M12" s="1343">
        <v>339116</v>
      </c>
    </row>
    <row r="13" spans="2:14" ht="20.100000000000001" customHeight="1" x14ac:dyDescent="0.2">
      <c r="B13" s="1337" t="s">
        <v>2156</v>
      </c>
      <c r="C13" s="1341" t="s">
        <v>2152</v>
      </c>
      <c r="D13" s="1342" t="s">
        <v>2158</v>
      </c>
      <c r="E13" s="1343"/>
      <c r="F13" s="1343">
        <v>217338</v>
      </c>
      <c r="G13" s="1343"/>
      <c r="H13" s="1343"/>
      <c r="I13" s="1343">
        <v>217338</v>
      </c>
      <c r="J13" s="1343"/>
      <c r="K13" s="1343"/>
      <c r="L13" s="1340">
        <f t="shared" si="0"/>
        <v>217338</v>
      </c>
      <c r="M13" s="1343">
        <v>342619</v>
      </c>
    </row>
    <row r="14" spans="2:14" ht="20.100000000000001" customHeight="1" x14ac:dyDescent="0.2">
      <c r="B14" s="1337" t="s">
        <v>2159</v>
      </c>
      <c r="C14" s="1341" t="s">
        <v>2160</v>
      </c>
      <c r="D14" s="1342" t="s">
        <v>2161</v>
      </c>
      <c r="E14" s="1343">
        <v>82427</v>
      </c>
      <c r="F14" s="1343">
        <v>39195</v>
      </c>
      <c r="G14" s="1343">
        <v>82427</v>
      </c>
      <c r="H14" s="1343"/>
      <c r="I14" s="1343">
        <v>39195</v>
      </c>
      <c r="J14" s="1343"/>
      <c r="K14" s="1343"/>
      <c r="L14" s="1340">
        <f t="shared" si="0"/>
        <v>121622</v>
      </c>
      <c r="M14" s="1343">
        <v>121622</v>
      </c>
    </row>
    <row r="15" spans="2:14" ht="20.100000000000001" customHeight="1" x14ac:dyDescent="0.2">
      <c r="B15" s="1337" t="s">
        <v>2159</v>
      </c>
      <c r="C15" s="1341" t="s">
        <v>2160</v>
      </c>
      <c r="D15" s="1342" t="s">
        <v>2162</v>
      </c>
      <c r="E15" s="1343"/>
      <c r="F15" s="1343">
        <v>127832</v>
      </c>
      <c r="G15" s="1343"/>
      <c r="H15" s="1343"/>
      <c r="I15" s="1343">
        <v>127832</v>
      </c>
      <c r="J15" s="1343"/>
      <c r="K15" s="1343"/>
      <c r="L15" s="1340">
        <f t="shared" si="0"/>
        <v>127832</v>
      </c>
      <c r="M15" s="1343">
        <v>229055</v>
      </c>
    </row>
    <row r="16" spans="2:14" ht="20.100000000000001" customHeight="1" x14ac:dyDescent="0.2">
      <c r="B16" s="1337" t="s">
        <v>2163</v>
      </c>
      <c r="C16" s="1341"/>
      <c r="D16" s="1342"/>
      <c r="E16" s="1343">
        <v>1571930</v>
      </c>
      <c r="F16" s="1343">
        <v>2094588</v>
      </c>
      <c r="G16" s="1343">
        <v>1571930</v>
      </c>
      <c r="H16" s="1343"/>
      <c r="I16" s="1343">
        <v>2094588</v>
      </c>
      <c r="J16" s="1343"/>
      <c r="K16" s="1343"/>
      <c r="L16" s="1340">
        <f t="shared" si="0"/>
        <v>3666518</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t="s">
        <v>2164</v>
      </c>
      <c r="C18" s="1341"/>
      <c r="D18" s="1342"/>
      <c r="E18" s="1343">
        <v>1571930</v>
      </c>
      <c r="F18" s="1343">
        <v>3492528</v>
      </c>
      <c r="G18" s="1343">
        <v>1571930</v>
      </c>
      <c r="H18" s="1343"/>
      <c r="I18" s="1343">
        <v>3492528</v>
      </c>
      <c r="J18" s="1343"/>
      <c r="K18" s="1343"/>
      <c r="L18" s="1340">
        <f t="shared" si="0"/>
        <v>5064458</v>
      </c>
      <c r="M18" s="1343"/>
    </row>
    <row r="19" spans="2:14" ht="20.100000000000001" customHeight="1" x14ac:dyDescent="0.2">
      <c r="B19" s="1337" t="s">
        <v>2165</v>
      </c>
      <c r="C19" s="1341"/>
      <c r="D19" s="1342"/>
      <c r="E19" s="1343">
        <v>3080510</v>
      </c>
      <c r="F19" s="1343">
        <v>6772164</v>
      </c>
      <c r="G19" s="1343">
        <v>3080510</v>
      </c>
      <c r="H19" s="1343"/>
      <c r="I19" s="1343">
        <v>6779670</v>
      </c>
      <c r="J19" s="1343"/>
      <c r="K19" s="1343"/>
      <c r="L19" s="1340">
        <f t="shared" si="0"/>
        <v>9860180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t="s">
        <v>2166</v>
      </c>
      <c r="C22" s="1341" t="s">
        <v>2125</v>
      </c>
      <c r="D22" s="1342" t="s">
        <v>2125</v>
      </c>
      <c r="E22" s="1343">
        <v>0</v>
      </c>
      <c r="F22" s="1343">
        <v>265336</v>
      </c>
      <c r="G22" s="1343">
        <v>0</v>
      </c>
      <c r="H22" s="1343"/>
      <c r="I22" s="1343">
        <v>265336</v>
      </c>
      <c r="J22" s="1343"/>
      <c r="K22" s="1343"/>
      <c r="L22" s="1340">
        <f t="shared" si="0"/>
        <v>265336</v>
      </c>
      <c r="M22" s="1343"/>
    </row>
    <row r="23" spans="2:14" ht="20.100000000000001" customHeight="1" x14ac:dyDescent="0.2">
      <c r="B23" s="1337" t="s">
        <v>2167</v>
      </c>
      <c r="C23" s="1341" t="s">
        <v>2125</v>
      </c>
      <c r="D23" s="1342" t="s">
        <v>2125</v>
      </c>
      <c r="E23" s="1343">
        <v>0</v>
      </c>
      <c r="F23" s="1343">
        <v>0</v>
      </c>
      <c r="G23" s="1343">
        <v>0</v>
      </c>
      <c r="H23" s="1343"/>
      <c r="I23" s="1343">
        <v>0</v>
      </c>
      <c r="J23" s="1343"/>
      <c r="K23" s="1343"/>
      <c r="L23" s="1340">
        <f t="shared" si="0"/>
        <v>0</v>
      </c>
      <c r="M23" s="1343"/>
    </row>
    <row r="24" spans="2:14" ht="20.100000000000001" customHeight="1" x14ac:dyDescent="0.2">
      <c r="B24" s="1337" t="s">
        <v>2168</v>
      </c>
      <c r="C24" s="1341" t="s">
        <v>2125</v>
      </c>
      <c r="D24" s="1342" t="s">
        <v>2125</v>
      </c>
      <c r="E24" s="1343">
        <v>0</v>
      </c>
      <c r="F24" s="1343">
        <v>0</v>
      </c>
      <c r="G24" s="1343">
        <v>0</v>
      </c>
      <c r="H24" s="1343"/>
      <c r="I24" s="1343">
        <v>0</v>
      </c>
      <c r="J24" s="1343"/>
      <c r="K24" s="1343"/>
      <c r="L24" s="1340">
        <f t="shared" si="0"/>
        <v>0</v>
      </c>
      <c r="M24" s="1343"/>
    </row>
    <row r="25" spans="2:14" ht="20.100000000000001" customHeight="1" x14ac:dyDescent="0.2">
      <c r="B25" s="1337" t="s">
        <v>2169</v>
      </c>
      <c r="C25" s="1341" t="s">
        <v>2125</v>
      </c>
      <c r="D25" s="1342" t="s">
        <v>2125</v>
      </c>
      <c r="E25" s="1343">
        <v>0</v>
      </c>
      <c r="F25" s="1343">
        <v>0</v>
      </c>
      <c r="G25" s="1343">
        <v>0</v>
      </c>
      <c r="H25" s="1343"/>
      <c r="I25" s="1343">
        <v>0</v>
      </c>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1837</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1948</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1838</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1839</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1840</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1841</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C29" sqref="C29"/>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5" t="str">
        <f>'Single Audit Cover'!A7</f>
        <v>Wheeling CCSD 21</v>
      </c>
      <c r="B1" s="2465"/>
      <c r="C1" s="2465"/>
      <c r="D1" s="2465"/>
      <c r="E1" s="2465"/>
      <c r="F1" s="2465"/>
    </row>
    <row r="2" spans="1:7" ht="13.5" customHeight="1" x14ac:dyDescent="0.2">
      <c r="A2" s="2453">
        <f>'Single Audit Cover'!E7</f>
        <v>5016021004</v>
      </c>
      <c r="B2" s="2453"/>
      <c r="C2" s="2453"/>
      <c r="D2" s="2453"/>
      <c r="E2" s="2453"/>
      <c r="F2" s="2453"/>
      <c r="G2" s="1275"/>
    </row>
    <row r="3" spans="1:7" ht="15.75" customHeight="1" x14ac:dyDescent="0.2">
      <c r="A3" s="2466" t="s">
        <v>1333</v>
      </c>
      <c r="B3" s="2466"/>
      <c r="C3" s="2466"/>
      <c r="D3" s="2466"/>
      <c r="E3" s="2466"/>
      <c r="F3" s="2466"/>
    </row>
    <row r="4" spans="1:7" ht="13.5" customHeight="1" x14ac:dyDescent="0.2">
      <c r="A4" s="2467" t="str">
        <f>'Single Audit Cover'!A4</f>
        <v>Year Ending June 30, 2018</v>
      </c>
      <c r="B4" s="2467"/>
      <c r="C4" s="2467"/>
      <c r="D4" s="2467"/>
      <c r="E4" s="2467"/>
      <c r="F4" s="2467"/>
    </row>
    <row r="5" spans="1:7" ht="8.25" customHeight="1" x14ac:dyDescent="0.2">
      <c r="C5" s="317"/>
      <c r="D5" s="317"/>
    </row>
    <row r="6" spans="1:7" ht="13.5" customHeight="1" x14ac:dyDescent="0.2">
      <c r="A6" s="1276" t="s">
        <v>1831</v>
      </c>
      <c r="C6" s="317"/>
      <c r="D6" s="317"/>
    </row>
    <row r="7" spans="1:7" ht="60.95" customHeight="1" x14ac:dyDescent="0.2">
      <c r="A7" s="2464" t="s">
        <v>2172</v>
      </c>
      <c r="B7" s="2464"/>
      <c r="C7" s="2464"/>
      <c r="D7" s="2464"/>
      <c r="E7" s="2464"/>
      <c r="F7" s="2464"/>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c r="D10" s="1280" t="s">
        <v>1629</v>
      </c>
      <c r="E10" s="1281" t="s">
        <v>2074</v>
      </c>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64" t="s">
        <v>2173</v>
      </c>
      <c r="B13" s="2464"/>
      <c r="C13" s="2464"/>
      <c r="D13" s="2464"/>
      <c r="E13" s="2464"/>
      <c r="F13" s="2464"/>
    </row>
    <row r="14" spans="1:7" ht="9.75" customHeight="1" x14ac:dyDescent="0.2">
      <c r="C14" s="1260"/>
      <c r="D14" s="1260"/>
    </row>
    <row r="15" spans="1:7" ht="13.5" customHeight="1" x14ac:dyDescent="0.2">
      <c r="C15" s="1871" t="s">
        <v>1332</v>
      </c>
      <c r="D15" s="2462" t="s">
        <v>1331</v>
      </c>
      <c r="E15" s="2462"/>
      <c r="F15" s="2462"/>
    </row>
    <row r="16" spans="1:7" ht="13.5" customHeight="1" x14ac:dyDescent="0.2">
      <c r="A16" s="1282"/>
      <c r="B16" s="1276" t="s">
        <v>1330</v>
      </c>
      <c r="C16" s="1871" t="s">
        <v>1329</v>
      </c>
      <c r="D16" s="2463" t="s">
        <v>1670</v>
      </c>
      <c r="E16" s="2463"/>
      <c r="F16" s="2463"/>
    </row>
    <row r="17" spans="1:6" ht="20.45" customHeight="1" x14ac:dyDescent="0.2">
      <c r="A17" s="1283"/>
      <c r="B17" s="1284" t="s">
        <v>2174</v>
      </c>
      <c r="C17" s="1285"/>
      <c r="D17" s="2457"/>
      <c r="E17" s="2457"/>
      <c r="F17" s="2457"/>
    </row>
    <row r="18" spans="1:6" ht="20.65" customHeight="1" x14ac:dyDescent="0.2">
      <c r="A18" s="1283"/>
      <c r="B18" s="1284"/>
      <c r="C18" s="1285"/>
      <c r="D18" s="2457"/>
      <c r="E18" s="2457"/>
      <c r="F18" s="2457"/>
    </row>
    <row r="19" spans="1:6" ht="20.65" customHeight="1" x14ac:dyDescent="0.2">
      <c r="A19" s="1283"/>
      <c r="B19" s="1284"/>
      <c r="C19" s="1285"/>
      <c r="D19" s="2457"/>
      <c r="E19" s="2457"/>
      <c r="F19" s="2457"/>
    </row>
    <row r="20" spans="1:6" ht="20.65" customHeight="1" x14ac:dyDescent="0.2">
      <c r="A20" s="1283"/>
      <c r="B20" s="1284"/>
      <c r="C20" s="1285"/>
      <c r="D20" s="2457"/>
      <c r="E20" s="2457"/>
      <c r="F20" s="2457"/>
    </row>
    <row r="21" spans="1:6" ht="20.65" customHeight="1" x14ac:dyDescent="0.2">
      <c r="A21" s="1283"/>
      <c r="B21" s="1284"/>
      <c r="C21" s="1285"/>
      <c r="D21" s="2457"/>
      <c r="E21" s="2457"/>
      <c r="F21" s="2457"/>
    </row>
    <row r="22" spans="1:6" ht="20.65" customHeight="1" x14ac:dyDescent="0.2">
      <c r="A22" s="1283"/>
      <c r="B22" s="1284"/>
      <c r="C22" s="1285"/>
      <c r="D22" s="2457"/>
      <c r="E22" s="2457"/>
      <c r="F22" s="2457"/>
    </row>
    <row r="23" spans="1:6" ht="20.65" customHeight="1" x14ac:dyDescent="0.2">
      <c r="A23" s="1283"/>
      <c r="B23" s="1284"/>
      <c r="C23" s="1285"/>
      <c r="D23" s="2457"/>
      <c r="E23" s="2457"/>
      <c r="F23" s="2457"/>
    </row>
    <row r="24" spans="1:6" ht="20.65" customHeight="1" x14ac:dyDescent="0.2">
      <c r="A24" s="1283"/>
      <c r="B24" s="1284"/>
      <c r="C24" s="1285"/>
      <c r="D24" s="2457"/>
      <c r="E24" s="2457"/>
      <c r="F24" s="2457"/>
    </row>
    <row r="25" spans="1:6" ht="20.65" customHeight="1" x14ac:dyDescent="0.2">
      <c r="A25" s="1283"/>
      <c r="B25" s="1284"/>
      <c r="C25" s="1285"/>
      <c r="D25" s="2457"/>
      <c r="E25" s="2457"/>
      <c r="F25" s="2457"/>
    </row>
    <row r="26" spans="1:6" ht="20.65" customHeight="1" x14ac:dyDescent="0.2">
      <c r="A26" s="1283"/>
      <c r="B26" s="1284"/>
      <c r="C26" s="1285"/>
      <c r="D26" s="2457"/>
      <c r="E26" s="2457"/>
      <c r="F26" s="2457"/>
    </row>
    <row r="27" spans="1:6" ht="20.65" customHeight="1" x14ac:dyDescent="0.2">
      <c r="A27" s="1283"/>
      <c r="B27" s="1284"/>
      <c r="C27" s="1285"/>
      <c r="D27" s="2457"/>
      <c r="E27" s="2457"/>
      <c r="F27" s="2457"/>
    </row>
    <row r="28" spans="1:6" ht="20.65" customHeight="1" x14ac:dyDescent="0.2">
      <c r="A28" s="1283"/>
      <c r="B28" s="1284"/>
      <c r="C28" s="1285"/>
      <c r="D28" s="2457"/>
      <c r="E28" s="2457"/>
      <c r="F28" s="2457"/>
    </row>
    <row r="29" spans="1:6" ht="20.65" customHeight="1" x14ac:dyDescent="0.2">
      <c r="A29" s="1283"/>
      <c r="B29" s="1284"/>
      <c r="C29" s="1285"/>
      <c r="D29" s="2457"/>
      <c r="E29" s="2457"/>
      <c r="F29" s="2457"/>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8" t="s">
        <v>2175</v>
      </c>
      <c r="B32" s="2458"/>
      <c r="C32" s="2458"/>
      <c r="D32" s="2458"/>
      <c r="E32" s="2458"/>
      <c r="F32" s="2458"/>
    </row>
    <row r="33" spans="1:6" ht="13.5" customHeight="1" x14ac:dyDescent="0.2">
      <c r="A33" s="328" t="s">
        <v>1509</v>
      </c>
      <c r="B33" s="328"/>
      <c r="C33" s="1288">
        <v>265336</v>
      </c>
      <c r="D33" s="1928"/>
      <c r="E33" s="1286"/>
    </row>
    <row r="34" spans="1:6" ht="13.5" customHeight="1" x14ac:dyDescent="0.2">
      <c r="A34" s="328" t="s">
        <v>1946</v>
      </c>
      <c r="B34" s="328"/>
      <c r="C34" s="1289">
        <v>0</v>
      </c>
      <c r="D34" s="1928" t="s">
        <v>1671</v>
      </c>
      <c r="E34" s="2459">
        <f>+C33+C34</f>
        <v>265336</v>
      </c>
      <c r="F34" s="2460"/>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v>0</v>
      </c>
      <c r="D38" s="1928"/>
      <c r="E38" s="1286"/>
    </row>
    <row r="39" spans="1:6" ht="14.25" customHeight="1" x14ac:dyDescent="0.2">
      <c r="A39" s="328"/>
      <c r="B39" s="328" t="s">
        <v>1511</v>
      </c>
      <c r="C39" s="1292">
        <v>0</v>
      </c>
      <c r="D39" s="1928"/>
      <c r="E39" s="1286"/>
    </row>
    <row r="40" spans="1:6" ht="14.25" customHeight="1" x14ac:dyDescent="0.2">
      <c r="A40" s="328"/>
      <c r="B40" s="328" t="s">
        <v>1512</v>
      </c>
      <c r="C40" s="1292">
        <v>0</v>
      </c>
      <c r="D40" s="1928"/>
      <c r="E40" s="1286"/>
    </row>
    <row r="41" spans="1:6" ht="14.25" customHeight="1" x14ac:dyDescent="0.2">
      <c r="A41" s="328"/>
      <c r="B41" s="328" t="s">
        <v>1513</v>
      </c>
      <c r="C41" s="1292">
        <v>0</v>
      </c>
      <c r="D41" s="1928"/>
      <c r="E41" s="1286"/>
    </row>
    <row r="42" spans="1:6" ht="14.25" customHeight="1" x14ac:dyDescent="0.2">
      <c r="A42" s="328" t="s">
        <v>1514</v>
      </c>
      <c r="B42" s="328"/>
      <c r="C42" s="1926">
        <v>0</v>
      </c>
      <c r="D42" s="1928"/>
      <c r="E42" s="1286"/>
    </row>
    <row r="43" spans="1:6" ht="14.25" customHeight="1" x14ac:dyDescent="0.2">
      <c r="A43" s="328" t="s">
        <v>1515</v>
      </c>
      <c r="B43" s="328"/>
      <c r="C43" s="1293" t="s">
        <v>401</v>
      </c>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1833</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1" t="s">
        <v>1672</v>
      </c>
      <c r="C49" s="2461"/>
      <c r="D49" s="2461"/>
      <c r="E49" s="1399"/>
    </row>
    <row r="50" spans="1:5" s="1300" customFormat="1" ht="3.75" customHeight="1" x14ac:dyDescent="0.2">
      <c r="A50" s="1299"/>
      <c r="B50" s="1870"/>
      <c r="C50" s="1870"/>
      <c r="D50" s="1870"/>
      <c r="E50" s="1399"/>
    </row>
    <row r="51" spans="1:5" s="1300" customFormat="1" ht="20.25" customHeight="1" x14ac:dyDescent="0.2">
      <c r="A51" s="1301">
        <v>6</v>
      </c>
      <c r="B51" s="2456" t="s">
        <v>1632</v>
      </c>
      <c r="C51" s="2456"/>
      <c r="D51" s="2456"/>
    </row>
    <row r="52" spans="1:5" ht="14.25" customHeight="1" x14ac:dyDescent="0.2">
      <c r="A52" s="1301"/>
      <c r="B52" s="2456"/>
      <c r="C52" s="2456"/>
      <c r="D52" s="2456"/>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18" zoomScale="110" zoomScaleNormal="110" workbookViewId="0">
      <selection activeCell="E52" sqref="E52"/>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9" t="str">
        <f>'Single Audit Cover'!A7</f>
        <v>Wheeling CCSD 21</v>
      </c>
      <c r="C1" s="2480"/>
      <c r="D1" s="2480"/>
      <c r="E1" s="2480"/>
      <c r="F1" s="2480"/>
      <c r="G1" s="2480"/>
      <c r="H1" s="2480"/>
      <c r="I1" s="2480"/>
      <c r="J1" s="1422"/>
    </row>
    <row r="2" spans="2:10" s="317" customFormat="1" ht="12.75" customHeight="1" x14ac:dyDescent="0.2">
      <c r="B2" s="2481">
        <f>'Single Audit Cover'!E7</f>
        <v>5016021004</v>
      </c>
      <c r="C2" s="2482"/>
      <c r="D2" s="2482"/>
      <c r="E2" s="2482"/>
      <c r="F2" s="2482"/>
      <c r="G2" s="2482"/>
      <c r="H2" s="2482"/>
      <c r="I2" s="2482"/>
      <c r="J2" s="1422"/>
    </row>
    <row r="3" spans="2:10" s="317" customFormat="1" ht="12.75" customHeight="1" x14ac:dyDescent="0.2">
      <c r="B3" s="2483" t="s">
        <v>1347</v>
      </c>
      <c r="C3" s="2484"/>
      <c r="D3" s="2484"/>
      <c r="E3" s="2484"/>
      <c r="F3" s="2484"/>
      <c r="G3" s="2484"/>
      <c r="H3" s="2484"/>
      <c r="I3" s="2484"/>
      <c r="J3" s="1423"/>
    </row>
    <row r="4" spans="2:10" s="317" customFormat="1" ht="12.75" customHeight="1" x14ac:dyDescent="0.2">
      <c r="B4" s="2483" t="str">
        <f>'Single Audit Cover'!A4</f>
        <v>Year Ending June 30, 2018</v>
      </c>
      <c r="C4" s="2484"/>
      <c r="D4" s="2484"/>
      <c r="E4" s="2484"/>
      <c r="F4" s="2484"/>
      <c r="G4" s="2484"/>
      <c r="H4" s="2484"/>
      <c r="I4" s="248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3" t="s">
        <v>1346</v>
      </c>
      <c r="C7" s="2484"/>
      <c r="D7" s="2484"/>
      <c r="E7" s="2484"/>
      <c r="F7" s="2484"/>
      <c r="G7" s="2484"/>
      <c r="H7" s="2484"/>
      <c r="I7" s="248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5" t="s">
        <v>1226</v>
      </c>
      <c r="D11" s="2485"/>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t="s">
        <v>2074</v>
      </c>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t="s">
        <v>2074</v>
      </c>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t="s">
        <v>2074</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t="s">
        <v>2074</v>
      </c>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t="s">
        <v>2074</v>
      </c>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6" t="s">
        <v>2170</v>
      </c>
      <c r="E29" s="2486"/>
      <c r="F29" s="2486"/>
      <c r="G29" s="2486"/>
      <c r="H29" s="2486"/>
      <c r="I29" s="2486"/>
    </row>
    <row r="30" spans="2:9" s="317" customFormat="1" x14ac:dyDescent="0.2">
      <c r="B30" s="1368"/>
      <c r="C30" s="322"/>
      <c r="D30" s="1433" t="s">
        <v>1848</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t="s">
        <v>2074</v>
      </c>
      <c r="H33" s="1300" t="s">
        <v>101</v>
      </c>
    </row>
    <row r="35" spans="2:9" x14ac:dyDescent="0.2">
      <c r="B35" s="1441" t="s">
        <v>1849</v>
      </c>
      <c r="C35" s="1442"/>
      <c r="D35" s="1267"/>
    </row>
    <row r="36" spans="2:9" ht="6" customHeight="1" x14ac:dyDescent="0.2">
      <c r="B36" s="1441"/>
      <c r="C36" s="1442"/>
      <c r="D36" s="1267"/>
    </row>
    <row r="37" spans="2:9" ht="17.25" customHeight="1" x14ac:dyDescent="0.2">
      <c r="B37" s="1443" t="s">
        <v>1850</v>
      </c>
      <c r="C37" s="2487" t="s">
        <v>1851</v>
      </c>
      <c r="D37" s="2488"/>
      <c r="E37" s="2488"/>
      <c r="F37" s="2489"/>
      <c r="G37" s="2487" t="s">
        <v>1674</v>
      </c>
      <c r="H37" s="2488"/>
      <c r="I37" s="2489"/>
    </row>
    <row r="38" spans="2:9" ht="16.5" customHeight="1" x14ac:dyDescent="0.2">
      <c r="B38" s="1444" t="s">
        <v>2146</v>
      </c>
      <c r="C38" s="2475" t="s">
        <v>974</v>
      </c>
      <c r="D38" s="2476"/>
      <c r="E38" s="2476"/>
      <c r="F38" s="2477"/>
      <c r="G38" s="2490">
        <v>1610002</v>
      </c>
      <c r="H38" s="2491"/>
      <c r="I38" s="2492"/>
    </row>
    <row r="39" spans="2:9" ht="16.5" customHeight="1" x14ac:dyDescent="0.2">
      <c r="B39" s="1444"/>
      <c r="C39" s="2475"/>
      <c r="D39" s="2476"/>
      <c r="E39" s="2476"/>
      <c r="F39" s="2477"/>
      <c r="G39" s="2478"/>
      <c r="H39" s="2478"/>
      <c r="I39" s="2478"/>
    </row>
    <row r="40" spans="2:9" ht="16.5" customHeight="1" x14ac:dyDescent="0.2">
      <c r="B40" s="1444"/>
      <c r="C40" s="2475"/>
      <c r="D40" s="2476"/>
      <c r="E40" s="2476"/>
      <c r="F40" s="2477"/>
      <c r="G40" s="2478"/>
      <c r="H40" s="2478"/>
      <c r="I40" s="2478"/>
    </row>
    <row r="41" spans="2:9" ht="16.5" customHeight="1" x14ac:dyDescent="0.2">
      <c r="B41" s="1444"/>
      <c r="C41" s="2475"/>
      <c r="D41" s="2476"/>
      <c r="E41" s="2476"/>
      <c r="F41" s="2477"/>
      <c r="G41" s="2478"/>
      <c r="H41" s="2478"/>
      <c r="I41" s="2478"/>
    </row>
    <row r="42" spans="2:9" ht="16.5" customHeight="1" x14ac:dyDescent="0.2">
      <c r="B42" s="1444"/>
      <c r="C42" s="2475"/>
      <c r="D42" s="2476"/>
      <c r="E42" s="2476"/>
      <c r="F42" s="2477"/>
      <c r="G42" s="2478"/>
      <c r="H42" s="2478"/>
      <c r="I42" s="2478"/>
    </row>
    <row r="43" spans="2:9" ht="16.5" customHeight="1" x14ac:dyDescent="0.2">
      <c r="B43" s="1444"/>
      <c r="C43" s="2468" t="s">
        <v>1675</v>
      </c>
      <c r="D43" s="2469"/>
      <c r="E43" s="2469"/>
      <c r="F43" s="2470"/>
      <c r="G43" s="2471">
        <f>SUM(G38:I42)</f>
        <v>1610002</v>
      </c>
      <c r="H43" s="2471"/>
      <c r="I43" s="2471"/>
    </row>
    <row r="44" spans="2:9" ht="12.75" customHeight="1" x14ac:dyDescent="0.2"/>
    <row r="45" spans="2:9" ht="12.75" customHeight="1" x14ac:dyDescent="0.2">
      <c r="B45" s="1435" t="s">
        <v>1949</v>
      </c>
      <c r="D45" s="2472">
        <v>6779670</v>
      </c>
      <c r="E45" s="2473"/>
    </row>
    <row r="46" spans="2:9" ht="5.25" customHeight="1" x14ac:dyDescent="0.2">
      <c r="B46" s="1445"/>
      <c r="D46" s="1446"/>
      <c r="E46" s="1447"/>
    </row>
    <row r="47" spans="2:9" ht="12.75" customHeight="1" x14ac:dyDescent="0.2">
      <c r="B47" s="1300" t="s">
        <v>1676</v>
      </c>
      <c r="C47" s="1300"/>
      <c r="D47" s="1448">
        <f>+G43/D45</f>
        <v>0.23747498034565104</v>
      </c>
      <c r="E47" s="1449"/>
      <c r="F47" s="1450"/>
      <c r="I47" s="1451"/>
    </row>
    <row r="48" spans="2:9" ht="9.9499999999999993" customHeight="1" x14ac:dyDescent="0.2"/>
    <row r="49" spans="1:9" x14ac:dyDescent="0.2">
      <c r="B49" s="1368" t="s">
        <v>1335</v>
      </c>
      <c r="C49" s="1282"/>
      <c r="D49" s="1282"/>
      <c r="E49" s="2474">
        <v>750000</v>
      </c>
      <c r="F49" s="2474"/>
      <c r="G49" s="2474"/>
      <c r="H49" s="322"/>
    </row>
    <row r="51" spans="1:9" ht="13.5" customHeight="1" x14ac:dyDescent="0.2">
      <c r="B51" s="1368" t="s">
        <v>1334</v>
      </c>
      <c r="C51" s="1282"/>
      <c r="E51" s="1438" t="s">
        <v>2074</v>
      </c>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1852</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1853</v>
      </c>
      <c r="C58" s="1464"/>
      <c r="D58" s="1464"/>
    </row>
    <row r="59" spans="1:9" s="1461" customFormat="1" ht="3.95" customHeight="1" x14ac:dyDescent="0.2">
      <c r="A59" s="1458"/>
      <c r="B59" s="1463"/>
      <c r="C59" s="1464"/>
      <c r="D59" s="1464"/>
    </row>
    <row r="60" spans="1:9" s="1461" customFormat="1" ht="13.5" customHeight="1" x14ac:dyDescent="0.2">
      <c r="A60" s="1458"/>
      <c r="B60" s="1463" t="s">
        <v>1854</v>
      </c>
      <c r="C60" s="1464"/>
      <c r="D60" s="1464"/>
    </row>
    <row r="61" spans="1:9" s="1461" customFormat="1" ht="3.95" customHeight="1" x14ac:dyDescent="0.2">
      <c r="A61" s="1458"/>
      <c r="B61" s="1463"/>
      <c r="C61" s="1464"/>
      <c r="D61" s="1464"/>
    </row>
    <row r="62" spans="1:9" s="1461" customFormat="1" ht="12.75" customHeight="1" x14ac:dyDescent="0.2">
      <c r="A62" s="1458"/>
      <c r="B62" s="1463" t="s">
        <v>1855</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D11" sqref="D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9" t="str">
        <f>'Single Audit Cover'!A7</f>
        <v>Wheeling CCSD 21</v>
      </c>
      <c r="C1" s="2479"/>
      <c r="D1" s="2479"/>
      <c r="E1" s="2479"/>
      <c r="F1" s="2479"/>
      <c r="G1" s="2479"/>
      <c r="H1" s="2479"/>
      <c r="I1" s="2479"/>
      <c r="J1" s="2479"/>
      <c r="K1" s="2479"/>
      <c r="L1" s="1374"/>
      <c r="M1" s="1374"/>
    </row>
    <row r="2" spans="1:13" ht="12" customHeight="1" x14ac:dyDescent="0.2">
      <c r="B2" s="2481">
        <f>'Single Audit Cover'!E7</f>
        <v>5016021004</v>
      </c>
      <c r="C2" s="2481"/>
      <c r="D2" s="2481"/>
      <c r="E2" s="2481"/>
      <c r="F2" s="2481"/>
      <c r="G2" s="2481"/>
      <c r="H2" s="2481"/>
      <c r="I2" s="2481"/>
      <c r="J2" s="2481"/>
      <c r="K2" s="2481"/>
      <c r="L2" s="1375"/>
      <c r="M2" s="1376"/>
    </row>
    <row r="3" spans="1:13" ht="10.35" customHeight="1" x14ac:dyDescent="0.2">
      <c r="B3" s="2495" t="s">
        <v>1347</v>
      </c>
      <c r="C3" s="2495"/>
      <c r="D3" s="2495"/>
      <c r="E3" s="2495"/>
      <c r="F3" s="2495"/>
      <c r="G3" s="2495"/>
      <c r="H3" s="2495"/>
      <c r="I3" s="2495"/>
      <c r="J3" s="2495"/>
      <c r="K3" s="2495"/>
      <c r="L3" s="1377"/>
      <c r="M3" s="1377"/>
    </row>
    <row r="4" spans="1:13" ht="14.25" customHeight="1" x14ac:dyDescent="0.2">
      <c r="B4" s="2496" t="str">
        <f>'Single Audit Cover'!A4</f>
        <v>Year Ending June 30, 2018</v>
      </c>
      <c r="C4" s="2496"/>
      <c r="D4" s="2496"/>
      <c r="E4" s="2496"/>
      <c r="F4" s="2496"/>
      <c r="G4" s="2496"/>
      <c r="H4" s="2496"/>
      <c r="I4" s="2496"/>
      <c r="J4" s="2496"/>
      <c r="K4" s="2496"/>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6" t="s">
        <v>1363</v>
      </c>
      <c r="C7" s="2496"/>
      <c r="D7" s="2497"/>
      <c r="E7" s="2497"/>
      <c r="F7" s="2497"/>
      <c r="G7" s="2497"/>
      <c r="H7" s="2497"/>
      <c r="I7" s="2497"/>
      <c r="J7" s="2497"/>
      <c r="K7" s="2497"/>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1842</v>
      </c>
      <c r="C10" s="1385" t="s">
        <v>1950</v>
      </c>
      <c r="D10" s="1386" t="s">
        <v>2171</v>
      </c>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4"/>
      <c r="C14" s="2494"/>
      <c r="D14" s="2494"/>
      <c r="E14" s="2494"/>
      <c r="F14" s="2494"/>
      <c r="G14" s="2494"/>
      <c r="H14" s="2494"/>
      <c r="I14" s="2494"/>
      <c r="J14" s="2494"/>
      <c r="K14" s="2494"/>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4"/>
      <c r="C17" s="2494"/>
      <c r="D17" s="2494"/>
      <c r="E17" s="2494"/>
      <c r="F17" s="2494"/>
      <c r="G17" s="2494"/>
      <c r="H17" s="2494"/>
      <c r="I17" s="2494"/>
      <c r="J17" s="2494"/>
      <c r="K17" s="2494"/>
      <c r="L17" s="1381"/>
    </row>
    <row r="18" spans="2:12" ht="4.5" customHeight="1" x14ac:dyDescent="0.2">
      <c r="B18" s="1398"/>
      <c r="C18" s="1398"/>
      <c r="L18" s="1381"/>
    </row>
    <row r="19" spans="2:12" s="1282" customFormat="1" ht="13.5" customHeight="1" x14ac:dyDescent="0.2">
      <c r="B19" s="1393" t="s">
        <v>1843</v>
      </c>
      <c r="C19" s="1393"/>
      <c r="D19" s="1394"/>
      <c r="E19" s="1394"/>
      <c r="F19" s="1394"/>
      <c r="G19" s="1395"/>
      <c r="H19" s="1394"/>
      <c r="I19" s="1395"/>
      <c r="J19" s="1394"/>
      <c r="K19" s="1394"/>
      <c r="L19" s="1396"/>
    </row>
    <row r="20" spans="2:12" ht="45.75" customHeight="1" x14ac:dyDescent="0.2">
      <c r="B20" s="2498"/>
      <c r="C20" s="2498"/>
      <c r="D20" s="2494"/>
      <c r="E20" s="2494"/>
      <c r="F20" s="2494"/>
      <c r="G20" s="2494"/>
      <c r="H20" s="2494"/>
      <c r="I20" s="2494"/>
      <c r="J20" s="2494"/>
      <c r="K20" s="2494"/>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4"/>
      <c r="C23" s="2494"/>
      <c r="D23" s="2494"/>
      <c r="E23" s="2494"/>
      <c r="F23" s="2494"/>
      <c r="G23" s="2494"/>
      <c r="H23" s="2494"/>
      <c r="I23" s="2494"/>
      <c r="J23" s="2494"/>
      <c r="K23" s="2494"/>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4"/>
      <c r="C26" s="2494"/>
      <c r="D26" s="2494"/>
      <c r="E26" s="2494"/>
      <c r="F26" s="2494"/>
      <c r="G26" s="2494"/>
      <c r="H26" s="2494"/>
      <c r="I26" s="2494"/>
      <c r="J26" s="2494"/>
      <c r="K26" s="2494"/>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3"/>
      <c r="C29" s="2493"/>
      <c r="D29" s="2494"/>
      <c r="E29" s="2494"/>
      <c r="F29" s="2494"/>
      <c r="G29" s="2494"/>
      <c r="H29" s="2494"/>
      <c r="I29" s="2494"/>
      <c r="J29" s="2494"/>
      <c r="K29" s="2494"/>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1844</v>
      </c>
      <c r="C31" s="1403"/>
      <c r="D31" s="1378"/>
      <c r="E31" s="1379"/>
      <c r="F31" s="1379"/>
      <c r="G31" s="1380"/>
      <c r="H31" s="1379"/>
      <c r="I31" s="1380"/>
      <c r="J31" s="1379"/>
      <c r="K31" s="1379"/>
      <c r="L31" s="1381"/>
    </row>
    <row r="32" spans="2:12" s="322" customFormat="1" ht="44.25" customHeight="1" x14ac:dyDescent="0.2">
      <c r="B32" s="2493"/>
      <c r="C32" s="2493"/>
      <c r="D32" s="2494"/>
      <c r="E32" s="2494"/>
      <c r="F32" s="2494"/>
      <c r="G32" s="2494"/>
      <c r="H32" s="2494"/>
      <c r="I32" s="2494"/>
      <c r="J32" s="2494"/>
      <c r="K32" s="2494"/>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1845</v>
      </c>
      <c r="C35" s="1419"/>
      <c r="D35" s="322"/>
      <c r="E35" s="322"/>
      <c r="F35" s="322"/>
      <c r="L35" s="1381"/>
    </row>
    <row r="36" spans="1:13" ht="9.6" customHeight="1" x14ac:dyDescent="0.2">
      <c r="B36" s="1300" t="s">
        <v>1951</v>
      </c>
      <c r="C36" s="1300"/>
      <c r="L36" s="1381"/>
    </row>
    <row r="37" spans="1:13" ht="9.6" customHeight="1" x14ac:dyDescent="0.2">
      <c r="B37" s="1300" t="s">
        <v>1952</v>
      </c>
      <c r="C37" s="1300"/>
    </row>
    <row r="38" spans="1:13" ht="11.85" customHeight="1" x14ac:dyDescent="0.2">
      <c r="B38" s="1420" t="s">
        <v>1846</v>
      </c>
      <c r="C38" s="1420"/>
    </row>
    <row r="39" spans="1:13" ht="9.6" customHeight="1" x14ac:dyDescent="0.2">
      <c r="B39" s="1300" t="s">
        <v>1348</v>
      </c>
      <c r="C39" s="1300"/>
      <c r="M39" s="1421"/>
    </row>
    <row r="40" spans="1:13" ht="12.6" customHeight="1" x14ac:dyDescent="0.2">
      <c r="B40" s="1420" t="s">
        <v>1847</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D9" sqref="D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Wheeling CCSD 21</v>
      </c>
      <c r="C1" s="2502"/>
      <c r="D1" s="2502"/>
      <c r="E1" s="2502"/>
      <c r="F1" s="2502"/>
      <c r="G1" s="2502"/>
      <c r="H1" s="2502"/>
      <c r="I1" s="2502"/>
      <c r="J1" s="2502"/>
      <c r="K1" s="2502"/>
      <c r="L1" s="1465"/>
    </row>
    <row r="2" spans="1:12" ht="12.75" customHeight="1" x14ac:dyDescent="0.2">
      <c r="B2" s="2503">
        <f>'Single Audit Cover'!E7</f>
        <v>5016021004</v>
      </c>
      <c r="C2" s="2503"/>
      <c r="D2" s="2503"/>
      <c r="E2" s="2503"/>
      <c r="F2" s="2503"/>
      <c r="G2" s="2503"/>
      <c r="H2" s="2503"/>
      <c r="I2" s="2503"/>
      <c r="J2" s="2503"/>
      <c r="K2" s="2503"/>
      <c r="L2" s="1466"/>
    </row>
    <row r="3" spans="1:12" ht="12.75" customHeight="1" x14ac:dyDescent="0.2">
      <c r="B3" s="2495" t="s">
        <v>1347</v>
      </c>
      <c r="C3" s="2495"/>
      <c r="D3" s="2495"/>
      <c r="E3" s="2495"/>
      <c r="F3" s="2495"/>
      <c r="G3" s="2495"/>
      <c r="H3" s="2495"/>
      <c r="I3" s="2495"/>
      <c r="J3" s="2495"/>
      <c r="K3" s="2495"/>
      <c r="L3" s="1377"/>
    </row>
    <row r="4" spans="1:12" ht="12.75" customHeight="1" x14ac:dyDescent="0.2">
      <c r="B4" s="2495" t="str">
        <f>'Single Audit Cover'!A4</f>
        <v>Year Ending June 30, 2018</v>
      </c>
      <c r="C4" s="2495"/>
      <c r="D4" s="2495"/>
      <c r="E4" s="2495"/>
      <c r="F4" s="2495"/>
      <c r="G4" s="2495"/>
      <c r="H4" s="2495"/>
      <c r="I4" s="2495"/>
      <c r="J4" s="2495"/>
      <c r="K4" s="2495"/>
      <c r="L4" s="1377"/>
    </row>
    <row r="5" spans="1:12" ht="5.25" customHeight="1" x14ac:dyDescent="0.2">
      <c r="B5" s="1260" t="s">
        <v>1231</v>
      </c>
      <c r="C5" s="1260"/>
      <c r="L5" s="322"/>
    </row>
    <row r="6" spans="1:12" ht="30.75" customHeight="1" x14ac:dyDescent="0.2">
      <c r="A6" s="322"/>
      <c r="B6" s="2504" t="s">
        <v>1375</v>
      </c>
      <c r="C6" s="2504"/>
      <c r="D6" s="2504"/>
      <c r="E6" s="2504"/>
      <c r="F6" s="2504"/>
      <c r="G6" s="2504"/>
      <c r="H6" s="2504"/>
      <c r="I6" s="2504"/>
      <c r="J6" s="2504"/>
      <c r="K6" s="2504"/>
      <c r="L6" s="322"/>
    </row>
    <row r="7" spans="1:12" ht="4.5" customHeight="1" x14ac:dyDescent="0.2">
      <c r="B7" s="1379"/>
      <c r="C7" s="1379"/>
      <c r="D7" s="1379"/>
      <c r="E7" s="1379"/>
      <c r="F7" s="1379"/>
      <c r="G7" s="1380"/>
      <c r="H7" s="1379"/>
      <c r="I7" s="1380"/>
      <c r="J7" s="1379"/>
      <c r="K7" s="1379"/>
      <c r="L7" s="322"/>
    </row>
    <row r="8" spans="1:12" ht="13.5" customHeight="1" x14ac:dyDescent="0.2">
      <c r="B8" s="1387" t="s">
        <v>1856</v>
      </c>
      <c r="C8" s="1467" t="s">
        <v>1950</v>
      </c>
      <c r="D8" s="1468" t="s">
        <v>2171</v>
      </c>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6"/>
      <c r="G12" s="2486"/>
      <c r="H12" s="2486"/>
      <c r="I12" s="2486"/>
      <c r="J12" s="2486"/>
      <c r="K12" s="248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4"/>
      <c r="C20" s="2494"/>
      <c r="D20" s="2494"/>
      <c r="E20" s="2494"/>
      <c r="F20" s="2494"/>
      <c r="G20" s="2494"/>
      <c r="H20" s="2494"/>
      <c r="I20" s="2494"/>
      <c r="J20" s="2494"/>
      <c r="K20" s="2494"/>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1857</v>
      </c>
      <c r="C22" s="1477"/>
      <c r="D22" s="322"/>
      <c r="E22" s="322"/>
      <c r="F22" s="322"/>
      <c r="G22" s="1383"/>
      <c r="H22" s="322"/>
      <c r="I22" s="1383"/>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1858</v>
      </c>
      <c r="C25" s="1477"/>
      <c r="D25" s="322"/>
      <c r="E25" s="322"/>
      <c r="F25" s="322"/>
      <c r="G25" s="1383"/>
      <c r="H25" s="322"/>
      <c r="I25" s="1383"/>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1859</v>
      </c>
      <c r="C28" s="1477"/>
      <c r="D28" s="322"/>
      <c r="E28" s="322"/>
      <c r="F28" s="322"/>
      <c r="G28" s="1383"/>
      <c r="H28" s="322"/>
      <c r="I28" s="1383"/>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1860</v>
      </c>
      <c r="C40" s="1403"/>
      <c r="D40" s="1378"/>
      <c r="E40" s="1379"/>
      <c r="F40" s="1379"/>
      <c r="G40" s="1380"/>
      <c r="H40" s="1379"/>
      <c r="I40" s="1380"/>
      <c r="J40" s="1379"/>
      <c r="K40" s="1379"/>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1861</v>
      </c>
      <c r="C48" s="1419"/>
      <c r="D48" s="322"/>
      <c r="E48" s="322"/>
      <c r="F48" s="322"/>
    </row>
    <row r="49" spans="2:3" s="317" customFormat="1" ht="10.5" customHeight="1" x14ac:dyDescent="0.2">
      <c r="B49" s="1420" t="s">
        <v>1862</v>
      </c>
      <c r="C49" s="1420"/>
    </row>
    <row r="50" spans="2:3" s="317" customFormat="1" ht="11.1" customHeight="1" x14ac:dyDescent="0.2">
      <c r="B50" s="1420" t="s">
        <v>1863</v>
      </c>
      <c r="C50" s="1420"/>
    </row>
    <row r="51" spans="2:3" s="317" customFormat="1" ht="11.1" customHeight="1" x14ac:dyDescent="0.2">
      <c r="B51" s="1420" t="s">
        <v>1864</v>
      </c>
      <c r="C51" s="1420"/>
    </row>
    <row r="52" spans="2:3" s="317" customFormat="1" ht="11.1" customHeight="1" x14ac:dyDescent="0.2">
      <c r="B52" s="1420" t="s">
        <v>1865</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9" sqref="B9"/>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9" t="str">
        <f>'Single Audit Cover'!A7</f>
        <v>Wheeling CCSD 21</v>
      </c>
      <c r="C1" s="2479"/>
      <c r="D1" s="2479"/>
      <c r="E1" s="1491"/>
    </row>
    <row r="2" spans="2:5" s="1282" customFormat="1" ht="12.75" customHeight="1" x14ac:dyDescent="0.2">
      <c r="B2" s="2481">
        <f>'Single Audit Cover'!E7</f>
        <v>5016021004</v>
      </c>
      <c r="C2" s="2481"/>
      <c r="D2" s="2481"/>
      <c r="E2" s="1492"/>
    </row>
    <row r="3" spans="2:5" ht="12.75" customHeight="1" x14ac:dyDescent="0.2">
      <c r="B3" s="2495" t="s">
        <v>1866</v>
      </c>
      <c r="C3" s="2495"/>
      <c r="D3" s="2495"/>
      <c r="E3" s="1274"/>
    </row>
    <row r="4" spans="2:5" s="1282" customFormat="1" ht="12.75" customHeight="1" x14ac:dyDescent="0.2">
      <c r="B4" s="2505" t="str">
        <f>'Single Audit Cover'!A4</f>
        <v>Year Ending June 30, 2018</v>
      </c>
      <c r="C4" s="2505"/>
      <c r="D4" s="2505"/>
      <c r="E4" s="1493"/>
    </row>
    <row r="5" spans="2:5" s="1282" customFormat="1" ht="40.15" customHeight="1" x14ac:dyDescent="0.2">
      <c r="B5" s="1494" t="s">
        <v>1867</v>
      </c>
      <c r="C5" s="328"/>
      <c r="D5" s="328"/>
      <c r="E5" s="328"/>
    </row>
    <row r="6" spans="2:5" s="1282" customFormat="1" ht="13.5" customHeight="1" x14ac:dyDescent="0.2">
      <c r="B6" s="1495" t="s">
        <v>1382</v>
      </c>
      <c r="C6" s="1495" t="s">
        <v>1381</v>
      </c>
      <c r="D6" s="1495" t="s">
        <v>1868</v>
      </c>
    </row>
    <row r="7" spans="2:5" ht="13.5" customHeight="1" x14ac:dyDescent="0.2">
      <c r="B7" s="1496"/>
      <c r="C7" s="324"/>
      <c r="D7" s="324"/>
      <c r="E7" s="324"/>
    </row>
    <row r="8" spans="2:5" ht="13.5" customHeight="1" x14ac:dyDescent="0.2">
      <c r="B8" s="1496" t="s">
        <v>2171</v>
      </c>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1869</v>
      </c>
    </row>
    <row r="46" spans="2:5" ht="12.2" customHeight="1" x14ac:dyDescent="0.2">
      <c r="B46" s="1505" t="s">
        <v>1870</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3" t="s">
        <v>404</v>
      </c>
      <c r="B1" s="2103"/>
      <c r="C1" s="2103"/>
      <c r="D1" s="2103"/>
      <c r="E1" s="2103"/>
      <c r="F1" s="2103"/>
      <c r="G1" s="2103"/>
      <c r="H1" s="2103"/>
      <c r="I1" s="2103"/>
      <c r="J1" s="2103"/>
      <c r="K1" s="2103"/>
      <c r="L1" s="2103"/>
      <c r="M1" s="2103"/>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1810938671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3.4273999999999999E-2</v>
      </c>
      <c r="E10" s="356" t="s">
        <v>1062</v>
      </c>
      <c r="F10" s="355">
        <v>4.2659999999999998E-3</v>
      </c>
      <c r="G10" s="356" t="s">
        <v>1062</v>
      </c>
      <c r="H10" s="355">
        <v>2.8440000000000002E-3</v>
      </c>
      <c r="I10" s="356" t="s">
        <v>1063</v>
      </c>
      <c r="J10" s="1754">
        <f>ROUND(D10+F10+H10,5)</f>
        <v>4.138E-2</v>
      </c>
      <c r="K10" s="222"/>
      <c r="L10" s="355"/>
      <c r="M10" s="222"/>
    </row>
    <row r="11" spans="1:14" ht="7.5" customHeight="1" x14ac:dyDescent="0.2">
      <c r="B11" s="222"/>
      <c r="C11" s="222"/>
      <c r="D11" s="2113" t="str">
        <f>IF(SUM(J10)&lt;=0.0999999,"","Enter the Tax Rates by moving the decimal two places to the left.")</f>
        <v/>
      </c>
      <c r="E11" s="2114"/>
      <c r="F11" s="2114"/>
      <c r="G11" s="2114"/>
      <c r="H11" s="2114"/>
      <c r="I11" s="2114"/>
      <c r="J11" s="211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105210054</v>
      </c>
      <c r="E16" s="356"/>
      <c r="F16" s="1755">
        <f>SUM('Acct Summary 7-8'!C17,'Acct Summary 7-8'!D17,'Acct Summary 7-8'!F17)</f>
        <v>93554492</v>
      </c>
      <c r="G16" s="356"/>
      <c r="H16" s="1755">
        <f>SUM(D16-F16)</f>
        <v>11655562</v>
      </c>
      <c r="I16" s="222"/>
      <c r="J16" s="1755">
        <f>SUM('Acct Summary 7-8'!C81,'Acct Summary 7-8'!D81,'Acct Summary 7-8'!F81,'Acct Summary 7-8'!I81)</f>
        <v>24083512</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2074</v>
      </c>
      <c r="C31" s="367" t="s">
        <v>607</v>
      </c>
      <c r="D31" s="237" t="s">
        <v>1132</v>
      </c>
      <c r="E31" s="222"/>
      <c r="F31" s="222"/>
      <c r="G31" s="363"/>
      <c r="H31" s="1757">
        <f>IF(B31="X",(J7*0.069),IF(B32="X",(J7*0.138),"Enter x in a.or b."))</f>
        <v>124954768.29900001</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31185013</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4"/>
      <c r="C54" s="2105"/>
      <c r="D54" s="2105"/>
      <c r="E54" s="2105"/>
      <c r="F54" s="2105"/>
      <c r="G54" s="2105"/>
      <c r="H54" s="2105"/>
      <c r="I54" s="2105"/>
      <c r="J54" s="2105"/>
      <c r="K54" s="2105"/>
      <c r="L54" s="2106"/>
      <c r="M54" s="380"/>
    </row>
    <row r="55" spans="1:13" ht="12.75" customHeight="1" x14ac:dyDescent="0.2">
      <c r="B55" s="2107"/>
      <c r="C55" s="2108"/>
      <c r="D55" s="2108"/>
      <c r="E55" s="2108"/>
      <c r="F55" s="2108"/>
      <c r="G55" s="2108"/>
      <c r="H55" s="2108"/>
      <c r="I55" s="2108"/>
      <c r="J55" s="2108"/>
      <c r="K55" s="2108"/>
      <c r="L55" s="2109"/>
      <c r="M55" s="380"/>
    </row>
    <row r="56" spans="1:13" ht="12.75" customHeight="1" x14ac:dyDescent="0.2">
      <c r="B56" s="2107"/>
      <c r="C56" s="2108"/>
      <c r="D56" s="2108"/>
      <c r="E56" s="2108"/>
      <c r="F56" s="2108"/>
      <c r="G56" s="2108"/>
      <c r="H56" s="2108"/>
      <c r="I56" s="2108"/>
      <c r="J56" s="2108"/>
      <c r="K56" s="2108"/>
      <c r="L56" s="2109"/>
      <c r="M56" s="222"/>
    </row>
    <row r="57" spans="1:13" ht="12.75" customHeight="1" x14ac:dyDescent="0.2">
      <c r="B57" s="2107"/>
      <c r="C57" s="2108"/>
      <c r="D57" s="2108"/>
      <c r="E57" s="2108"/>
      <c r="F57" s="2108"/>
      <c r="G57" s="2108"/>
      <c r="H57" s="2108"/>
      <c r="I57" s="2108"/>
      <c r="J57" s="2108"/>
      <c r="K57" s="2108"/>
      <c r="L57" s="2109"/>
      <c r="M57" s="222"/>
    </row>
    <row r="58" spans="1:13" x14ac:dyDescent="0.2">
      <c r="B58" s="2110"/>
      <c r="C58" s="2111"/>
      <c r="D58" s="2111"/>
      <c r="E58" s="2111"/>
      <c r="F58" s="2111"/>
      <c r="G58" s="2111"/>
      <c r="H58" s="2111"/>
      <c r="I58" s="2111"/>
      <c r="J58" s="2111"/>
      <c r="K58" s="2111"/>
      <c r="L58" s="211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5"/>
      <c r="D61" s="211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8"/>
      <c r="B1" s="2119"/>
      <c r="C1" s="2119"/>
      <c r="D1" s="384"/>
      <c r="E1" s="384"/>
      <c r="F1" s="384"/>
      <c r="G1" s="384"/>
      <c r="H1" s="384"/>
      <c r="I1" s="384"/>
      <c r="J1" s="384"/>
      <c r="K1" s="384"/>
      <c r="L1" s="384"/>
      <c r="M1" s="384"/>
      <c r="N1" s="384"/>
      <c r="O1" s="2118"/>
      <c r="P1" s="2119"/>
      <c r="Q1" s="2119"/>
    </row>
    <row r="2" spans="1:18" ht="15" x14ac:dyDescent="0.2">
      <c r="A2" s="2122" t="s">
        <v>577</v>
      </c>
      <c r="B2" s="2122"/>
      <c r="C2" s="2122"/>
      <c r="D2" s="2122"/>
      <c r="E2" s="2122"/>
      <c r="F2" s="2122"/>
      <c r="G2" s="2122"/>
      <c r="H2" s="2122"/>
      <c r="I2" s="2122"/>
      <c r="J2" s="2122"/>
      <c r="K2" s="2122"/>
      <c r="L2" s="2122"/>
      <c r="M2" s="2122"/>
      <c r="N2" s="2122"/>
      <c r="O2" s="2122"/>
      <c r="P2" s="2122"/>
      <c r="Q2" s="2122"/>
      <c r="R2" s="2122"/>
    </row>
    <row r="3" spans="1:18" ht="12.75" x14ac:dyDescent="0.2">
      <c r="A3" s="2123" t="s">
        <v>1480</v>
      </c>
      <c r="B3" s="2123"/>
      <c r="C3" s="2123"/>
      <c r="D3" s="2123"/>
      <c r="E3" s="2123"/>
      <c r="F3" s="2123"/>
      <c r="G3" s="2123"/>
      <c r="H3" s="2123"/>
      <c r="I3" s="2123"/>
      <c r="J3" s="2123"/>
      <c r="K3" s="2123"/>
      <c r="L3" s="2123"/>
      <c r="M3" s="2123"/>
      <c r="N3" s="2123"/>
      <c r="O3" s="2123"/>
      <c r="P3" s="2123"/>
      <c r="Q3" s="2123"/>
      <c r="R3" s="2123"/>
    </row>
    <row r="4" spans="1:18" x14ac:dyDescent="0.2">
      <c r="A4" s="2124" t="s">
        <v>1635</v>
      </c>
      <c r="B4" s="2124"/>
      <c r="C4" s="2124"/>
      <c r="D4" s="2124"/>
      <c r="E4" s="2124"/>
      <c r="F4" s="2124"/>
      <c r="G4" s="2124"/>
      <c r="H4" s="2124"/>
      <c r="I4" s="2124"/>
      <c r="J4" s="2124"/>
      <c r="K4" s="2124"/>
      <c r="L4" s="2124"/>
      <c r="M4" s="2124"/>
      <c r="N4" s="2124"/>
      <c r="O4" s="2124"/>
      <c r="P4" s="2124"/>
      <c r="Q4" s="2124"/>
      <c r="R4" s="212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Wheeling CCSD 21</v>
      </c>
      <c r="E7" s="391"/>
      <c r="G7" s="252"/>
      <c r="H7" s="387"/>
      <c r="I7" s="387"/>
      <c r="J7" s="387"/>
      <c r="K7" s="387"/>
      <c r="L7" s="329"/>
      <c r="M7" s="329"/>
      <c r="N7" s="329"/>
      <c r="O7" s="329"/>
      <c r="P7" s="329"/>
    </row>
    <row r="8" spans="1:18" ht="12.75" x14ac:dyDescent="0.2">
      <c r="A8" s="329"/>
      <c r="B8" s="329"/>
      <c r="C8" s="389" t="s">
        <v>1187</v>
      </c>
      <c r="D8" s="392">
        <f>COVER!A13</f>
        <v>5016021004</v>
      </c>
      <c r="E8" s="393"/>
      <c r="G8" s="329"/>
      <c r="H8" s="329"/>
      <c r="I8" s="329"/>
      <c r="J8" s="329"/>
      <c r="K8" s="329"/>
      <c r="L8" s="329"/>
      <c r="M8" s="329"/>
      <c r="N8" s="329"/>
      <c r="O8" s="329"/>
      <c r="P8" s="329"/>
    </row>
    <row r="9" spans="1:18" ht="12.75" x14ac:dyDescent="0.2">
      <c r="A9" s="329"/>
      <c r="B9" s="329"/>
      <c r="C9" s="389" t="s">
        <v>737</v>
      </c>
      <c r="D9" s="394" t="str">
        <f>COVER!A15</f>
        <v>COOK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3</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24083512</v>
      </c>
      <c r="I12" s="404"/>
      <c r="J12" s="404"/>
      <c r="K12" s="405">
        <f>TRUNC((H12/H13*100000),5)/100000</f>
        <v>0.23041731489999998</v>
      </c>
      <c r="L12" s="406"/>
      <c r="M12" s="360" t="s">
        <v>1206</v>
      </c>
      <c r="N12" s="360"/>
      <c r="O12" s="407">
        <v>0.35</v>
      </c>
      <c r="P12" s="218"/>
      <c r="Q12" s="218"/>
    </row>
    <row r="13" spans="1:18" s="408" customFormat="1" ht="12.75" x14ac:dyDescent="0.2">
      <c r="A13" s="218"/>
      <c r="B13" s="401"/>
      <c r="C13" s="2120" t="s">
        <v>1391</v>
      </c>
      <c r="D13" s="2121"/>
      <c r="E13" s="218"/>
      <c r="F13" s="409" t="s">
        <v>826</v>
      </c>
      <c r="G13" s="402"/>
      <c r="H13" s="403">
        <f>SUM('Acct Summary 7-8'!C8+'Acct Summary 7-8'!D8+'Acct Summary 7-8'!F8+'Acct Summary 7-8'!I8)+H14</f>
        <v>104521277</v>
      </c>
      <c r="I13" s="404"/>
      <c r="J13" s="404"/>
      <c r="K13" s="410"/>
      <c r="L13" s="218"/>
      <c r="M13" s="360" t="s">
        <v>1207</v>
      </c>
      <c r="N13" s="360"/>
      <c r="O13" s="411">
        <f>(O11*O12)</f>
        <v>1.0499999999999998</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-688777</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93554492</v>
      </c>
      <c r="I17" s="404"/>
      <c r="J17" s="416"/>
      <c r="K17" s="405">
        <f>TRUNC((H17/H18*100000),5)/100000</f>
        <v>0.89507605229999998</v>
      </c>
      <c r="L17" s="406"/>
      <c r="M17" s="417" t="s">
        <v>1233</v>
      </c>
      <c r="O17" s="418" t="str">
        <f>IF(AND(O16="2", J20 &gt; 2),"1",IF(AND(O16 = "1", J20 &gt; 2),"2",IF(AND(O16="1", J20 &gt;1),"1","0")))</f>
        <v>0</v>
      </c>
      <c r="P17" s="218"/>
    </row>
    <row r="18" spans="1:18" s="408" customFormat="1" ht="11.25" x14ac:dyDescent="0.2">
      <c r="A18" s="218"/>
      <c r="B18" s="401"/>
      <c r="C18" s="2120" t="s">
        <v>1384</v>
      </c>
      <c r="D18" s="2121"/>
      <c r="E18" s="218"/>
      <c r="F18" s="419" t="s">
        <v>827</v>
      </c>
      <c r="G18" s="402"/>
      <c r="H18" s="403">
        <f>SUM('Acct Summary 7-8'!C8+'Acct Summary 7-8'!D8+'Acct Summary 7-8'!F8+'Acct Summary 7-8'!I8)+H19</f>
        <v>104521277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-688777</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17" t="s">
        <v>1479</v>
      </c>
      <c r="D24" s="2117"/>
      <c r="E24" s="218"/>
      <c r="F24" s="218" t="s">
        <v>465</v>
      </c>
      <c r="G24" s="402"/>
      <c r="H24" s="403">
        <f>SUM('Assets-Liab 5-6'!C4+'Assets-Liab 5-6'!D4+'Assets-Liab 5-6'!F4+'Assets-Liab 5-6'!I4+'Assets-Liab 5-6'!C5+'Assets-Liab 5-6'!D5+'Assets-Liab 5-6'!F5+'Assets-Liab 5-6'!I5)</f>
        <v>38943864</v>
      </c>
      <c r="I24" s="422"/>
      <c r="J24" s="422"/>
      <c r="K24" s="423">
        <f>TRUNC(((H24/H25*100000)/100000),2)</f>
        <v>149.85</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259873.58889000001</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63696145.875079997</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31185013</v>
      </c>
      <c r="I32" s="420"/>
      <c r="J32" s="420"/>
      <c r="K32" s="423">
        <f>TRUNC(100-((((H32/H33*100))*100)/100),2)</f>
        <v>75.040000000000006</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124954768.29900001</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3.55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11" activePane="bottomLeft" state="frozen"/>
      <selection activeCell="A47" sqref="A47"/>
      <selection pane="bottomLeft" activeCell="D19" sqref="D19"/>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5"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6"/>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7" t="s">
        <v>1030</v>
      </c>
      <c r="B3" s="2128"/>
      <c r="C3" s="1581"/>
      <c r="D3" s="1582"/>
      <c r="E3" s="1582"/>
      <c r="F3" s="1582"/>
      <c r="G3" s="1582"/>
      <c r="H3" s="1582"/>
      <c r="I3" s="1582"/>
      <c r="J3" s="1582"/>
      <c r="K3" s="1582"/>
      <c r="L3" s="1582"/>
      <c r="M3" s="1583"/>
      <c r="N3" s="1584"/>
    </row>
    <row r="4" spans="1:14" ht="13.5" customHeight="1" x14ac:dyDescent="0.2">
      <c r="A4" s="463" t="s">
        <v>1750</v>
      </c>
      <c r="B4" s="464"/>
      <c r="C4" s="465">
        <v>30394445</v>
      </c>
      <c r="D4" s="466">
        <v>5049432</v>
      </c>
      <c r="E4" s="466">
        <v>2839691</v>
      </c>
      <c r="F4" s="466">
        <v>1963557</v>
      </c>
      <c r="G4" s="466">
        <v>3224531</v>
      </c>
      <c r="H4" s="466">
        <v>214191</v>
      </c>
      <c r="I4" s="466">
        <v>1536430</v>
      </c>
      <c r="J4" s="467">
        <v>297764</v>
      </c>
      <c r="K4" s="466">
        <v>64628</v>
      </c>
      <c r="L4" s="466">
        <v>451554</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v>32318316</v>
      </c>
      <c r="D6" s="466">
        <v>3612118</v>
      </c>
      <c r="E6" s="466">
        <v>2368687</v>
      </c>
      <c r="F6" s="466">
        <v>2408079</v>
      </c>
      <c r="G6" s="471">
        <v>1541170</v>
      </c>
      <c r="H6" s="471"/>
      <c r="I6" s="466"/>
      <c r="J6" s="474">
        <v>433454</v>
      </c>
      <c r="K6" s="471"/>
      <c r="L6" s="475"/>
      <c r="M6" s="468"/>
      <c r="N6" s="469"/>
    </row>
    <row r="7" spans="1:14" ht="13.5" customHeight="1" x14ac:dyDescent="0.2">
      <c r="A7" s="473" t="s">
        <v>438</v>
      </c>
      <c r="B7" s="470">
        <v>140</v>
      </c>
      <c r="C7" s="476"/>
      <c r="D7" s="467"/>
      <c r="E7" s="467"/>
      <c r="F7" s="467"/>
      <c r="G7" s="467"/>
      <c r="H7" s="467"/>
      <c r="I7" s="467">
        <v>2200000</v>
      </c>
      <c r="J7" s="467"/>
      <c r="K7" s="467"/>
      <c r="L7" s="477"/>
      <c r="M7" s="468"/>
      <c r="N7" s="469"/>
    </row>
    <row r="8" spans="1:14" ht="13.5" customHeight="1" x14ac:dyDescent="0.2">
      <c r="A8" s="473" t="s">
        <v>287</v>
      </c>
      <c r="B8" s="470">
        <v>150</v>
      </c>
      <c r="C8" s="476">
        <v>1624221</v>
      </c>
      <c r="D8" s="467"/>
      <c r="E8" s="467"/>
      <c r="F8" s="467"/>
      <c r="G8" s="478"/>
      <c r="H8" s="467"/>
      <c r="I8" s="474"/>
      <c r="J8" s="474"/>
      <c r="K8" s="479"/>
      <c r="L8" s="480"/>
      <c r="M8" s="468"/>
      <c r="N8" s="469"/>
    </row>
    <row r="9" spans="1:14" ht="13.5" customHeight="1" x14ac:dyDescent="0.2">
      <c r="A9" s="473" t="s">
        <v>288</v>
      </c>
      <c r="B9" s="470">
        <v>160</v>
      </c>
      <c r="C9" s="476">
        <v>126390</v>
      </c>
      <c r="D9" s="467">
        <v>28040</v>
      </c>
      <c r="E9" s="467">
        <v>10798</v>
      </c>
      <c r="F9" s="467">
        <v>28137</v>
      </c>
      <c r="G9" s="467">
        <v>20656</v>
      </c>
      <c r="H9" s="478">
        <v>1692</v>
      </c>
      <c r="I9" s="467">
        <v>7358</v>
      </c>
      <c r="J9" s="467">
        <v>719</v>
      </c>
      <c r="K9" s="467">
        <v>309</v>
      </c>
      <c r="L9" s="467"/>
      <c r="M9" s="468"/>
      <c r="N9" s="469"/>
    </row>
    <row r="10" spans="1:14" ht="13.5" customHeight="1" x14ac:dyDescent="0.2">
      <c r="A10" s="473" t="s">
        <v>1048</v>
      </c>
      <c r="B10" s="470">
        <v>170</v>
      </c>
      <c r="C10" s="465">
        <v>35654</v>
      </c>
      <c r="D10" s="466"/>
      <c r="E10" s="467"/>
      <c r="F10" s="466"/>
      <c r="G10" s="478"/>
      <c r="H10" s="481"/>
      <c r="I10" s="467"/>
      <c r="J10" s="467"/>
      <c r="K10" s="481"/>
      <c r="L10" s="481"/>
      <c r="M10" s="469"/>
      <c r="N10" s="469"/>
    </row>
    <row r="11" spans="1:14" ht="13.5" customHeight="1" x14ac:dyDescent="0.2">
      <c r="A11" s="473" t="s">
        <v>289</v>
      </c>
      <c r="B11" s="470">
        <v>180</v>
      </c>
      <c r="C11" s="476">
        <v>158417</v>
      </c>
      <c r="D11" s="467">
        <v>8165</v>
      </c>
      <c r="E11" s="467">
        <v>637</v>
      </c>
      <c r="F11" s="467"/>
      <c r="G11" s="467"/>
      <c r="H11" s="467"/>
      <c r="I11" s="478"/>
      <c r="J11" s="478">
        <v>123877</v>
      </c>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64657443</v>
      </c>
      <c r="D13" s="1759">
        <f t="shared" ref="D13:L13" si="0">SUM(D4:D12)</f>
        <v>8697755</v>
      </c>
      <c r="E13" s="1759">
        <f t="shared" si="0"/>
        <v>5219813</v>
      </c>
      <c r="F13" s="1759">
        <f t="shared" si="0"/>
        <v>4399773</v>
      </c>
      <c r="G13" s="1759">
        <f t="shared" si="0"/>
        <v>4786357</v>
      </c>
      <c r="H13" s="1759">
        <f t="shared" si="0"/>
        <v>215883</v>
      </c>
      <c r="I13" s="1759">
        <f t="shared" si="0"/>
        <v>3743788</v>
      </c>
      <c r="J13" s="1759">
        <f t="shared" si="0"/>
        <v>855814</v>
      </c>
      <c r="K13" s="1759">
        <f t="shared" si="0"/>
        <v>64937</v>
      </c>
      <c r="L13" s="1759">
        <f t="shared" si="0"/>
        <v>451554</v>
      </c>
      <c r="M13" s="468"/>
      <c r="N13" s="469"/>
    </row>
    <row r="14" spans="1:14" ht="18" customHeight="1" thickTop="1" x14ac:dyDescent="0.2">
      <c r="A14" s="2129" t="s">
        <v>149</v>
      </c>
      <c r="B14" s="2130"/>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1965066</v>
      </c>
      <c r="N16" s="484"/>
    </row>
    <row r="17" spans="1:14" s="485" customFormat="1" ht="12.75" customHeight="1" x14ac:dyDescent="0.2">
      <c r="A17" s="482" t="s">
        <v>1470</v>
      </c>
      <c r="B17" s="483">
        <v>230</v>
      </c>
      <c r="C17" s="477"/>
      <c r="D17" s="477"/>
      <c r="E17" s="477"/>
      <c r="F17" s="477"/>
      <c r="G17" s="477"/>
      <c r="H17" s="477"/>
      <c r="I17" s="477"/>
      <c r="J17" s="477"/>
      <c r="K17" s="477"/>
      <c r="L17" s="477"/>
      <c r="M17" s="467">
        <v>97038304</v>
      </c>
      <c r="N17" s="484"/>
    </row>
    <row r="18" spans="1:14" s="485" customFormat="1" ht="12.75" customHeight="1" x14ac:dyDescent="0.2">
      <c r="A18" s="482" t="s">
        <v>1471</v>
      </c>
      <c r="B18" s="483">
        <v>240</v>
      </c>
      <c r="C18" s="477"/>
      <c r="D18" s="477"/>
      <c r="E18" s="477"/>
      <c r="F18" s="477"/>
      <c r="G18" s="477"/>
      <c r="H18" s="477"/>
      <c r="I18" s="477"/>
      <c r="J18" s="477"/>
      <c r="K18" s="477"/>
      <c r="L18" s="477"/>
      <c r="M18" s="467">
        <v>3764581</v>
      </c>
      <c r="N18" s="484"/>
    </row>
    <row r="19" spans="1:14" s="485" customFormat="1" ht="12.75" customHeight="1" x14ac:dyDescent="0.2">
      <c r="A19" s="482" t="s">
        <v>1472</v>
      </c>
      <c r="B19" s="483">
        <v>250</v>
      </c>
      <c r="C19" s="477"/>
      <c r="D19" s="477"/>
      <c r="E19" s="477"/>
      <c r="F19" s="477"/>
      <c r="G19" s="477"/>
      <c r="H19" s="477"/>
      <c r="I19" s="477"/>
      <c r="J19" s="477"/>
      <c r="K19" s="477"/>
      <c r="L19" s="477"/>
      <c r="M19" s="467">
        <v>23411426</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2851126</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28333887</v>
      </c>
    </row>
    <row r="23" spans="1:14" ht="13.5" customHeight="1" thickBot="1" x14ac:dyDescent="0.25">
      <c r="A23" s="1758" t="s">
        <v>664</v>
      </c>
      <c r="B23" s="1763"/>
      <c r="C23" s="468"/>
      <c r="D23" s="468"/>
      <c r="E23" s="468"/>
      <c r="F23" s="468"/>
      <c r="G23" s="468"/>
      <c r="H23" s="468"/>
      <c r="I23" s="468"/>
      <c r="J23" s="468"/>
      <c r="K23" s="468"/>
      <c r="L23" s="468"/>
      <c r="M23" s="1710">
        <f>SUM(M15:M22)</f>
        <v>126179377</v>
      </c>
      <c r="N23" s="1710">
        <f>SUM(N21:N22)</f>
        <v>31185013</v>
      </c>
    </row>
    <row r="24" spans="1:14" ht="18" customHeight="1" thickTop="1" x14ac:dyDescent="0.2">
      <c r="A24" s="2131" t="s">
        <v>619</v>
      </c>
      <c r="B24" s="2132"/>
      <c r="C24" s="1590"/>
      <c r="D24" s="1587"/>
      <c r="E24" s="1587"/>
      <c r="F24" s="1587"/>
      <c r="G24" s="1587"/>
      <c r="H24" s="1587"/>
      <c r="I24" s="1587"/>
      <c r="J24" s="1587"/>
      <c r="K24" s="1587"/>
      <c r="L24" s="1587"/>
      <c r="M24" s="1586"/>
      <c r="N24" s="1591"/>
    </row>
    <row r="25" spans="1:14" x14ac:dyDescent="0.2">
      <c r="A25" s="473" t="s">
        <v>666</v>
      </c>
      <c r="B25" s="470">
        <v>410</v>
      </c>
      <c r="C25" s="478">
        <v>2200000</v>
      </c>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v>194549</v>
      </c>
      <c r="D27" s="467">
        <v>72773</v>
      </c>
      <c r="E27" s="467"/>
      <c r="F27" s="467">
        <v>152747</v>
      </c>
      <c r="G27" s="467">
        <v>146144</v>
      </c>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f>5921389-18331</f>
        <v>5903058</v>
      </c>
      <c r="D30" s="474">
        <v>11577</v>
      </c>
      <c r="E30" s="467"/>
      <c r="F30" s="467">
        <v>3247</v>
      </c>
      <c r="G30" s="467"/>
      <c r="H30" s="467"/>
      <c r="I30" s="467"/>
      <c r="J30" s="467"/>
      <c r="K30" s="478"/>
      <c r="L30" s="468"/>
      <c r="M30" s="468"/>
      <c r="N30" s="468"/>
    </row>
    <row r="31" spans="1:14" ht="13.5" customHeight="1" x14ac:dyDescent="0.2">
      <c r="A31" s="473" t="s">
        <v>672</v>
      </c>
      <c r="B31" s="470">
        <v>480</v>
      </c>
      <c r="C31" s="466">
        <v>10418157</v>
      </c>
      <c r="D31" s="467">
        <v>284211</v>
      </c>
      <c r="E31" s="467"/>
      <c r="F31" s="466">
        <v>2247</v>
      </c>
      <c r="G31" s="467"/>
      <c r="H31" s="467"/>
      <c r="I31" s="467"/>
      <c r="J31" s="467"/>
      <c r="K31" s="467"/>
      <c r="L31" s="468"/>
      <c r="M31" s="468"/>
      <c r="N31" s="468"/>
    </row>
    <row r="32" spans="1:14" ht="13.5" customHeight="1" x14ac:dyDescent="0.2">
      <c r="A32" s="490" t="s">
        <v>673</v>
      </c>
      <c r="B32" s="491">
        <v>490</v>
      </c>
      <c r="C32" s="492">
        <v>32152484</v>
      </c>
      <c r="D32" s="492">
        <v>3612118</v>
      </c>
      <c r="E32" s="474">
        <v>2368687</v>
      </c>
      <c r="F32" s="474">
        <v>2408079</v>
      </c>
      <c r="G32" s="474">
        <v>1541170</v>
      </c>
      <c r="H32" s="474"/>
      <c r="I32" s="474"/>
      <c r="J32" s="474">
        <v>433454</v>
      </c>
      <c r="K32" s="479"/>
      <c r="L32" s="468"/>
      <c r="M32" s="468"/>
      <c r="N32" s="468"/>
    </row>
    <row r="33" spans="1:14" ht="13.5" customHeight="1" x14ac:dyDescent="0.2">
      <c r="A33" s="493" t="s">
        <v>321</v>
      </c>
      <c r="B33" s="491">
        <v>493</v>
      </c>
      <c r="C33" s="467"/>
      <c r="D33" s="467"/>
      <c r="E33" s="467"/>
      <c r="F33" s="467"/>
      <c r="G33" s="467"/>
      <c r="H33" s="467"/>
      <c r="I33" s="467"/>
      <c r="J33" s="467"/>
      <c r="K33" s="467"/>
      <c r="L33" s="467">
        <v>451554</v>
      </c>
      <c r="M33" s="468"/>
      <c r="N33" s="469"/>
    </row>
    <row r="34" spans="1:14" ht="13.5" customHeight="1" thickBot="1" x14ac:dyDescent="0.25">
      <c r="A34" s="1760" t="s">
        <v>675</v>
      </c>
      <c r="B34" s="1761"/>
      <c r="C34" s="1762">
        <f>SUM(C25:C33)</f>
        <v>50868248</v>
      </c>
      <c r="D34" s="1762">
        <f t="shared" ref="D34:K34" si="1">SUM(D25:D33)</f>
        <v>3980679</v>
      </c>
      <c r="E34" s="1762">
        <f t="shared" si="1"/>
        <v>2368687</v>
      </c>
      <c r="F34" s="1762">
        <f t="shared" si="1"/>
        <v>2566320</v>
      </c>
      <c r="G34" s="1762">
        <f t="shared" si="1"/>
        <v>1687314</v>
      </c>
      <c r="H34" s="1762">
        <f t="shared" si="1"/>
        <v>0</v>
      </c>
      <c r="I34" s="1762">
        <f t="shared" si="1"/>
        <v>0</v>
      </c>
      <c r="J34" s="1762">
        <f t="shared" si="1"/>
        <v>433454</v>
      </c>
      <c r="K34" s="1762">
        <f t="shared" si="1"/>
        <v>0</v>
      </c>
      <c r="L34" s="1743">
        <f>SUM(L33)</f>
        <v>451554</v>
      </c>
      <c r="M34" s="468"/>
      <c r="N34" s="480"/>
    </row>
    <row r="35" spans="1:14" ht="18" customHeight="1" thickTop="1" x14ac:dyDescent="0.2">
      <c r="A35" s="2133" t="s">
        <v>550</v>
      </c>
      <c r="B35" s="2134"/>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31185013</v>
      </c>
    </row>
    <row r="37" spans="1:14" ht="13.5" thickBot="1" x14ac:dyDescent="0.25">
      <c r="A37" s="1758" t="s">
        <v>674</v>
      </c>
      <c r="B37" s="1763"/>
      <c r="C37" s="477"/>
      <c r="D37" s="477"/>
      <c r="E37" s="477"/>
      <c r="F37" s="477"/>
      <c r="G37" s="477"/>
      <c r="H37" s="477"/>
      <c r="I37" s="477"/>
      <c r="J37" s="477"/>
      <c r="K37" s="477"/>
      <c r="L37" s="480"/>
      <c r="M37" s="468"/>
      <c r="N37" s="1710">
        <f>SUM(N36:N36)</f>
        <v>31185013</v>
      </c>
    </row>
    <row r="38" spans="1:14" s="329" customFormat="1" ht="13.5" customHeight="1" thickTop="1" x14ac:dyDescent="0.2">
      <c r="A38" s="496" t="s">
        <v>440</v>
      </c>
      <c r="B38" s="483">
        <v>714</v>
      </c>
      <c r="C38" s="466">
        <v>8012039</v>
      </c>
      <c r="D38" s="466">
        <v>283458</v>
      </c>
      <c r="E38" s="466"/>
      <c r="F38" s="466">
        <v>1569</v>
      </c>
      <c r="G38" s="466"/>
      <c r="H38" s="466"/>
      <c r="I38" s="466"/>
      <c r="J38" s="467"/>
      <c r="K38" s="466"/>
      <c r="L38" s="481"/>
      <c r="M38" s="497"/>
      <c r="N38" s="497"/>
    </row>
    <row r="39" spans="1:14" s="329" customFormat="1" ht="13.5" customHeight="1" x14ac:dyDescent="0.2">
      <c r="A39" s="496" t="s">
        <v>360</v>
      </c>
      <c r="B39" s="483">
        <v>730</v>
      </c>
      <c r="C39" s="466">
        <f>5758825+18331</f>
        <v>5777156</v>
      </c>
      <c r="D39" s="466">
        <v>4433618</v>
      </c>
      <c r="E39" s="466">
        <v>2851126</v>
      </c>
      <c r="F39" s="466">
        <v>1831884</v>
      </c>
      <c r="G39" s="466">
        <v>3099043</v>
      </c>
      <c r="H39" s="466">
        <v>215883</v>
      </c>
      <c r="I39" s="466">
        <v>3743788</v>
      </c>
      <c r="J39" s="467">
        <v>422360</v>
      </c>
      <c r="K39" s="466">
        <v>64937</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126179377</v>
      </c>
      <c r="N40" s="497"/>
    </row>
    <row r="41" spans="1:14" ht="13.5" customHeight="1" thickBot="1" x14ac:dyDescent="0.25">
      <c r="A41" s="1758" t="s">
        <v>676</v>
      </c>
      <c r="B41" s="1728"/>
      <c r="C41" s="1710">
        <f>(SUM(C34,C37,C38,C39))</f>
        <v>64657443</v>
      </c>
      <c r="D41" s="1710">
        <f t="shared" ref="D41:L41" si="2">SUM(D34,D37,D38:D39)</f>
        <v>8697755</v>
      </c>
      <c r="E41" s="1710">
        <f t="shared" si="2"/>
        <v>5219813</v>
      </c>
      <c r="F41" s="1710">
        <f t="shared" si="2"/>
        <v>4399773</v>
      </c>
      <c r="G41" s="1710">
        <f t="shared" si="2"/>
        <v>4786357</v>
      </c>
      <c r="H41" s="1710">
        <f t="shared" si="2"/>
        <v>215883</v>
      </c>
      <c r="I41" s="1710">
        <f t="shared" si="2"/>
        <v>3743788</v>
      </c>
      <c r="J41" s="1710">
        <f t="shared" si="2"/>
        <v>855814</v>
      </c>
      <c r="K41" s="1710">
        <f t="shared" si="2"/>
        <v>64937</v>
      </c>
      <c r="L41" s="1710">
        <f t="shared" si="2"/>
        <v>451554</v>
      </c>
      <c r="M41" s="1710">
        <f>SUM(M40)</f>
        <v>126179377</v>
      </c>
      <c r="N41" s="1710">
        <f>SUM(N37)</f>
        <v>31185013</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9" activePane="bottomLeft" state="frozenSplit"/>
      <selection activeCell="A47" sqref="A47"/>
      <selection pane="bottomLeft" activeCell="C76" sqref="C76"/>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3"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5" t="s">
        <v>1237</v>
      </c>
      <c r="B3" s="2156"/>
      <c r="C3" s="1595"/>
      <c r="D3" s="1596"/>
      <c r="E3" s="1596"/>
      <c r="F3" s="1596"/>
      <c r="G3" s="1596"/>
      <c r="H3" s="1596"/>
      <c r="I3" s="1596"/>
      <c r="J3" s="1596"/>
      <c r="K3" s="1597"/>
      <c r="L3" s="506"/>
    </row>
    <row r="4" spans="1:13" ht="15.75" customHeight="1" x14ac:dyDescent="0.2">
      <c r="A4" s="1954" t="s">
        <v>1579</v>
      </c>
      <c r="B4" s="1955">
        <v>1000</v>
      </c>
      <c r="C4" s="1764">
        <f>'Revenues 9-14'!C109</f>
        <v>66825288</v>
      </c>
      <c r="D4" s="1764">
        <f>'Revenues 9-14'!D109</f>
        <v>7255727</v>
      </c>
      <c r="E4" s="1764">
        <f>'Revenues 9-14'!E109</f>
        <v>4959239</v>
      </c>
      <c r="F4" s="1764">
        <f>'Revenues 9-14'!F109</f>
        <v>8228799</v>
      </c>
      <c r="G4" s="1764">
        <f>'Revenues 9-14'!G109</f>
        <v>3243015</v>
      </c>
      <c r="H4" s="1764">
        <f>'Revenues 9-14'!H109</f>
        <v>3559</v>
      </c>
      <c r="I4" s="1764">
        <f>'Revenues 9-14'!I109</f>
        <v>21502</v>
      </c>
      <c r="J4" s="1764">
        <f>'Revenues 9-14'!J109</f>
        <v>856255</v>
      </c>
      <c r="K4" s="1764">
        <f>'Revenues 9-14'!K109</f>
        <v>904</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14282594</v>
      </c>
      <c r="D6" s="1765">
        <f>'Revenues 9-14'!D173</f>
        <v>0</v>
      </c>
      <c r="E6" s="1765">
        <f>'Revenues 9-14'!E173</f>
        <v>0</v>
      </c>
      <c r="F6" s="1765">
        <f>'Revenues 9-14'!F173</f>
        <v>1788740</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6807404</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87915286</v>
      </c>
      <c r="D8" s="1710">
        <f t="shared" ref="D8:K8" si="0">SUM(D4:D7)</f>
        <v>7255727</v>
      </c>
      <c r="E8" s="1710">
        <f t="shared" si="0"/>
        <v>4959239</v>
      </c>
      <c r="F8" s="1710">
        <f t="shared" si="0"/>
        <v>10017539</v>
      </c>
      <c r="G8" s="1710">
        <f t="shared" si="0"/>
        <v>3243015</v>
      </c>
      <c r="H8" s="1710">
        <f t="shared" si="0"/>
        <v>3559</v>
      </c>
      <c r="I8" s="1710">
        <f t="shared" si="0"/>
        <v>21502</v>
      </c>
      <c r="J8" s="1710">
        <f t="shared" si="0"/>
        <v>856255</v>
      </c>
      <c r="K8" s="1710">
        <f t="shared" si="0"/>
        <v>904</v>
      </c>
      <c r="L8" s="347"/>
    </row>
    <row r="9" spans="1:13" ht="15.75" thickTop="1" x14ac:dyDescent="0.2">
      <c r="A9" s="514" t="s">
        <v>1752</v>
      </c>
      <c r="B9" s="515">
        <v>3998</v>
      </c>
      <c r="C9" s="481">
        <v>38938828</v>
      </c>
      <c r="D9" s="516"/>
      <c r="E9" s="481"/>
      <c r="F9" s="481"/>
      <c r="G9" s="517"/>
      <c r="H9" s="481"/>
      <c r="I9" s="509" t="s">
        <v>1231</v>
      </c>
      <c r="J9" s="478"/>
      <c r="K9" s="481"/>
      <c r="L9" s="347"/>
    </row>
    <row r="10" spans="1:13" s="519" customFormat="1" ht="13.5" thickBot="1" x14ac:dyDescent="0.25">
      <c r="A10" s="1758" t="s">
        <v>1235</v>
      </c>
      <c r="B10" s="1731"/>
      <c r="C10" s="1710">
        <f>SUM(C8:C9)</f>
        <v>126854114</v>
      </c>
      <c r="D10" s="1710">
        <f t="shared" ref="D10:K10" si="1">SUM(D8:D9)</f>
        <v>7255727</v>
      </c>
      <c r="E10" s="1710">
        <f t="shared" si="1"/>
        <v>4959239</v>
      </c>
      <c r="F10" s="1710">
        <f t="shared" si="1"/>
        <v>10017539</v>
      </c>
      <c r="G10" s="1710">
        <f t="shared" si="1"/>
        <v>3243015</v>
      </c>
      <c r="H10" s="1710">
        <f t="shared" si="1"/>
        <v>3559</v>
      </c>
      <c r="I10" s="1710">
        <f t="shared" si="1"/>
        <v>21502</v>
      </c>
      <c r="J10" s="1710">
        <f t="shared" si="1"/>
        <v>856255</v>
      </c>
      <c r="K10" s="1710">
        <f t="shared" si="1"/>
        <v>904</v>
      </c>
      <c r="L10" s="518"/>
    </row>
    <row r="11" spans="1:13" s="519" customFormat="1" ht="16.7" customHeight="1" thickTop="1" x14ac:dyDescent="0.2">
      <c r="A11" s="2129" t="s">
        <v>1238</v>
      </c>
      <c r="B11" s="2130"/>
      <c r="C11" s="1592"/>
      <c r="D11" s="1593"/>
      <c r="E11" s="1593"/>
      <c r="F11" s="1593"/>
      <c r="G11" s="1593"/>
      <c r="H11" s="1593"/>
      <c r="I11" s="1593"/>
      <c r="J11" s="1593"/>
      <c r="K11" s="1594"/>
      <c r="L11" s="518"/>
    </row>
    <row r="12" spans="1:13" ht="15.75" customHeight="1" x14ac:dyDescent="0.2">
      <c r="A12" s="1598" t="s">
        <v>476</v>
      </c>
      <c r="B12" s="1600">
        <v>1000</v>
      </c>
      <c r="C12" s="1764">
        <f>'Expenditures 15-22'!K33</f>
        <v>55815659</v>
      </c>
      <c r="D12" s="520" t="s">
        <v>1231</v>
      </c>
      <c r="E12" s="468" t="s">
        <v>1231</v>
      </c>
      <c r="F12" s="468" t="s">
        <v>1231</v>
      </c>
      <c r="G12" s="1764">
        <f>'Expenditures 15-22'!K229</f>
        <v>1081973</v>
      </c>
      <c r="H12" s="521"/>
      <c r="I12" s="468" t="s">
        <v>1231</v>
      </c>
      <c r="J12" s="468" t="s">
        <v>1231</v>
      </c>
      <c r="K12" s="521" t="s">
        <v>1231</v>
      </c>
      <c r="L12" s="347"/>
    </row>
    <row r="13" spans="1:13" ht="15.75" customHeight="1" x14ac:dyDescent="0.2">
      <c r="A13" s="1598" t="s">
        <v>477</v>
      </c>
      <c r="B13" s="1600">
        <v>2000</v>
      </c>
      <c r="C13" s="1765">
        <f>'Expenditures 15-22'!K74</f>
        <v>25266716</v>
      </c>
      <c r="D13" s="1765">
        <f>'Expenditures 15-22'!K129</f>
        <v>7641843</v>
      </c>
      <c r="E13" s="469" t="s">
        <v>1231</v>
      </c>
      <c r="F13" s="1765">
        <f>'Expenditures 15-22'!K184</f>
        <v>4375061</v>
      </c>
      <c r="G13" s="1765">
        <f>'Expenditures 15-22'!K279</f>
        <v>1981787</v>
      </c>
      <c r="H13" s="1765">
        <f>'Expenditures 15-22'!K303</f>
        <v>484048</v>
      </c>
      <c r="I13" s="468" t="s">
        <v>1231</v>
      </c>
      <c r="J13" s="1765">
        <f>'Expenditures 15-22'!K330</f>
        <v>665051</v>
      </c>
      <c r="K13" s="1769">
        <f>'Expenditures 15-22'!K352</f>
        <v>0</v>
      </c>
      <c r="L13" s="347"/>
    </row>
    <row r="14" spans="1:13" ht="15.75" customHeight="1" x14ac:dyDescent="0.2">
      <c r="A14" s="1598" t="s">
        <v>469</v>
      </c>
      <c r="B14" s="1600">
        <v>3000</v>
      </c>
      <c r="C14" s="1765">
        <f>'Expenditures 15-22'!K75</f>
        <v>241355</v>
      </c>
      <c r="D14" s="1765">
        <f>'Expenditures 15-22'!K130</f>
        <v>0</v>
      </c>
      <c r="E14" s="520" t="s">
        <v>1231</v>
      </c>
      <c r="F14" s="1765">
        <f>'Expenditures 15-22'!K185</f>
        <v>0</v>
      </c>
      <c r="G14" s="1765">
        <f>'Expenditures 15-22'!K280</f>
        <v>19107</v>
      </c>
      <c r="H14" s="512"/>
      <c r="I14" s="468" t="s">
        <v>1231</v>
      </c>
      <c r="J14" s="468" t="s">
        <v>1231</v>
      </c>
      <c r="K14" s="512" t="s">
        <v>1231</v>
      </c>
      <c r="L14" s="347"/>
    </row>
    <row r="15" spans="1:13" ht="15.75" customHeight="1" x14ac:dyDescent="0.2">
      <c r="A15" s="1598" t="s">
        <v>109</v>
      </c>
      <c r="B15" s="1600">
        <v>4000</v>
      </c>
      <c r="C15" s="1765">
        <f>'Expenditures 15-22'!K102</f>
        <v>213858</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5483588</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81537588</v>
      </c>
      <c r="D17" s="1710">
        <f t="shared" si="2"/>
        <v>7641843</v>
      </c>
      <c r="E17" s="1710">
        <f t="shared" si="2"/>
        <v>5483588</v>
      </c>
      <c r="F17" s="1710">
        <f t="shared" si="2"/>
        <v>4375061</v>
      </c>
      <c r="G17" s="1710">
        <f t="shared" si="2"/>
        <v>3082867</v>
      </c>
      <c r="H17" s="1710">
        <f t="shared" si="2"/>
        <v>484048</v>
      </c>
      <c r="I17" s="468"/>
      <c r="J17" s="1710">
        <f>SUM(J12:J16)</f>
        <v>665051</v>
      </c>
      <c r="K17" s="1710">
        <f>SUM(K12:K16)</f>
        <v>0</v>
      </c>
      <c r="L17" s="347"/>
    </row>
    <row r="18" spans="1:12" ht="15" customHeight="1" thickTop="1" x14ac:dyDescent="0.2">
      <c r="A18" s="1766" t="s">
        <v>1753</v>
      </c>
      <c r="B18" s="1767">
        <v>4180</v>
      </c>
      <c r="C18" s="1764">
        <f t="shared" ref="C18:H18" si="3">C9</f>
        <v>38938828</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120476416</v>
      </c>
      <c r="D19" s="1710">
        <f t="shared" si="4"/>
        <v>7641843</v>
      </c>
      <c r="E19" s="1710">
        <f t="shared" si="4"/>
        <v>5483588</v>
      </c>
      <c r="F19" s="1710">
        <f t="shared" si="4"/>
        <v>4375061</v>
      </c>
      <c r="G19" s="1710">
        <f t="shared" si="4"/>
        <v>3082867</v>
      </c>
      <c r="H19" s="1710">
        <f t="shared" si="4"/>
        <v>484048</v>
      </c>
      <c r="I19" s="468"/>
      <c r="J19" s="1710">
        <f>SUM(J17:J18)</f>
        <v>665051</v>
      </c>
      <c r="K19" s="1710">
        <f>SUM(K17:K18)</f>
        <v>0</v>
      </c>
      <c r="L19" s="347"/>
    </row>
    <row r="20" spans="1:12" ht="16.5" thickTop="1" thickBot="1" x14ac:dyDescent="0.25">
      <c r="A20" s="2145" t="s">
        <v>1754</v>
      </c>
      <c r="B20" s="2146"/>
      <c r="C20" s="1768">
        <f>C8-C17</f>
        <v>6377698</v>
      </c>
      <c r="D20" s="1768">
        <f t="shared" ref="D20:K20" si="5">D8-D17</f>
        <v>-386116</v>
      </c>
      <c r="E20" s="1768">
        <f t="shared" si="5"/>
        <v>-524349</v>
      </c>
      <c r="F20" s="1768">
        <f t="shared" si="5"/>
        <v>5642478</v>
      </c>
      <c r="G20" s="1768">
        <f t="shared" si="5"/>
        <v>160148</v>
      </c>
      <c r="H20" s="1768">
        <f t="shared" si="5"/>
        <v>-480489</v>
      </c>
      <c r="I20" s="1768">
        <f t="shared" si="5"/>
        <v>21502</v>
      </c>
      <c r="J20" s="1768">
        <f t="shared" si="5"/>
        <v>191204</v>
      </c>
      <c r="K20" s="1768">
        <f t="shared" si="5"/>
        <v>904</v>
      </c>
      <c r="L20" s="347"/>
    </row>
    <row r="21" spans="1:12" ht="16.7" customHeight="1" thickTop="1" x14ac:dyDescent="0.2">
      <c r="A21" s="2157" t="s">
        <v>616</v>
      </c>
      <c r="B21" s="2158"/>
      <c r="C21" s="1592"/>
      <c r="D21" s="1593"/>
      <c r="E21" s="1593"/>
      <c r="F21" s="1593"/>
      <c r="G21" s="1593"/>
      <c r="H21" s="1593"/>
      <c r="I21" s="1593"/>
      <c r="J21" s="1593"/>
      <c r="K21" s="1594"/>
      <c r="L21" s="524"/>
    </row>
    <row r="22" spans="1:12" ht="15.75" customHeight="1" collapsed="1" x14ac:dyDescent="0.2">
      <c r="A22" s="2153" t="s">
        <v>617</v>
      </c>
      <c r="B22" s="2154"/>
      <c r="C22" s="477"/>
      <c r="D22" s="477"/>
      <c r="E22" s="477"/>
      <c r="F22" s="477"/>
      <c r="G22" s="477"/>
      <c r="H22" s="477"/>
      <c r="I22" s="477"/>
      <c r="J22" s="477"/>
      <c r="K22" s="477"/>
      <c r="L22" s="347"/>
    </row>
    <row r="23" spans="1:12" s="485" customFormat="1" ht="15.75" customHeight="1" x14ac:dyDescent="0.2">
      <c r="A23" s="2149" t="s">
        <v>311</v>
      </c>
      <c r="B23" s="2150"/>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v>8000000</v>
      </c>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1894</v>
      </c>
      <c r="B30" s="527">
        <v>7160</v>
      </c>
      <c r="C30" s="477"/>
      <c r="D30" s="467"/>
      <c r="E30" s="477"/>
      <c r="F30" s="477"/>
      <c r="G30" s="477"/>
      <c r="H30" s="477"/>
      <c r="I30" s="477"/>
      <c r="J30" s="477"/>
      <c r="K30" s="477"/>
      <c r="L30" s="524"/>
    </row>
    <row r="31" spans="1:12" s="485" customFormat="1" ht="26.25" x14ac:dyDescent="0.2">
      <c r="A31" s="1511" t="s">
        <v>1898</v>
      </c>
      <c r="B31" s="527">
        <v>7170</v>
      </c>
      <c r="C31" s="477"/>
      <c r="D31" s="477"/>
      <c r="E31" s="474"/>
      <c r="F31" s="477"/>
      <c r="G31" s="477"/>
      <c r="H31" s="477"/>
      <c r="I31" s="477"/>
      <c r="J31" s="477"/>
      <c r="K31" s="477"/>
      <c r="L31" s="524"/>
    </row>
    <row r="32" spans="1:12" s="485" customFormat="1" ht="15.75" customHeight="1" x14ac:dyDescent="0.2">
      <c r="A32" s="2151" t="s">
        <v>1038</v>
      </c>
      <c r="B32" s="2152"/>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v>23722</v>
      </c>
      <c r="E36" s="467"/>
      <c r="F36" s="467"/>
      <c r="G36" s="467"/>
      <c r="H36" s="467"/>
      <c r="I36" s="475"/>
      <c r="J36" s="467"/>
      <c r="K36" s="467"/>
      <c r="L36" s="524"/>
    </row>
    <row r="37" spans="1:12" s="485" customFormat="1" x14ac:dyDescent="0.2">
      <c r="A37" s="1511" t="s">
        <v>461</v>
      </c>
      <c r="B37" s="525">
        <v>7400</v>
      </c>
      <c r="C37" s="475"/>
      <c r="D37" s="475"/>
      <c r="E37" s="1765">
        <f>SUM(C54:D57,H54:H57)</f>
        <v>680157</v>
      </c>
      <c r="F37" s="475"/>
      <c r="G37" s="475"/>
      <c r="H37" s="475"/>
      <c r="I37" s="477"/>
      <c r="J37" s="475"/>
      <c r="K37" s="475"/>
      <c r="L37" s="524"/>
    </row>
    <row r="38" spans="1:12" s="485" customFormat="1" x14ac:dyDescent="0.2">
      <c r="A38" s="1511" t="s">
        <v>462</v>
      </c>
      <c r="B38" s="525">
        <v>7500</v>
      </c>
      <c r="C38" s="477"/>
      <c r="D38" s="477"/>
      <c r="E38" s="1765">
        <f>SUM(C58:D61,H58:H61)</f>
        <v>8620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9" t="s">
        <v>392</v>
      </c>
      <c r="B44" s="2160"/>
      <c r="C44" s="1725">
        <f>SUM(C24:C43)</f>
        <v>8000000</v>
      </c>
      <c r="D44" s="1725">
        <f t="shared" ref="D44:K44" si="6">SUM(D24:D43)</f>
        <v>23722</v>
      </c>
      <c r="E44" s="1725">
        <f t="shared" si="6"/>
        <v>688777</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3" t="s">
        <v>110</v>
      </c>
      <c r="B45" s="2154"/>
      <c r="C45" s="528"/>
      <c r="D45" s="528"/>
      <c r="E45" s="528"/>
      <c r="F45" s="528"/>
      <c r="G45" s="528"/>
      <c r="H45" s="528"/>
      <c r="I45" s="528"/>
      <c r="J45" s="528"/>
      <c r="K45" s="528"/>
      <c r="L45" s="347"/>
    </row>
    <row r="46" spans="1:12" s="485" customFormat="1" ht="15.75" customHeight="1" x14ac:dyDescent="0.2">
      <c r="A46" s="2161" t="s">
        <v>111</v>
      </c>
      <c r="B46" s="2162"/>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v>8000000</v>
      </c>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1897</v>
      </c>
      <c r="B52" s="483">
        <v>8160</v>
      </c>
      <c r="C52" s="477"/>
      <c r="D52" s="477"/>
      <c r="E52" s="477"/>
      <c r="F52" s="477"/>
      <c r="G52" s="477"/>
      <c r="H52" s="477"/>
      <c r="I52" s="477"/>
      <c r="J52" s="477"/>
      <c r="K52" s="1765">
        <f>D30</f>
        <v>0</v>
      </c>
      <c r="L52" s="524"/>
    </row>
    <row r="53" spans="1:12" s="485" customFormat="1" ht="26.25" x14ac:dyDescent="0.2">
      <c r="A53" s="1512" t="s">
        <v>1896</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v>567591</v>
      </c>
      <c r="D56" s="531">
        <v>112566</v>
      </c>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v>1286</v>
      </c>
      <c r="D60" s="531">
        <v>7334</v>
      </c>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5" t="s">
        <v>460</v>
      </c>
      <c r="B76" s="2136"/>
      <c r="C76" s="1725">
        <f t="shared" ref="C76:K76" si="7">SUM(C47:C75)</f>
        <v>568877</v>
      </c>
      <c r="D76" s="1725">
        <f t="shared" si="7"/>
        <v>119900</v>
      </c>
      <c r="E76" s="1725">
        <f t="shared" si="7"/>
        <v>0</v>
      </c>
      <c r="F76" s="1725">
        <f t="shared" si="7"/>
        <v>8000000</v>
      </c>
      <c r="G76" s="1725">
        <f t="shared" si="7"/>
        <v>0</v>
      </c>
      <c r="H76" s="1725">
        <f t="shared" si="7"/>
        <v>0</v>
      </c>
      <c r="I76" s="1725">
        <f t="shared" si="7"/>
        <v>0</v>
      </c>
      <c r="J76" s="1725">
        <f t="shared" si="7"/>
        <v>0</v>
      </c>
      <c r="K76" s="1725">
        <f t="shared" si="7"/>
        <v>0</v>
      </c>
      <c r="L76" s="524"/>
    </row>
    <row r="77" spans="1:12" ht="14.25" thickTop="1" thickBot="1" x14ac:dyDescent="0.25">
      <c r="A77" s="2137" t="s">
        <v>1239</v>
      </c>
      <c r="B77" s="2138"/>
      <c r="C77" s="1725">
        <f t="shared" ref="C77:K77" si="8">C44-C76</f>
        <v>7431123</v>
      </c>
      <c r="D77" s="1725">
        <f t="shared" si="8"/>
        <v>-96178</v>
      </c>
      <c r="E77" s="1725">
        <f t="shared" si="8"/>
        <v>688777</v>
      </c>
      <c r="F77" s="1725">
        <f t="shared" si="8"/>
        <v>-8000000</v>
      </c>
      <c r="G77" s="1725">
        <f t="shared" si="8"/>
        <v>0</v>
      </c>
      <c r="H77" s="1725">
        <f t="shared" si="8"/>
        <v>0</v>
      </c>
      <c r="I77" s="1725">
        <f t="shared" si="8"/>
        <v>0</v>
      </c>
      <c r="J77" s="1725">
        <f t="shared" si="8"/>
        <v>0</v>
      </c>
      <c r="K77" s="1725">
        <f t="shared" si="8"/>
        <v>0</v>
      </c>
      <c r="L77" s="347"/>
    </row>
    <row r="78" spans="1:12" ht="21.75" customHeight="1" thickTop="1" thickBot="1" x14ac:dyDescent="0.25">
      <c r="A78" s="2141" t="s">
        <v>618</v>
      </c>
      <c r="B78" s="2142"/>
      <c r="C78" s="1724">
        <f t="shared" ref="C78:K78" si="9">C20+C77</f>
        <v>13808821</v>
      </c>
      <c r="D78" s="1724">
        <f t="shared" si="9"/>
        <v>-482294</v>
      </c>
      <c r="E78" s="1724">
        <f t="shared" si="9"/>
        <v>164428</v>
      </c>
      <c r="F78" s="1724">
        <f t="shared" si="9"/>
        <v>-2357522</v>
      </c>
      <c r="G78" s="1724">
        <f t="shared" si="9"/>
        <v>160148</v>
      </c>
      <c r="H78" s="1724">
        <f t="shared" si="9"/>
        <v>-480489</v>
      </c>
      <c r="I78" s="1724">
        <f t="shared" si="9"/>
        <v>21502</v>
      </c>
      <c r="J78" s="1724">
        <f t="shared" si="9"/>
        <v>191204</v>
      </c>
      <c r="K78" s="1724">
        <f t="shared" si="9"/>
        <v>904</v>
      </c>
      <c r="L78" s="533"/>
    </row>
    <row r="79" spans="1:12" ht="13.5" thickTop="1" x14ac:dyDescent="0.2">
      <c r="A79" s="1516" t="s">
        <v>2070</v>
      </c>
      <c r="B79" s="534"/>
      <c r="C79" s="478">
        <v>-19626</v>
      </c>
      <c r="D79" s="535">
        <v>5199370</v>
      </c>
      <c r="E79" s="535">
        <v>2686698</v>
      </c>
      <c r="F79" s="535">
        <v>4190975</v>
      </c>
      <c r="G79" s="535">
        <v>2938895</v>
      </c>
      <c r="H79" s="535">
        <v>696372</v>
      </c>
      <c r="I79" s="535">
        <v>3722286</v>
      </c>
      <c r="J79" s="535">
        <v>231156</v>
      </c>
      <c r="K79" s="535">
        <v>64033</v>
      </c>
      <c r="L79" s="347"/>
    </row>
    <row r="80" spans="1:12" x14ac:dyDescent="0.2">
      <c r="A80" s="2147" t="s">
        <v>1895</v>
      </c>
      <c r="B80" s="2148"/>
      <c r="C80" s="467"/>
      <c r="D80" s="467"/>
      <c r="E80" s="467"/>
      <c r="F80" s="467"/>
      <c r="G80" s="467"/>
      <c r="H80" s="467"/>
      <c r="I80" s="467"/>
      <c r="J80" s="467"/>
      <c r="K80" s="467"/>
      <c r="L80" s="347"/>
    </row>
    <row r="81" spans="1:12" ht="13.5" thickBot="1" x14ac:dyDescent="0.25">
      <c r="A81" s="2139" t="s">
        <v>2071</v>
      </c>
      <c r="B81" s="2140"/>
      <c r="C81" s="1710">
        <f>(SUM(C78:C80))</f>
        <v>13789195</v>
      </c>
      <c r="D81" s="1710">
        <f>SUM(D78:D80)</f>
        <v>4717076</v>
      </c>
      <c r="E81" s="1710">
        <f t="shared" ref="E81:K81" si="10">SUM(E78:E80)</f>
        <v>2851126</v>
      </c>
      <c r="F81" s="1710">
        <f t="shared" si="10"/>
        <v>1833453</v>
      </c>
      <c r="G81" s="1710">
        <f t="shared" si="10"/>
        <v>3099043</v>
      </c>
      <c r="H81" s="1710">
        <f t="shared" si="10"/>
        <v>215883</v>
      </c>
      <c r="I81" s="1710">
        <f t="shared" si="10"/>
        <v>3743788</v>
      </c>
      <c r="J81" s="1710">
        <f t="shared" si="10"/>
        <v>422360</v>
      </c>
      <c r="K81" s="1710">
        <f t="shared" si="10"/>
        <v>64937</v>
      </c>
      <c r="L81" s="347"/>
    </row>
    <row r="82" spans="1:12" ht="0.75" customHeight="1" thickTop="1" thickBot="1" x14ac:dyDescent="0.25">
      <c r="A82" s="536" t="s">
        <v>361</v>
      </c>
      <c r="B82" s="537"/>
      <c r="C82" s="538">
        <f>(C81-C79)</f>
        <v>13808821</v>
      </c>
      <c r="D82" s="538">
        <f t="shared" ref="D82:K82" si="11">(D81-D79)</f>
        <v>-482294</v>
      </c>
      <c r="E82" s="538">
        <f t="shared" si="11"/>
        <v>164428</v>
      </c>
      <c r="F82" s="538">
        <f t="shared" si="11"/>
        <v>-2357522</v>
      </c>
      <c r="G82" s="538">
        <f t="shared" si="11"/>
        <v>160148</v>
      </c>
      <c r="H82" s="538">
        <f t="shared" si="11"/>
        <v>-480489</v>
      </c>
      <c r="I82" s="538">
        <f t="shared" si="11"/>
        <v>21502</v>
      </c>
      <c r="J82" s="538">
        <f t="shared" si="11"/>
        <v>191204</v>
      </c>
      <c r="K82" s="538">
        <f t="shared" si="11"/>
        <v>904</v>
      </c>
    </row>
    <row r="83" spans="1:12" ht="14.25" hidden="1" thickTop="1" thickBot="1" x14ac:dyDescent="0.25">
      <c r="A83" s="539" t="s">
        <v>362</v>
      </c>
      <c r="B83" s="464"/>
      <c r="C83" s="540">
        <f>C82/C81</f>
        <v>1.0014232883065328</v>
      </c>
      <c r="D83" s="540">
        <f t="shared" ref="D83:K83" si="12">D82/D81</f>
        <v>-0.10224427166320831</v>
      </c>
      <c r="E83" s="540">
        <f t="shared" si="12"/>
        <v>5.76712498851331E-2</v>
      </c>
      <c r="F83" s="540">
        <f t="shared" si="12"/>
        <v>-1.2858371608107761</v>
      </c>
      <c r="G83" s="540">
        <f t="shared" si="12"/>
        <v>5.1676598227259188E-2</v>
      </c>
      <c r="H83" s="540">
        <f t="shared" si="12"/>
        <v>-2.2256916941120886</v>
      </c>
      <c r="I83" s="540">
        <f t="shared" si="12"/>
        <v>5.7433807683554732E-3</v>
      </c>
      <c r="J83" s="540">
        <f t="shared" si="12"/>
        <v>0.45270385453167916</v>
      </c>
      <c r="K83" s="540">
        <f t="shared" si="12"/>
        <v>1.3921185148682569E-2</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7" sqref="A47"/>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3" t="s">
        <v>1902</v>
      </c>
      <c r="B1" s="452"/>
      <c r="C1" s="453" t="s">
        <v>445</v>
      </c>
      <c r="D1" s="453" t="s">
        <v>446</v>
      </c>
      <c r="E1" s="453" t="s">
        <v>447</v>
      </c>
      <c r="F1" s="453" t="s">
        <v>448</v>
      </c>
      <c r="G1" s="453" t="s">
        <v>449</v>
      </c>
      <c r="H1" s="453" t="s">
        <v>450</v>
      </c>
      <c r="I1" s="453" t="s">
        <v>451</v>
      </c>
      <c r="J1" s="453" t="s">
        <v>452</v>
      </c>
      <c r="K1" s="453" t="s">
        <v>780</v>
      </c>
    </row>
    <row r="2" spans="1:12" ht="36" x14ac:dyDescent="0.2">
      <c r="A2" s="214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56819826</v>
      </c>
      <c r="D5" s="481">
        <v>7113169</v>
      </c>
      <c r="E5" s="466">
        <v>4927610</v>
      </c>
      <c r="F5" s="548">
        <v>8093392</v>
      </c>
      <c r="G5" s="466">
        <v>952047</v>
      </c>
      <c r="H5" s="466"/>
      <c r="I5" s="466"/>
      <c r="J5" s="467">
        <v>853891</v>
      </c>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v>6285600</v>
      </c>
      <c r="D7" s="466"/>
      <c r="E7" s="468"/>
      <c r="F7" s="467"/>
      <c r="G7" s="467"/>
      <c r="H7" s="467"/>
      <c r="I7" s="468"/>
      <c r="J7" s="468"/>
      <c r="K7" s="468"/>
    </row>
    <row r="8" spans="1:12" x14ac:dyDescent="0.2">
      <c r="A8" s="463" t="s">
        <v>433</v>
      </c>
      <c r="B8" s="470">
        <v>1150</v>
      </c>
      <c r="C8" s="475"/>
      <c r="D8" s="475"/>
      <c r="E8" s="477"/>
      <c r="F8" s="477"/>
      <c r="G8" s="481">
        <v>2118865</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63105426</v>
      </c>
      <c r="D12" s="1729">
        <f t="shared" si="0"/>
        <v>7113169</v>
      </c>
      <c r="E12" s="1729">
        <f t="shared" si="0"/>
        <v>4927610</v>
      </c>
      <c r="F12" s="1729">
        <f t="shared" si="0"/>
        <v>8093392</v>
      </c>
      <c r="G12" s="1729">
        <f t="shared" si="0"/>
        <v>3070912</v>
      </c>
      <c r="H12" s="1729">
        <f t="shared" si="0"/>
        <v>0</v>
      </c>
      <c r="I12" s="1729">
        <f t="shared" si="0"/>
        <v>0</v>
      </c>
      <c r="J12" s="1729">
        <f t="shared" si="0"/>
        <v>853891</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869140</v>
      </c>
      <c r="D16" s="466"/>
      <c r="E16" s="466"/>
      <c r="F16" s="466"/>
      <c r="G16" s="466">
        <v>104130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869140</v>
      </c>
      <c r="D18" s="1732">
        <f t="shared" ref="D18:K18" si="1">SUM(D14:D17)</f>
        <v>0</v>
      </c>
      <c r="E18" s="1732">
        <f t="shared" si="1"/>
        <v>0</v>
      </c>
      <c r="F18" s="1732">
        <f t="shared" si="1"/>
        <v>0</v>
      </c>
      <c r="G18" s="1732">
        <f t="shared" si="1"/>
        <v>104130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v>6580</v>
      </c>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6580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v>35779</v>
      </c>
      <c r="G42" s="468"/>
      <c r="H42" s="468"/>
      <c r="I42" s="468"/>
      <c r="J42" s="468"/>
      <c r="K42" s="468"/>
    </row>
    <row r="43" spans="1:11" ht="12.75" customHeight="1" x14ac:dyDescent="0.2">
      <c r="A43" s="463" t="s">
        <v>892</v>
      </c>
      <c r="B43" s="470">
        <v>1412</v>
      </c>
      <c r="C43" s="468"/>
      <c r="D43" s="468"/>
      <c r="E43" s="468"/>
      <c r="F43" s="466">
        <v>518</v>
      </c>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v>11190</v>
      </c>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47487</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390155</v>
      </c>
      <c r="D65" s="466">
        <v>80669</v>
      </c>
      <c r="E65" s="466">
        <v>31629</v>
      </c>
      <c r="F65" s="467">
        <v>87920</v>
      </c>
      <c r="G65" s="466">
        <v>61604</v>
      </c>
      <c r="H65" s="466">
        <v>3559</v>
      </c>
      <c r="I65" s="466">
        <v>21502</v>
      </c>
      <c r="J65" s="467">
        <v>2364</v>
      </c>
      <c r="K65" s="466">
        <v>904</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390155</v>
      </c>
      <c r="D67" s="1710">
        <f t="shared" ref="D67:K67" si="2">SUM(D65:D66)</f>
        <v>80669</v>
      </c>
      <c r="E67" s="1710">
        <f t="shared" si="2"/>
        <v>31629</v>
      </c>
      <c r="F67" s="1710">
        <f t="shared" si="2"/>
        <v>87920</v>
      </c>
      <c r="G67" s="1710">
        <f t="shared" si="2"/>
        <v>61604</v>
      </c>
      <c r="H67" s="1710">
        <f t="shared" si="2"/>
        <v>3559</v>
      </c>
      <c r="I67" s="1710">
        <f t="shared" si="2"/>
        <v>21502</v>
      </c>
      <c r="J67" s="1710">
        <f t="shared" si="2"/>
        <v>2364</v>
      </c>
      <c r="K67" s="1710">
        <f t="shared" si="2"/>
        <v>904</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241743</v>
      </c>
      <c r="D69" s="468"/>
      <c r="E69" s="468"/>
      <c r="F69" s="468"/>
      <c r="G69" s="468"/>
      <c r="H69" s="468"/>
      <c r="I69" s="468"/>
      <c r="J69" s="468"/>
      <c r="K69" s="468"/>
    </row>
    <row r="70" spans="1:11" ht="12.75" customHeight="1" x14ac:dyDescent="0.2">
      <c r="A70" s="463" t="s">
        <v>1054</v>
      </c>
      <c r="B70" s="470">
        <v>1612</v>
      </c>
      <c r="C70" s="551">
        <v>16839</v>
      </c>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73789</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332371</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0</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216801</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216801</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49796</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669238</v>
      </c>
      <c r="D99" s="466">
        <v>9763</v>
      </c>
      <c r="E99" s="466"/>
      <c r="F99" s="466"/>
      <c r="G99" s="466"/>
      <c r="H99" s="466"/>
      <c r="I99" s="468"/>
      <c r="J99" s="467"/>
      <c r="K99" s="466"/>
    </row>
    <row r="100" spans="1:12" ht="12.75" customHeight="1" x14ac:dyDescent="0.2">
      <c r="A100" s="463" t="s">
        <v>263</v>
      </c>
      <c r="B100" s="470">
        <v>1960</v>
      </c>
      <c r="C100" s="489">
        <v>1152952</v>
      </c>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v>4617</v>
      </c>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v>36847</v>
      </c>
      <c r="D106" s="489"/>
      <c r="E106" s="467"/>
      <c r="F106" s="467"/>
      <c r="G106" s="467"/>
      <c r="H106" s="467"/>
      <c r="I106" s="521"/>
      <c r="J106" s="467"/>
      <c r="K106" s="467"/>
    </row>
    <row r="107" spans="1:12" ht="12.75" customHeight="1" x14ac:dyDescent="0.2">
      <c r="A107" s="463" t="s">
        <v>80</v>
      </c>
      <c r="B107" s="470">
        <v>1999</v>
      </c>
      <c r="C107" s="551">
        <v>41161</v>
      </c>
      <c r="D107" s="466">
        <v>2330</v>
      </c>
      <c r="E107" s="466"/>
      <c r="F107" s="466"/>
      <c r="G107" s="466">
        <v>6369</v>
      </c>
      <c r="H107" s="466"/>
      <c r="I107" s="466"/>
      <c r="J107" s="467"/>
      <c r="K107" s="466"/>
    </row>
    <row r="108" spans="1:12" ht="12.75" customHeight="1" thickBot="1" x14ac:dyDescent="0.25">
      <c r="A108" s="1730" t="s">
        <v>508</v>
      </c>
      <c r="B108" s="1734"/>
      <c r="C108" s="1729">
        <f>SUM(C95:C107)</f>
        <v>1904815</v>
      </c>
      <c r="D108" s="1729">
        <f t="shared" ref="D108:K108" si="3">SUM(D95:D107)</f>
        <v>61889</v>
      </c>
      <c r="E108" s="1729">
        <f t="shared" si="3"/>
        <v>0</v>
      </c>
      <c r="F108" s="1729">
        <f t="shared" si="3"/>
        <v>0</v>
      </c>
      <c r="G108" s="1729">
        <f t="shared" si="3"/>
        <v>6369</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66825288</v>
      </c>
      <c r="D109" s="1737">
        <f t="shared" si="4"/>
        <v>7255727</v>
      </c>
      <c r="E109" s="1737">
        <f t="shared" si="4"/>
        <v>4959239</v>
      </c>
      <c r="F109" s="1737">
        <f t="shared" si="4"/>
        <v>8228799</v>
      </c>
      <c r="G109" s="1737">
        <f t="shared" si="4"/>
        <v>3243015</v>
      </c>
      <c r="H109" s="1737">
        <f t="shared" si="4"/>
        <v>3559</v>
      </c>
      <c r="I109" s="1737">
        <f t="shared" si="4"/>
        <v>21502</v>
      </c>
      <c r="J109" s="1737">
        <f t="shared" si="4"/>
        <v>856255</v>
      </c>
      <c r="K109" s="1724">
        <f t="shared" si="4"/>
        <v>904</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12092303</v>
      </c>
      <c r="D117" s="481"/>
      <c r="E117" s="466"/>
      <c r="F117" s="481"/>
      <c r="G117" s="481"/>
      <c r="H117" s="466"/>
      <c r="I117" s="468"/>
      <c r="J117" s="467"/>
      <c r="K117" s="466"/>
    </row>
    <row r="118" spans="1:11" ht="12.75" customHeight="1" x14ac:dyDescent="0.2">
      <c r="A118" s="463" t="s">
        <v>1899</v>
      </c>
      <c r="B118" s="562">
        <v>3002</v>
      </c>
      <c r="C118" s="551"/>
      <c r="D118" s="466"/>
      <c r="E118" s="466"/>
      <c r="F118" s="466"/>
      <c r="G118" s="466"/>
      <c r="H118" s="466"/>
      <c r="I118" s="468"/>
      <c r="J118" s="467"/>
      <c r="K118" s="466"/>
    </row>
    <row r="119" spans="1:11" ht="12.75" customHeight="1" x14ac:dyDescent="0.2">
      <c r="A119" s="463" t="s">
        <v>1900</v>
      </c>
      <c r="B119" s="562">
        <v>3005</v>
      </c>
      <c r="C119" s="551"/>
      <c r="D119" s="466"/>
      <c r="E119" s="466"/>
      <c r="F119" s="466"/>
      <c r="G119" s="466"/>
      <c r="H119" s="466"/>
      <c r="I119" s="468"/>
      <c r="J119" s="467"/>
      <c r="K119" s="466"/>
    </row>
    <row r="120" spans="1:11" x14ac:dyDescent="0.2">
      <c r="A120" s="1518" t="s">
        <v>1901</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12092303</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92088</v>
      </c>
      <c r="D124" s="561"/>
      <c r="E124" s="468"/>
      <c r="F124" s="548"/>
      <c r="G124" s="468"/>
      <c r="H124" s="468"/>
      <c r="I124" s="468"/>
      <c r="J124" s="468"/>
      <c r="K124" s="468"/>
    </row>
    <row r="125" spans="1:11" ht="12.75" customHeight="1" x14ac:dyDescent="0.2">
      <c r="A125" s="463" t="s">
        <v>1521</v>
      </c>
      <c r="B125" s="562">
        <v>3105</v>
      </c>
      <c r="C125" s="466">
        <v>220597</v>
      </c>
      <c r="D125" s="561"/>
      <c r="E125" s="468"/>
      <c r="F125" s="466"/>
      <c r="G125" s="468"/>
      <c r="H125" s="468"/>
      <c r="I125" s="468"/>
      <c r="J125" s="468"/>
      <c r="K125" s="468"/>
    </row>
    <row r="126" spans="1:11" ht="12.75" customHeight="1" x14ac:dyDescent="0.2">
      <c r="A126" s="463" t="s">
        <v>922</v>
      </c>
      <c r="B126" s="562">
        <v>3110</v>
      </c>
      <c r="C126" s="551">
        <v>358837</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9076</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680598</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1474361</v>
      </c>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1474361</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30333</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583120</v>
      </c>
      <c r="G151" s="467"/>
      <c r="H151" s="468"/>
      <c r="I151" s="468"/>
      <c r="J151" s="468"/>
      <c r="K151" s="468"/>
    </row>
    <row r="152" spans="1:11" ht="12.75" customHeight="1" x14ac:dyDescent="0.2">
      <c r="A152" s="463" t="s">
        <v>1117</v>
      </c>
      <c r="B152" s="562">
        <v>3510</v>
      </c>
      <c r="C152" s="551"/>
      <c r="D152" s="466"/>
      <c r="E152" s="561"/>
      <c r="F152" s="466">
        <v>1205620</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1788740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4999</v>
      </c>
      <c r="D171" s="580"/>
      <c r="E171" s="580"/>
      <c r="F171" s="580"/>
      <c r="G171" s="581"/>
      <c r="H171" s="582"/>
      <c r="I171" s="581"/>
      <c r="J171" s="581"/>
      <c r="K171" s="582"/>
    </row>
    <row r="172" spans="1:11" ht="12.75" customHeight="1" thickTop="1" thickBot="1" x14ac:dyDescent="0.25">
      <c r="A172" s="2163" t="s">
        <v>418</v>
      </c>
      <c r="B172" s="2164"/>
      <c r="C172" s="1744">
        <f t="shared" ref="C172:K172" si="6">SUM(C131,C140,C144,C145:C149,C154,C155:C170,C171)</f>
        <v>2190291</v>
      </c>
      <c r="D172" s="1744">
        <f t="shared" si="6"/>
        <v>0</v>
      </c>
      <c r="E172" s="1744">
        <f t="shared" si="6"/>
        <v>0</v>
      </c>
      <c r="F172" s="1744">
        <f t="shared" si="6"/>
        <v>1788740</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14282594</v>
      </c>
      <c r="D173" s="1737">
        <f>SUM(D121,D172)</f>
        <v>0</v>
      </c>
      <c r="E173" s="1737">
        <f>SUM(E121,E172)</f>
        <v>0</v>
      </c>
      <c r="F173" s="1737">
        <f t="shared" ref="F173:K173" si="7">SUM(F121,F172)</f>
        <v>1788740</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5" t="s">
        <v>1572</v>
      </c>
      <c r="B175" s="2166"/>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9" t="s">
        <v>1764</v>
      </c>
      <c r="B178" s="2170"/>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3" t="s">
        <v>1763</v>
      </c>
      <c r="B179" s="2174"/>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1" t="s">
        <v>818</v>
      </c>
      <c r="B184" s="2172"/>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7" t="s">
        <v>1903</v>
      </c>
      <c r="B185" s="2168"/>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2001936</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818830</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v>13393</v>
      </c>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2834159</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1610002</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1610002</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54798</v>
      </c>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1343142</v>
      </c>
      <c r="D220" s="466"/>
      <c r="E220" s="468"/>
      <c r="F220" s="466"/>
      <c r="G220" s="466"/>
      <c r="H220" s="468"/>
      <c r="I220" s="468"/>
      <c r="J220" s="468"/>
      <c r="K220" s="468"/>
    </row>
    <row r="221" spans="1:11" ht="12.75" customHeight="1" x14ac:dyDescent="0.2">
      <c r="A221" s="463" t="s">
        <v>1114</v>
      </c>
      <c r="B221" s="470">
        <v>4625</v>
      </c>
      <c r="C221" s="551">
        <v>36178</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1434118</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v>18997</v>
      </c>
      <c r="D263" s="468"/>
      <c r="E263" s="468"/>
      <c r="F263" s="578"/>
      <c r="G263" s="573"/>
      <c r="H263" s="468"/>
      <c r="I263" s="468"/>
      <c r="J263" s="468"/>
      <c r="K263" s="468"/>
    </row>
    <row r="264" spans="1:11" ht="12.75" customHeight="1" thickTop="1" thickBot="1" x14ac:dyDescent="0.25">
      <c r="A264" s="463" t="s">
        <v>1532</v>
      </c>
      <c r="B264" s="470">
        <v>4909</v>
      </c>
      <c r="C264" s="576">
        <v>262384</v>
      </c>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167027</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180141</v>
      </c>
      <c r="D270" s="576"/>
      <c r="E270" s="468"/>
      <c r="F270" s="576"/>
      <c r="G270" s="576"/>
      <c r="H270" s="468"/>
      <c r="I270" s="468"/>
      <c r="J270" s="468"/>
      <c r="K270" s="468"/>
    </row>
    <row r="271" spans="1:11" ht="12.75" customHeight="1" thickTop="1" thickBot="1" x14ac:dyDescent="0.25">
      <c r="A271" s="463" t="s">
        <v>395</v>
      </c>
      <c r="B271" s="470">
        <v>4992</v>
      </c>
      <c r="C271" s="575">
        <v>300576</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6807404</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6807404</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87915286</v>
      </c>
      <c r="D275" s="1737">
        <f t="shared" si="12"/>
        <v>7255727</v>
      </c>
      <c r="E275" s="1737">
        <f t="shared" si="12"/>
        <v>4959239</v>
      </c>
      <c r="F275" s="1737">
        <f t="shared" si="12"/>
        <v>10017539</v>
      </c>
      <c r="G275" s="1737">
        <f t="shared" si="12"/>
        <v>3243015</v>
      </c>
      <c r="H275" s="1737">
        <f t="shared" si="12"/>
        <v>3559</v>
      </c>
      <c r="I275" s="1737">
        <f t="shared" si="12"/>
        <v>21502</v>
      </c>
      <c r="J275" s="1737">
        <f t="shared" si="12"/>
        <v>856255</v>
      </c>
      <c r="K275" s="1724">
        <f t="shared" si="12"/>
        <v>904</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 activePane="bottomLeft" state="frozen"/>
      <selection activeCell="A47" sqref="A47"/>
      <selection pane="bottomLeft" activeCell="D6" sqref="D6"/>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3" t="s">
        <v>1902</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25332784</v>
      </c>
      <c r="D5" s="466">
        <f>6278823-18331</f>
        <v>6260492</v>
      </c>
      <c r="E5" s="466">
        <v>44519</v>
      </c>
      <c r="F5" s="466">
        <v>665436</v>
      </c>
      <c r="G5" s="466">
        <v>43140</v>
      </c>
      <c r="H5" s="466">
        <v>55905</v>
      </c>
      <c r="I5" s="467"/>
      <c r="J5" s="467"/>
      <c r="K5" s="1693">
        <f>SUM(C5:J5)</f>
        <v>32402276</v>
      </c>
      <c r="L5" s="466">
        <v>34404966</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180483</v>
      </c>
      <c r="D7" s="467">
        <v>97238</v>
      </c>
      <c r="E7" s="467"/>
      <c r="F7" s="467">
        <v>18618</v>
      </c>
      <c r="G7" s="467"/>
      <c r="H7" s="467">
        <v>1947</v>
      </c>
      <c r="I7" s="467"/>
      <c r="J7" s="467"/>
      <c r="K7" s="1693">
        <f t="shared" ref="K7:K32" si="0">SUM(C7:J7)</f>
        <v>298286</v>
      </c>
      <c r="L7" s="466">
        <v>335707</v>
      </c>
    </row>
    <row r="8" spans="1:14" x14ac:dyDescent="0.2">
      <c r="A8" s="1526" t="s">
        <v>166</v>
      </c>
      <c r="B8" s="615">
        <v>1200</v>
      </c>
      <c r="C8" s="466">
        <v>7174594</v>
      </c>
      <c r="D8" s="466">
        <v>2327580</v>
      </c>
      <c r="E8" s="466">
        <v>72539</v>
      </c>
      <c r="F8" s="466">
        <v>103092</v>
      </c>
      <c r="G8" s="466">
        <v>71684</v>
      </c>
      <c r="H8" s="466">
        <v>1423389</v>
      </c>
      <c r="I8" s="467"/>
      <c r="J8" s="467"/>
      <c r="K8" s="1693">
        <f t="shared" si="0"/>
        <v>11172878</v>
      </c>
      <c r="L8" s="466">
        <v>11862929</v>
      </c>
    </row>
    <row r="9" spans="1:14" x14ac:dyDescent="0.2">
      <c r="A9" s="1526" t="s">
        <v>745</v>
      </c>
      <c r="B9" s="615" t="s">
        <v>1025</v>
      </c>
      <c r="C9" s="467">
        <v>745693</v>
      </c>
      <c r="D9" s="467">
        <v>271610</v>
      </c>
      <c r="E9" s="467">
        <v>71</v>
      </c>
      <c r="F9" s="467">
        <v>959</v>
      </c>
      <c r="G9" s="467"/>
      <c r="H9" s="467"/>
      <c r="I9" s="467"/>
      <c r="J9" s="467"/>
      <c r="K9" s="1693">
        <f t="shared" si="0"/>
        <v>1018333</v>
      </c>
      <c r="L9" s="466">
        <v>868530</v>
      </c>
    </row>
    <row r="10" spans="1:14" x14ac:dyDescent="0.2">
      <c r="A10" s="1526" t="s">
        <v>746</v>
      </c>
      <c r="B10" s="615">
        <v>1250</v>
      </c>
      <c r="C10" s="466"/>
      <c r="D10" s="466"/>
      <c r="E10" s="466"/>
      <c r="F10" s="466"/>
      <c r="G10" s="466"/>
      <c r="H10" s="466"/>
      <c r="I10" s="467"/>
      <c r="J10" s="467"/>
      <c r="K10" s="1693">
        <f t="shared" si="0"/>
        <v>0</v>
      </c>
      <c r="L10" s="466"/>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171678</v>
      </c>
      <c r="D14" s="466">
        <v>4229</v>
      </c>
      <c r="E14" s="466">
        <v>11014</v>
      </c>
      <c r="F14" s="466">
        <v>382</v>
      </c>
      <c r="G14" s="466"/>
      <c r="H14" s="466">
        <v>3564</v>
      </c>
      <c r="I14" s="467"/>
      <c r="J14" s="467"/>
      <c r="K14" s="1693">
        <f t="shared" si="0"/>
        <v>190867</v>
      </c>
      <c r="L14" s="466">
        <v>167570</v>
      </c>
    </row>
    <row r="15" spans="1:14" x14ac:dyDescent="0.2">
      <c r="A15" s="1526" t="s">
        <v>1021</v>
      </c>
      <c r="B15" s="615">
        <v>1600</v>
      </c>
      <c r="C15" s="466">
        <v>210099</v>
      </c>
      <c r="D15" s="466">
        <v>4167</v>
      </c>
      <c r="E15" s="466">
        <v>981</v>
      </c>
      <c r="F15" s="466">
        <v>88</v>
      </c>
      <c r="G15" s="466"/>
      <c r="H15" s="466"/>
      <c r="I15" s="467"/>
      <c r="J15" s="467"/>
      <c r="K15" s="1693">
        <f t="shared" si="0"/>
        <v>215335</v>
      </c>
      <c r="L15" s="466">
        <v>239495</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v>8324804</v>
      </c>
      <c r="D18" s="466">
        <v>2147283</v>
      </c>
      <c r="E18" s="466">
        <v>1844</v>
      </c>
      <c r="F18" s="466">
        <v>43753</v>
      </c>
      <c r="G18" s="466"/>
      <c r="H18" s="466"/>
      <c r="I18" s="467"/>
      <c r="J18" s="467"/>
      <c r="K18" s="1693">
        <f t="shared" si="0"/>
        <v>10517684</v>
      </c>
      <c r="L18" s="466">
        <v>10496281</v>
      </c>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42140135</v>
      </c>
      <c r="D33" s="1692">
        <f t="shared" ref="D33:L33" si="1">SUM(D5:D32)</f>
        <v>11112599</v>
      </c>
      <c r="E33" s="1692">
        <f t="shared" si="1"/>
        <v>130968</v>
      </c>
      <c r="F33" s="1692">
        <f t="shared" si="1"/>
        <v>832328</v>
      </c>
      <c r="G33" s="1692">
        <f t="shared" si="1"/>
        <v>114824</v>
      </c>
      <c r="H33" s="1692">
        <f t="shared" si="1"/>
        <v>1484805</v>
      </c>
      <c r="I33" s="1692">
        <f t="shared" si="1"/>
        <v>0</v>
      </c>
      <c r="J33" s="1692">
        <f t="shared" si="1"/>
        <v>0</v>
      </c>
      <c r="K33" s="1692">
        <f t="shared" si="1"/>
        <v>55815659</v>
      </c>
      <c r="L33" s="1692">
        <f t="shared" si="1"/>
        <v>58375478</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1866369</v>
      </c>
      <c r="D36" s="481">
        <v>374680</v>
      </c>
      <c r="E36" s="481">
        <v>2656</v>
      </c>
      <c r="F36" s="481">
        <v>2642</v>
      </c>
      <c r="G36" s="481"/>
      <c r="H36" s="481">
        <v>330</v>
      </c>
      <c r="I36" s="467"/>
      <c r="J36" s="467"/>
      <c r="K36" s="1693">
        <f t="shared" ref="K36:K41" si="2">SUM(C36:J36)</f>
        <v>2246677</v>
      </c>
      <c r="L36" s="466">
        <v>2277923</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1508118</v>
      </c>
      <c r="D38" s="466">
        <v>425496</v>
      </c>
      <c r="E38" s="466">
        <v>183497</v>
      </c>
      <c r="F38" s="466">
        <v>11880</v>
      </c>
      <c r="G38" s="466">
        <v>5424</v>
      </c>
      <c r="H38" s="466">
        <v>650</v>
      </c>
      <c r="I38" s="467"/>
      <c r="J38" s="467"/>
      <c r="K38" s="1693">
        <f t="shared" si="2"/>
        <v>2135065</v>
      </c>
      <c r="L38" s="466">
        <v>2159239</v>
      </c>
    </row>
    <row r="39" spans="1:14" x14ac:dyDescent="0.2">
      <c r="A39" s="1526" t="s">
        <v>208</v>
      </c>
      <c r="B39" s="615">
        <v>2140</v>
      </c>
      <c r="C39" s="466">
        <v>946205</v>
      </c>
      <c r="D39" s="466">
        <v>148718</v>
      </c>
      <c r="E39" s="466">
        <v>26952</v>
      </c>
      <c r="F39" s="466"/>
      <c r="G39" s="466"/>
      <c r="H39" s="466"/>
      <c r="I39" s="467"/>
      <c r="J39" s="467"/>
      <c r="K39" s="1693">
        <f t="shared" si="2"/>
        <v>1121875</v>
      </c>
      <c r="L39" s="466">
        <v>1190683</v>
      </c>
    </row>
    <row r="40" spans="1:14" x14ac:dyDescent="0.2">
      <c r="A40" s="1526" t="s">
        <v>209</v>
      </c>
      <c r="B40" s="615">
        <v>2150</v>
      </c>
      <c r="C40" s="466">
        <v>1375908</v>
      </c>
      <c r="D40" s="466">
        <v>324979</v>
      </c>
      <c r="E40" s="466">
        <v>20824</v>
      </c>
      <c r="F40" s="466">
        <v>1245</v>
      </c>
      <c r="G40" s="466"/>
      <c r="H40" s="466"/>
      <c r="I40" s="467"/>
      <c r="J40" s="467"/>
      <c r="K40" s="1693">
        <f t="shared" si="2"/>
        <v>1722956</v>
      </c>
      <c r="L40" s="466">
        <v>1730969</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5696600</v>
      </c>
      <c r="D42" s="1692">
        <f t="shared" ref="D42:L42" si="3">SUM(D36:D41)</f>
        <v>1273873</v>
      </c>
      <c r="E42" s="1692">
        <f t="shared" si="3"/>
        <v>233929</v>
      </c>
      <c r="F42" s="1692">
        <f t="shared" si="3"/>
        <v>15767</v>
      </c>
      <c r="G42" s="1692">
        <f t="shared" si="3"/>
        <v>5424</v>
      </c>
      <c r="H42" s="1692">
        <f t="shared" si="3"/>
        <v>980</v>
      </c>
      <c r="I42" s="1692">
        <f t="shared" si="3"/>
        <v>0</v>
      </c>
      <c r="J42" s="1692">
        <f t="shared" si="3"/>
        <v>0</v>
      </c>
      <c r="K42" s="1692">
        <f t="shared" si="3"/>
        <v>7226573</v>
      </c>
      <c r="L42" s="1692">
        <f t="shared" si="3"/>
        <v>7358814</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1297932</v>
      </c>
      <c r="D44" s="481">
        <v>256280</v>
      </c>
      <c r="E44" s="481">
        <v>138405</v>
      </c>
      <c r="F44" s="481">
        <v>29962</v>
      </c>
      <c r="G44" s="481"/>
      <c r="H44" s="481">
        <v>52786</v>
      </c>
      <c r="I44" s="467"/>
      <c r="J44" s="467">
        <v>11022</v>
      </c>
      <c r="K44" s="1694">
        <f>SUM(C44:J44)</f>
        <v>1786387</v>
      </c>
      <c r="L44" s="481">
        <v>2002547</v>
      </c>
    </row>
    <row r="45" spans="1:14" x14ac:dyDescent="0.2">
      <c r="A45" s="1526" t="s">
        <v>869</v>
      </c>
      <c r="B45" s="615">
        <v>2220</v>
      </c>
      <c r="C45" s="466">
        <v>2984244</v>
      </c>
      <c r="D45" s="466">
        <v>800946</v>
      </c>
      <c r="E45" s="466"/>
      <c r="F45" s="466">
        <v>147719</v>
      </c>
      <c r="G45" s="466"/>
      <c r="H45" s="466">
        <v>1983</v>
      </c>
      <c r="I45" s="467"/>
      <c r="J45" s="467"/>
      <c r="K45" s="1694">
        <f>SUM(C45:J45)</f>
        <v>3934892</v>
      </c>
      <c r="L45" s="466">
        <v>3954342</v>
      </c>
    </row>
    <row r="46" spans="1:14" x14ac:dyDescent="0.2">
      <c r="A46" s="1526" t="s">
        <v>870</v>
      </c>
      <c r="B46" s="615">
        <v>2230</v>
      </c>
      <c r="C46" s="466">
        <v>155940</v>
      </c>
      <c r="D46" s="466">
        <v>36337</v>
      </c>
      <c r="E46" s="466">
        <v>67715</v>
      </c>
      <c r="F46" s="466">
        <v>36036</v>
      </c>
      <c r="G46" s="466"/>
      <c r="H46" s="466">
        <v>89</v>
      </c>
      <c r="I46" s="467"/>
      <c r="J46" s="467"/>
      <c r="K46" s="1694">
        <f>SUM(C46:J46)</f>
        <v>296117</v>
      </c>
      <c r="L46" s="466">
        <v>284871</v>
      </c>
    </row>
    <row r="47" spans="1:14" ht="12.75" customHeight="1" thickBot="1" x14ac:dyDescent="0.25">
      <c r="A47" s="1690" t="s">
        <v>582</v>
      </c>
      <c r="B47" s="1691" t="s">
        <v>32</v>
      </c>
      <c r="C47" s="1692">
        <f>SUM(C44:C46)</f>
        <v>4438116</v>
      </c>
      <c r="D47" s="1692">
        <f t="shared" ref="D47:K47" si="4">SUM(D44:D46)</f>
        <v>1093563</v>
      </c>
      <c r="E47" s="1692">
        <f t="shared" si="4"/>
        <v>206120</v>
      </c>
      <c r="F47" s="1692">
        <f t="shared" si="4"/>
        <v>213717</v>
      </c>
      <c r="G47" s="1692">
        <f t="shared" si="4"/>
        <v>0</v>
      </c>
      <c r="H47" s="1692">
        <f t="shared" si="4"/>
        <v>54858</v>
      </c>
      <c r="I47" s="1692">
        <f t="shared" si="4"/>
        <v>0</v>
      </c>
      <c r="J47" s="1692">
        <f t="shared" si="4"/>
        <v>11022</v>
      </c>
      <c r="K47" s="1692">
        <f t="shared" si="4"/>
        <v>6017396</v>
      </c>
      <c r="L47" s="1692">
        <f>SUM(L44:L46)</f>
        <v>6241760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c r="D49" s="481"/>
      <c r="E49" s="481">
        <v>262571</v>
      </c>
      <c r="F49" s="481"/>
      <c r="G49" s="481"/>
      <c r="H49" s="481">
        <v>39863</v>
      </c>
      <c r="I49" s="467"/>
      <c r="J49" s="467"/>
      <c r="K49" s="1694">
        <f>SUM(C49:J49)</f>
        <v>302434</v>
      </c>
      <c r="L49" s="481">
        <v>276000</v>
      </c>
    </row>
    <row r="50" spans="1:14" x14ac:dyDescent="0.2">
      <c r="A50" s="1526" t="s">
        <v>872</v>
      </c>
      <c r="B50" s="615">
        <v>2320</v>
      </c>
      <c r="C50" s="466">
        <v>339351</v>
      </c>
      <c r="D50" s="466">
        <v>34176</v>
      </c>
      <c r="E50" s="466">
        <v>7388</v>
      </c>
      <c r="F50" s="466">
        <v>1302</v>
      </c>
      <c r="G50" s="466"/>
      <c r="H50" s="466">
        <v>15899</v>
      </c>
      <c r="I50" s="467"/>
      <c r="J50" s="467"/>
      <c r="K50" s="1694">
        <f>SUM(C50:J50)</f>
        <v>398116</v>
      </c>
      <c r="L50" s="466">
        <v>561718</v>
      </c>
    </row>
    <row r="51" spans="1:14" x14ac:dyDescent="0.2">
      <c r="A51" s="1526" t="s">
        <v>44</v>
      </c>
      <c r="B51" s="615">
        <v>2330</v>
      </c>
      <c r="C51" s="466">
        <v>540074</v>
      </c>
      <c r="D51" s="466">
        <v>117515</v>
      </c>
      <c r="E51" s="466">
        <v>1128</v>
      </c>
      <c r="F51" s="466">
        <v>10706</v>
      </c>
      <c r="G51" s="466"/>
      <c r="H51" s="466">
        <v>635</v>
      </c>
      <c r="I51" s="467"/>
      <c r="J51" s="467">
        <v>4366</v>
      </c>
      <c r="K51" s="1694">
        <f>SUM(C51:J51)</f>
        <v>674424</v>
      </c>
      <c r="L51" s="466">
        <v>572630</v>
      </c>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879425</v>
      </c>
      <c r="D53" s="1692">
        <f t="shared" ref="D53:L53" si="5">SUM(D49:D52)</f>
        <v>151691</v>
      </c>
      <c r="E53" s="1692">
        <f t="shared" si="5"/>
        <v>271087</v>
      </c>
      <c r="F53" s="1692">
        <f t="shared" si="5"/>
        <v>12008</v>
      </c>
      <c r="G53" s="1692">
        <f t="shared" si="5"/>
        <v>0</v>
      </c>
      <c r="H53" s="1692">
        <f t="shared" si="5"/>
        <v>56397</v>
      </c>
      <c r="I53" s="1692">
        <f t="shared" si="5"/>
        <v>0</v>
      </c>
      <c r="J53" s="1692">
        <f t="shared" si="5"/>
        <v>4366</v>
      </c>
      <c r="K53" s="1692">
        <f t="shared" si="5"/>
        <v>1374974</v>
      </c>
      <c r="L53" s="1692">
        <f t="shared" si="5"/>
        <v>1410348</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2754327</v>
      </c>
      <c r="D55" s="481">
        <v>686897</v>
      </c>
      <c r="E55" s="481">
        <v>1949</v>
      </c>
      <c r="F55" s="481">
        <v>17094</v>
      </c>
      <c r="G55" s="481">
        <v>928</v>
      </c>
      <c r="H55" s="481">
        <v>9851</v>
      </c>
      <c r="I55" s="467"/>
      <c r="J55" s="467">
        <v>14165</v>
      </c>
      <c r="K55" s="1694">
        <f>SUM(C55:J55)</f>
        <v>3485211</v>
      </c>
      <c r="L55" s="481">
        <v>3591768</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2754327</v>
      </c>
      <c r="D57" s="1696">
        <f t="shared" ref="D57:K57" si="6">SUM(D55:D56)</f>
        <v>686897</v>
      </c>
      <c r="E57" s="1696">
        <f t="shared" si="6"/>
        <v>1949</v>
      </c>
      <c r="F57" s="1696">
        <f t="shared" si="6"/>
        <v>17094</v>
      </c>
      <c r="G57" s="1696">
        <f t="shared" si="6"/>
        <v>928</v>
      </c>
      <c r="H57" s="1696">
        <f t="shared" si="6"/>
        <v>9851</v>
      </c>
      <c r="I57" s="1696">
        <f t="shared" si="6"/>
        <v>0</v>
      </c>
      <c r="J57" s="1696">
        <f t="shared" si="6"/>
        <v>14165</v>
      </c>
      <c r="K57" s="1696">
        <f t="shared" si="6"/>
        <v>3485211</v>
      </c>
      <c r="L57" s="1692">
        <f>SUM(L55:L56)</f>
        <v>3591768</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v>678965</v>
      </c>
      <c r="D59" s="481">
        <v>126433</v>
      </c>
      <c r="E59" s="481">
        <v>125302</v>
      </c>
      <c r="F59" s="481">
        <v>6979</v>
      </c>
      <c r="G59" s="481"/>
      <c r="H59" s="481">
        <v>8182</v>
      </c>
      <c r="I59" s="467"/>
      <c r="J59" s="467"/>
      <c r="K59" s="1694">
        <f t="shared" ref="K59:K64" si="7">SUM(C59:J59)</f>
        <v>945861</v>
      </c>
      <c r="L59" s="481">
        <v>1054706</v>
      </c>
      <c r="M59" s="610"/>
      <c r="N59" s="610"/>
    </row>
    <row r="60" spans="1:14" s="343" customFormat="1" x14ac:dyDescent="0.2">
      <c r="A60" s="1526" t="s">
        <v>483</v>
      </c>
      <c r="B60" s="615">
        <v>2520</v>
      </c>
      <c r="C60" s="466"/>
      <c r="D60" s="466"/>
      <c r="E60" s="466"/>
      <c r="F60" s="466"/>
      <c r="G60" s="466"/>
      <c r="H60" s="466"/>
      <c r="I60" s="467"/>
      <c r="J60" s="467"/>
      <c r="K60" s="1694">
        <f t="shared" si="7"/>
        <v>0</v>
      </c>
      <c r="L60" s="466"/>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v>122332</v>
      </c>
      <c r="F62" s="466"/>
      <c r="G62" s="466"/>
      <c r="H62" s="466"/>
      <c r="I62" s="467"/>
      <c r="J62" s="467"/>
      <c r="K62" s="1694">
        <f t="shared" si="7"/>
        <v>122332</v>
      </c>
      <c r="L62" s="466">
        <v>226577</v>
      </c>
      <c r="M62" s="610"/>
      <c r="N62" s="610"/>
    </row>
    <row r="63" spans="1:14" s="610" customFormat="1" x14ac:dyDescent="0.2">
      <c r="A63" s="1526" t="s">
        <v>102</v>
      </c>
      <c r="B63" s="615">
        <v>2560</v>
      </c>
      <c r="C63" s="466">
        <v>291715</v>
      </c>
      <c r="D63" s="466">
        <v>4541</v>
      </c>
      <c r="E63" s="466">
        <v>2332743</v>
      </c>
      <c r="F63" s="466">
        <v>64338</v>
      </c>
      <c r="G63" s="466">
        <v>834</v>
      </c>
      <c r="H63" s="466"/>
      <c r="I63" s="467"/>
      <c r="J63" s="467"/>
      <c r="K63" s="1694">
        <f t="shared" si="7"/>
        <v>2694171</v>
      </c>
      <c r="L63" s="466">
        <v>2682122</v>
      </c>
    </row>
    <row r="64" spans="1:14" s="610" customFormat="1" x14ac:dyDescent="0.2">
      <c r="A64" s="1531" t="s">
        <v>103</v>
      </c>
      <c r="B64" s="631">
        <v>2570</v>
      </c>
      <c r="C64" s="481">
        <v>198867</v>
      </c>
      <c r="D64" s="481">
        <v>64789</v>
      </c>
      <c r="E64" s="481">
        <v>4098</v>
      </c>
      <c r="F64" s="481">
        <v>32997</v>
      </c>
      <c r="G64" s="481"/>
      <c r="H64" s="481"/>
      <c r="I64" s="467"/>
      <c r="J64" s="467"/>
      <c r="K64" s="1694">
        <f t="shared" si="7"/>
        <v>300751</v>
      </c>
      <c r="L64" s="481">
        <v>295843</v>
      </c>
    </row>
    <row r="65" spans="1:14" s="343" customFormat="1" ht="12.75" customHeight="1" thickBot="1" x14ac:dyDescent="0.25">
      <c r="A65" s="1690" t="s">
        <v>743</v>
      </c>
      <c r="B65" s="1691" t="s">
        <v>35</v>
      </c>
      <c r="C65" s="1692">
        <f>SUM(C59:C64)</f>
        <v>1169547</v>
      </c>
      <c r="D65" s="1692">
        <f t="shared" ref="D65:L65" si="8">SUM(D59:D64)</f>
        <v>195763</v>
      </c>
      <c r="E65" s="1692">
        <f t="shared" si="8"/>
        <v>2584475</v>
      </c>
      <c r="F65" s="1692">
        <f t="shared" si="8"/>
        <v>104314</v>
      </c>
      <c r="G65" s="1692">
        <f t="shared" si="8"/>
        <v>834</v>
      </c>
      <c r="H65" s="1692">
        <f t="shared" si="8"/>
        <v>8182</v>
      </c>
      <c r="I65" s="1692">
        <f t="shared" si="8"/>
        <v>0</v>
      </c>
      <c r="J65" s="1692">
        <f t="shared" si="8"/>
        <v>0</v>
      </c>
      <c r="K65" s="1692">
        <f t="shared" si="8"/>
        <v>4063115</v>
      </c>
      <c r="L65" s="1692">
        <f t="shared" si="8"/>
        <v>4259248</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v>778331</v>
      </c>
      <c r="D69" s="466">
        <v>166638</v>
      </c>
      <c r="E69" s="466">
        <v>1034496</v>
      </c>
      <c r="F69" s="466">
        <v>388186</v>
      </c>
      <c r="G69" s="466">
        <v>201994</v>
      </c>
      <c r="H69" s="466">
        <v>9579</v>
      </c>
      <c r="I69" s="467"/>
      <c r="J69" s="467">
        <v>5727</v>
      </c>
      <c r="K69" s="1694">
        <f>SUM(C69:J69)</f>
        <v>2584951</v>
      </c>
      <c r="L69" s="466">
        <v>3013337</v>
      </c>
      <c r="M69" s="610"/>
      <c r="N69" s="610"/>
    </row>
    <row r="70" spans="1:14" s="343" customFormat="1" x14ac:dyDescent="0.2">
      <c r="A70" s="1526" t="s">
        <v>423</v>
      </c>
      <c r="B70" s="615">
        <v>2640</v>
      </c>
      <c r="C70" s="466">
        <v>345223</v>
      </c>
      <c r="D70" s="466">
        <v>84220</v>
      </c>
      <c r="E70" s="466">
        <v>31679</v>
      </c>
      <c r="F70" s="466">
        <v>1698</v>
      </c>
      <c r="G70" s="466"/>
      <c r="H70" s="466">
        <v>25397</v>
      </c>
      <c r="I70" s="467"/>
      <c r="J70" s="467"/>
      <c r="K70" s="1694">
        <f>SUM(C70:J70)</f>
        <v>488217</v>
      </c>
      <c r="L70" s="466">
        <v>507580</v>
      </c>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1123554</v>
      </c>
      <c r="D72" s="1692">
        <f t="shared" ref="D72:K72" si="9">SUM(D67:D71)</f>
        <v>250858</v>
      </c>
      <c r="E72" s="1692">
        <f t="shared" si="9"/>
        <v>1066175</v>
      </c>
      <c r="F72" s="1692">
        <f t="shared" si="9"/>
        <v>389884</v>
      </c>
      <c r="G72" s="1692">
        <f t="shared" si="9"/>
        <v>201994</v>
      </c>
      <c r="H72" s="1692">
        <f t="shared" si="9"/>
        <v>34976</v>
      </c>
      <c r="I72" s="1692">
        <f t="shared" si="9"/>
        <v>0</v>
      </c>
      <c r="J72" s="1692">
        <f t="shared" si="9"/>
        <v>5727</v>
      </c>
      <c r="K72" s="1692">
        <f t="shared" si="9"/>
        <v>3073168</v>
      </c>
      <c r="L72" s="1692">
        <f>SUM(L67:L71)</f>
        <v>3520917</v>
      </c>
      <c r="M72" s="610"/>
      <c r="N72" s="610"/>
    </row>
    <row r="73" spans="1:14" s="343" customFormat="1" ht="14.25" thickTop="1" thickBot="1" x14ac:dyDescent="0.25">
      <c r="A73" s="1532" t="s">
        <v>1037</v>
      </c>
      <c r="B73" s="633" t="s">
        <v>595</v>
      </c>
      <c r="C73" s="573"/>
      <c r="D73" s="573"/>
      <c r="E73" s="573"/>
      <c r="F73" s="573">
        <v>26279</v>
      </c>
      <c r="G73" s="573"/>
      <c r="H73" s="573"/>
      <c r="I73" s="531"/>
      <c r="J73" s="531"/>
      <c r="K73" s="1692">
        <f>SUM(C73:J73)</f>
        <v>26279</v>
      </c>
      <c r="L73" s="576">
        <v>28217</v>
      </c>
      <c r="M73" s="610"/>
      <c r="N73" s="610"/>
    </row>
    <row r="74" spans="1:14" ht="12.75" customHeight="1" thickTop="1" thickBot="1" x14ac:dyDescent="0.25">
      <c r="A74" s="1690" t="s">
        <v>865</v>
      </c>
      <c r="B74" s="1698">
        <v>2000</v>
      </c>
      <c r="C74" s="1699">
        <f>SUM(C42,C47,C53,C57,C65,C72,C73)</f>
        <v>16061569</v>
      </c>
      <c r="D74" s="1699">
        <f t="shared" ref="D74:K74" si="10">SUM(D42,D47,D53,D57,D65,D72,D73)</f>
        <v>3652645</v>
      </c>
      <c r="E74" s="1699">
        <f t="shared" si="10"/>
        <v>4363735</v>
      </c>
      <c r="F74" s="1699">
        <f t="shared" si="10"/>
        <v>779063</v>
      </c>
      <c r="G74" s="1699">
        <f t="shared" si="10"/>
        <v>209180</v>
      </c>
      <c r="H74" s="1699">
        <f t="shared" si="10"/>
        <v>165244</v>
      </c>
      <c r="I74" s="1699">
        <f t="shared" si="10"/>
        <v>0</v>
      </c>
      <c r="J74" s="1699">
        <f t="shared" si="10"/>
        <v>35280</v>
      </c>
      <c r="K74" s="1699">
        <f t="shared" si="10"/>
        <v>25266716</v>
      </c>
      <c r="L74" s="1699">
        <f>SUM(L42,L47,L53,L57,L65,L72,L73)</f>
        <v>26411072</v>
      </c>
    </row>
    <row r="75" spans="1:14" s="259" customFormat="1" ht="15.75" customHeight="1" thickTop="1" thickBot="1" x14ac:dyDescent="0.25">
      <c r="A75" s="1632" t="s">
        <v>49</v>
      </c>
      <c r="B75" s="1633" t="s">
        <v>596</v>
      </c>
      <c r="C75" s="573">
        <v>145596</v>
      </c>
      <c r="D75" s="573">
        <v>1267</v>
      </c>
      <c r="E75" s="573">
        <v>84620</v>
      </c>
      <c r="F75" s="573">
        <v>6493</v>
      </c>
      <c r="G75" s="573"/>
      <c r="H75" s="573">
        <v>3379</v>
      </c>
      <c r="I75" s="531"/>
      <c r="J75" s="531"/>
      <c r="K75" s="1692">
        <f>SUM(C75:J75)</f>
        <v>241355</v>
      </c>
      <c r="L75" s="576">
        <v>273678</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v>6000</v>
      </c>
      <c r="F78" s="617"/>
      <c r="G78" s="617"/>
      <c r="H78" s="635"/>
      <c r="I78" s="477"/>
      <c r="J78" s="477"/>
      <c r="K78" s="1693">
        <f t="shared" ref="K78:K83" si="11">SUM(C78:J78)</f>
        <v>6000</v>
      </c>
      <c r="L78" s="481">
        <v>6000</v>
      </c>
    </row>
    <row r="79" spans="1:14" x14ac:dyDescent="0.2">
      <c r="A79" s="1526" t="s">
        <v>322</v>
      </c>
      <c r="B79" s="615">
        <v>4120</v>
      </c>
      <c r="C79" s="617"/>
      <c r="D79" s="617"/>
      <c r="E79" s="466">
        <v>189426</v>
      </c>
      <c r="F79" s="617"/>
      <c r="G79" s="617"/>
      <c r="H79" s="466">
        <v>18432</v>
      </c>
      <c r="I79" s="477"/>
      <c r="J79" s="477"/>
      <c r="K79" s="1693">
        <f t="shared" si="11"/>
        <v>207858</v>
      </c>
      <c r="L79" s="466">
        <v>146000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195426</v>
      </c>
      <c r="F84" s="617"/>
      <c r="G84" s="617"/>
      <c r="H84" s="1692">
        <f>SUM(H78:H83)</f>
        <v>18432</v>
      </c>
      <c r="I84" s="477"/>
      <c r="J84" s="477"/>
      <c r="K84" s="1692">
        <f>SUM(K78:K83)</f>
        <v>213858</v>
      </c>
      <c r="L84" s="1692">
        <f>SUM(L78:L83)</f>
        <v>152000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195426</v>
      </c>
      <c r="F102" s="617"/>
      <c r="G102" s="617"/>
      <c r="H102" s="1699">
        <f>SUM(H84,H92,H100,H101)</f>
        <v>18432</v>
      </c>
      <c r="I102" s="477"/>
      <c r="J102" s="477"/>
      <c r="K102" s="1699">
        <f>SUM(K84,K92,K100,K101)</f>
        <v>213858</v>
      </c>
      <c r="L102" s="1699">
        <f>SUM(L84,L92,L100,L101)</f>
        <v>152000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589340</v>
      </c>
      <c r="M113" s="614"/>
      <c r="N113" s="614"/>
    </row>
    <row r="114" spans="1:14" ht="12.75" customHeight="1" thickTop="1" thickBot="1" x14ac:dyDescent="0.25">
      <c r="A114" s="1690" t="s">
        <v>50</v>
      </c>
      <c r="B114" s="1704"/>
      <c r="C114" s="1692">
        <f>SUM(C33,C74,C75,C102,C112,C113)</f>
        <v>58347300</v>
      </c>
      <c r="D114" s="1692">
        <f t="shared" ref="D114:K114" si="13">SUM(D33,D74,D75,D102,D112,D113)</f>
        <v>14766511</v>
      </c>
      <c r="E114" s="1692">
        <f t="shared" si="13"/>
        <v>4774749</v>
      </c>
      <c r="F114" s="1692">
        <f t="shared" si="13"/>
        <v>1617884</v>
      </c>
      <c r="G114" s="1692">
        <f t="shared" si="13"/>
        <v>324004</v>
      </c>
      <c r="H114" s="1692">
        <f>SUM(H33,H74,H75,H102,H112,H113)</f>
        <v>1671860</v>
      </c>
      <c r="I114" s="1692">
        <f t="shared" si="13"/>
        <v>0</v>
      </c>
      <c r="J114" s="1692">
        <f t="shared" si="13"/>
        <v>35280</v>
      </c>
      <c r="K114" s="1692">
        <f t="shared" si="13"/>
        <v>81537588</v>
      </c>
      <c r="L114" s="1692">
        <f>SUM(L33,L74,L75,L102,L112,L113)</f>
        <v>85801568</v>
      </c>
    </row>
    <row r="115" spans="1:14" ht="13.5" thickTop="1" x14ac:dyDescent="0.2">
      <c r="A115" s="2200" t="s">
        <v>1053</v>
      </c>
      <c r="B115" s="2201"/>
      <c r="C115" s="619"/>
      <c r="D115" s="619"/>
      <c r="E115" s="619"/>
      <c r="F115" s="619"/>
      <c r="G115" s="619"/>
      <c r="H115" s="619"/>
      <c r="I115" s="619"/>
      <c r="J115" s="619"/>
      <c r="K115" s="1706">
        <f>'Revenues 9-14'!C275-'Expenditures 15-22'!K114</f>
        <v>6377698</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v>17905</v>
      </c>
      <c r="F123" s="466">
        <v>42379</v>
      </c>
      <c r="G123" s="466">
        <v>85008</v>
      </c>
      <c r="H123" s="466"/>
      <c r="I123" s="467"/>
      <c r="J123" s="467"/>
      <c r="K123" s="1692">
        <f>SUM(C123:J123)</f>
        <v>145292</v>
      </c>
      <c r="L123" s="466">
        <v>125645</v>
      </c>
    </row>
    <row r="124" spans="1:14" ht="14.25" thickTop="1" thickBot="1" x14ac:dyDescent="0.25">
      <c r="A124" s="1526" t="s">
        <v>206</v>
      </c>
      <c r="B124" s="615">
        <v>2540</v>
      </c>
      <c r="C124" s="466">
        <v>4383089</v>
      </c>
      <c r="D124" s="466">
        <v>1236089</v>
      </c>
      <c r="E124" s="466">
        <v>579752</v>
      </c>
      <c r="F124" s="466">
        <v>1240314</v>
      </c>
      <c r="G124" s="466">
        <v>49696</v>
      </c>
      <c r="H124" s="466">
        <v>7611</v>
      </c>
      <c r="I124" s="467"/>
      <c r="J124" s="467"/>
      <c r="K124" s="1692">
        <f>SUM(C124:J124)</f>
        <v>7496551</v>
      </c>
      <c r="L124" s="466">
        <v>8290495</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4383089</v>
      </c>
      <c r="D127" s="1692">
        <f t="shared" ref="D127:L127" si="14">SUM(D122:D126)</f>
        <v>1236089</v>
      </c>
      <c r="E127" s="1692">
        <f t="shared" si="14"/>
        <v>597657</v>
      </c>
      <c r="F127" s="1692">
        <f t="shared" si="14"/>
        <v>1282693</v>
      </c>
      <c r="G127" s="1692">
        <f t="shared" si="14"/>
        <v>134704</v>
      </c>
      <c r="H127" s="1692">
        <f t="shared" si="14"/>
        <v>7611</v>
      </c>
      <c r="I127" s="1692">
        <f t="shared" si="14"/>
        <v>0</v>
      </c>
      <c r="J127" s="1692">
        <f t="shared" si="14"/>
        <v>0</v>
      </c>
      <c r="K127" s="1692">
        <f t="shared" si="14"/>
        <v>7641843</v>
      </c>
      <c r="L127" s="1692">
        <f t="shared" si="14"/>
        <v>8416140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4383089</v>
      </c>
      <c r="D129" s="1699">
        <f t="shared" ref="D129:L129" si="15">SUM(D120,D127,D128)</f>
        <v>1236089</v>
      </c>
      <c r="E129" s="1699">
        <f t="shared" si="15"/>
        <v>597657</v>
      </c>
      <c r="F129" s="1699">
        <f t="shared" si="15"/>
        <v>1282693</v>
      </c>
      <c r="G129" s="1699">
        <f t="shared" si="15"/>
        <v>134704</v>
      </c>
      <c r="H129" s="1699">
        <f t="shared" si="15"/>
        <v>7611</v>
      </c>
      <c r="I129" s="1699">
        <f t="shared" si="15"/>
        <v>0</v>
      </c>
      <c r="J129" s="1699">
        <f t="shared" si="15"/>
        <v>0</v>
      </c>
      <c r="K129" s="1699">
        <f t="shared" si="15"/>
        <v>7641843</v>
      </c>
      <c r="L129" s="1699">
        <f t="shared" si="15"/>
        <v>8416140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1954</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150000</v>
      </c>
    </row>
    <row r="151" spans="1:14" ht="12.75" customHeight="1" thickTop="1" thickBot="1" x14ac:dyDescent="0.25">
      <c r="A151" s="2190" t="s">
        <v>641</v>
      </c>
      <c r="B151" s="2172"/>
      <c r="C151" s="1692">
        <f>SUM(C129,C130,C139,C149,C150)</f>
        <v>4383089</v>
      </c>
      <c r="D151" s="1692">
        <f t="shared" ref="D151:K151" si="16">SUM(D129,D130,D139,D149,D150)</f>
        <v>1236089</v>
      </c>
      <c r="E151" s="1692">
        <f t="shared" si="16"/>
        <v>597657</v>
      </c>
      <c r="F151" s="1692">
        <f t="shared" si="16"/>
        <v>1282693</v>
      </c>
      <c r="G151" s="1692">
        <f t="shared" si="16"/>
        <v>134704</v>
      </c>
      <c r="H151" s="1692">
        <f t="shared" si="16"/>
        <v>7611</v>
      </c>
      <c r="I151" s="1692">
        <f t="shared" si="16"/>
        <v>0</v>
      </c>
      <c r="J151" s="1692">
        <f t="shared" si="16"/>
        <v>0</v>
      </c>
      <c r="K151" s="1692">
        <f t="shared" si="16"/>
        <v>7641843</v>
      </c>
      <c r="L151" s="1692">
        <f>SUM(L129,L130,L139,L149,L150)</f>
        <v>8566140</v>
      </c>
    </row>
    <row r="152" spans="1:14" ht="12.75" customHeight="1" thickTop="1" x14ac:dyDescent="0.2">
      <c r="A152" s="2193" t="s">
        <v>1240</v>
      </c>
      <c r="B152" s="2194"/>
      <c r="C152" s="619"/>
      <c r="D152" s="619"/>
      <c r="E152" s="619"/>
      <c r="F152" s="619"/>
      <c r="G152" s="619"/>
      <c r="H152" s="619"/>
      <c r="I152" s="619"/>
      <c r="J152" s="617"/>
      <c r="K152" s="1706">
        <f>'Revenues 9-14'!D275-'Expenditures 15-22'!K151</f>
        <v>-386116</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1955</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1954</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1956</v>
      </c>
      <c r="C158" s="617"/>
      <c r="D158" s="617"/>
      <c r="E158" s="617"/>
      <c r="F158" s="617"/>
      <c r="G158" s="617"/>
      <c r="H158" s="467"/>
      <c r="I158" s="617"/>
      <c r="J158" s="617"/>
      <c r="K158" s="1693">
        <f>H158</f>
        <v>0</v>
      </c>
      <c r="L158" s="467"/>
      <c r="M158" s="620"/>
      <c r="N158" s="620"/>
    </row>
    <row r="159" spans="1:14" s="621" customFormat="1" ht="12" x14ac:dyDescent="0.2">
      <c r="A159" s="1849" t="s">
        <v>1957</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1958</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1104449</v>
      </c>
      <c r="I169" s="617"/>
      <c r="J169" s="617"/>
      <c r="K169" s="1693">
        <f>SUM(C169:H169)</f>
        <v>1104449</v>
      </c>
      <c r="L169" s="657">
        <v>1134597</v>
      </c>
    </row>
    <row r="170" spans="1:14" ht="33.75" customHeight="1" x14ac:dyDescent="0.2">
      <c r="A170" s="670" t="s">
        <v>1769</v>
      </c>
      <c r="B170" s="672" t="s">
        <v>31</v>
      </c>
      <c r="C170" s="617"/>
      <c r="D170" s="617"/>
      <c r="E170" s="617"/>
      <c r="F170" s="617"/>
      <c r="G170" s="617"/>
      <c r="H170" s="569">
        <v>4375157</v>
      </c>
      <c r="I170" s="617"/>
      <c r="J170" s="617"/>
      <c r="K170" s="1693">
        <f>SUM(C170:J170)</f>
        <v>4375157</v>
      </c>
      <c r="L170" s="569">
        <v>4347009</v>
      </c>
    </row>
    <row r="171" spans="1:14" ht="15.75" customHeight="1" x14ac:dyDescent="0.2">
      <c r="A171" s="622" t="s">
        <v>790</v>
      </c>
      <c r="B171" s="673" t="s">
        <v>86</v>
      </c>
      <c r="C171" s="617"/>
      <c r="D171" s="617"/>
      <c r="E171" s="466"/>
      <c r="F171" s="617"/>
      <c r="G171" s="617"/>
      <c r="H171" s="569">
        <v>3982</v>
      </c>
      <c r="I171" s="477"/>
      <c r="J171" s="617"/>
      <c r="K171" s="1693">
        <f>SUM(C171:J171)</f>
        <v>3982</v>
      </c>
      <c r="L171" s="569">
        <v>5000</v>
      </c>
    </row>
    <row r="172" spans="1:14" ht="12.75" customHeight="1" thickBot="1" x14ac:dyDescent="0.25">
      <c r="A172" s="1690" t="s">
        <v>659</v>
      </c>
      <c r="B172" s="1691" t="s">
        <v>513</v>
      </c>
      <c r="C172" s="617"/>
      <c r="D172" s="617"/>
      <c r="E172" s="1699">
        <f>SUM(E168,E169,E170,E171)</f>
        <v>0</v>
      </c>
      <c r="F172" s="617"/>
      <c r="G172" s="617"/>
      <c r="H172" s="1699">
        <f>SUM(H168,H169,H170,H171)</f>
        <v>5483588</v>
      </c>
      <c r="I172" s="639"/>
      <c r="J172" s="617"/>
      <c r="K172" s="1699">
        <f>SUM(K168,K169,K170,K171)</f>
        <v>5483588</v>
      </c>
      <c r="L172" s="1699">
        <f>SUM(L168,L169,L170,L171)</f>
        <v>5486606</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5483588</v>
      </c>
      <c r="I174" s="639"/>
      <c r="J174" s="617"/>
      <c r="K174" s="1699">
        <f>SUM(K160,K172,K173)</f>
        <v>5483588</v>
      </c>
      <c r="L174" s="1699">
        <f>SUM(L160,L172,L173)</f>
        <v>5486606</v>
      </c>
    </row>
    <row r="175" spans="1:14" ht="13.5" thickTop="1" x14ac:dyDescent="0.2">
      <c r="A175" s="2200" t="s">
        <v>1053</v>
      </c>
      <c r="B175" s="2201"/>
      <c r="C175" s="617"/>
      <c r="D175" s="617"/>
      <c r="E175" s="617"/>
      <c r="F175" s="617"/>
      <c r="G175" s="617"/>
      <c r="H175" s="619"/>
      <c r="I175" s="617"/>
      <c r="J175" s="617"/>
      <c r="K175" s="1706">
        <f>'Revenues 9-14'!E275-'Expenditures 15-22'!K174</f>
        <v>-524349</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126880</v>
      </c>
      <c r="D182" s="466">
        <v>10498</v>
      </c>
      <c r="E182" s="466">
        <v>3961238</v>
      </c>
      <c r="F182" s="466">
        <v>161811</v>
      </c>
      <c r="G182" s="466">
        <v>114634</v>
      </c>
      <c r="H182" s="466"/>
      <c r="I182" s="467"/>
      <c r="J182" s="467"/>
      <c r="K182" s="1693">
        <f>SUM(C182:J182)</f>
        <v>4375061</v>
      </c>
      <c r="L182" s="466">
        <v>4485390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126880</v>
      </c>
      <c r="D184" s="1699">
        <f t="shared" ref="D184:J184" si="17">SUM(D180,D182,D183)</f>
        <v>10498</v>
      </c>
      <c r="E184" s="1699">
        <f t="shared" si="17"/>
        <v>3961238</v>
      </c>
      <c r="F184" s="1699">
        <f t="shared" si="17"/>
        <v>161811</v>
      </c>
      <c r="G184" s="1699">
        <f t="shared" si="17"/>
        <v>114634</v>
      </c>
      <c r="H184" s="1699">
        <f t="shared" si="17"/>
        <v>0</v>
      </c>
      <c r="I184" s="1699">
        <f t="shared" si="17"/>
        <v>0</v>
      </c>
      <c r="J184" s="1699">
        <f t="shared" si="17"/>
        <v>0</v>
      </c>
      <c r="K184" s="1699">
        <f>SUM(K180,K182,K183)</f>
        <v>4375061</v>
      </c>
      <c r="L184" s="1699">
        <f>SUM(L180, L182:L183)</f>
        <v>4485390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75000</v>
      </c>
    </row>
    <row r="210" spans="1:14" ht="12.75" customHeight="1" thickTop="1" thickBot="1" x14ac:dyDescent="0.25">
      <c r="A210" s="1714" t="s">
        <v>295</v>
      </c>
      <c r="B210" s="1715"/>
      <c r="C210" s="1692">
        <f>SUM(C184,C185)</f>
        <v>126880</v>
      </c>
      <c r="D210" s="1692">
        <f>SUM(D184,D185)</f>
        <v>10498</v>
      </c>
      <c r="E210" s="1692">
        <f>SUM(E184,E185,E196)</f>
        <v>3961238</v>
      </c>
      <c r="F210" s="1692">
        <f>SUM(F184,F185)</f>
        <v>161811</v>
      </c>
      <c r="G210" s="1692">
        <f>SUM(G184,G185)</f>
        <v>114634</v>
      </c>
      <c r="H210" s="1692">
        <f>SUM(H184,H185,H196,H208,H209)</f>
        <v>0</v>
      </c>
      <c r="I210" s="1692">
        <f>SUM(I184,I185)</f>
        <v>0</v>
      </c>
      <c r="J210" s="1692">
        <f>SUM(J184,J185)</f>
        <v>0</v>
      </c>
      <c r="K210" s="1693">
        <f>SUM(K184,K185,K196,K208,K209)</f>
        <v>4375061</v>
      </c>
      <c r="L210" s="1692">
        <f>SUM(L184,L185,L196,L208,L209)</f>
        <v>4560390</v>
      </c>
    </row>
    <row r="211" spans="1:14" ht="13.5" thickTop="1" x14ac:dyDescent="0.2">
      <c r="A211" s="2200" t="s">
        <v>1053</v>
      </c>
      <c r="B211" s="2201"/>
      <c r="C211" s="619"/>
      <c r="D211" s="619"/>
      <c r="E211" s="619"/>
      <c r="F211" s="619"/>
      <c r="G211" s="619"/>
      <c r="H211" s="619"/>
      <c r="I211" s="617"/>
      <c r="J211" s="617"/>
      <c r="K211" s="1706">
        <f>'Revenues 9-14'!F275-'Expenditures 15-22'!K210</f>
        <v>5642478</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388869</v>
      </c>
      <c r="E215" s="617"/>
      <c r="F215" s="617"/>
      <c r="G215" s="617"/>
      <c r="H215" s="617"/>
      <c r="I215" s="617"/>
      <c r="J215" s="617"/>
      <c r="K215" s="1693">
        <f>D215</f>
        <v>388869</v>
      </c>
      <c r="L215" s="466">
        <v>508247</v>
      </c>
    </row>
    <row r="216" spans="1:14" x14ac:dyDescent="0.2">
      <c r="A216" s="1526" t="s">
        <v>165</v>
      </c>
      <c r="B216" s="615" t="s">
        <v>1024</v>
      </c>
      <c r="C216" s="617"/>
      <c r="D216" s="467">
        <v>647</v>
      </c>
      <c r="E216" s="617"/>
      <c r="F216" s="617"/>
      <c r="G216" s="617"/>
      <c r="H216" s="617"/>
      <c r="I216" s="617"/>
      <c r="J216" s="617"/>
      <c r="K216" s="1693">
        <f t="shared" ref="K216:K228" si="19">D216</f>
        <v>647</v>
      </c>
      <c r="L216" s="466">
        <v>18444</v>
      </c>
    </row>
    <row r="217" spans="1:14" x14ac:dyDescent="0.2">
      <c r="A217" s="1526" t="s">
        <v>166</v>
      </c>
      <c r="B217" s="615">
        <v>1200</v>
      </c>
      <c r="C217" s="617"/>
      <c r="D217" s="466">
        <v>490162</v>
      </c>
      <c r="E217" s="617"/>
      <c r="F217" s="617"/>
      <c r="G217" s="617"/>
      <c r="H217" s="617"/>
      <c r="I217" s="617"/>
      <c r="J217" s="617"/>
      <c r="K217" s="1693">
        <f t="shared" si="19"/>
        <v>490162</v>
      </c>
      <c r="L217" s="466">
        <v>532633</v>
      </c>
    </row>
    <row r="218" spans="1:14" x14ac:dyDescent="0.2">
      <c r="A218" s="1526" t="s">
        <v>296</v>
      </c>
      <c r="B218" s="615" t="s">
        <v>1025</v>
      </c>
      <c r="C218" s="617"/>
      <c r="D218" s="467">
        <v>54446</v>
      </c>
      <c r="E218" s="617"/>
      <c r="F218" s="617"/>
      <c r="G218" s="617"/>
      <c r="H218" s="617"/>
      <c r="I218" s="617"/>
      <c r="J218" s="617"/>
      <c r="K218" s="1693">
        <f t="shared" si="19"/>
        <v>54446</v>
      </c>
      <c r="L218" s="466">
        <v>44153</v>
      </c>
    </row>
    <row r="219" spans="1:14" x14ac:dyDescent="0.2">
      <c r="A219" s="1526" t="s">
        <v>297</v>
      </c>
      <c r="B219" s="615">
        <v>1250</v>
      </c>
      <c r="C219" s="617"/>
      <c r="D219" s="466"/>
      <c r="E219" s="617"/>
      <c r="F219" s="617"/>
      <c r="G219" s="617"/>
      <c r="H219" s="617"/>
      <c r="I219" s="617"/>
      <c r="J219" s="617"/>
      <c r="K219" s="1693">
        <f t="shared" si="19"/>
        <v>0</v>
      </c>
      <c r="L219" s="466"/>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3862</v>
      </c>
      <c r="E223" s="617"/>
      <c r="F223" s="617"/>
      <c r="G223" s="617"/>
      <c r="H223" s="617"/>
      <c r="I223" s="617"/>
      <c r="J223" s="617"/>
      <c r="K223" s="1693">
        <f t="shared" si="19"/>
        <v>3862</v>
      </c>
      <c r="L223" s="466"/>
    </row>
    <row r="224" spans="1:14" x14ac:dyDescent="0.2">
      <c r="A224" s="1526" t="s">
        <v>1021</v>
      </c>
      <c r="B224" s="615">
        <v>1600</v>
      </c>
      <c r="C224" s="617"/>
      <c r="D224" s="466">
        <v>6668</v>
      </c>
      <c r="E224" s="617"/>
      <c r="F224" s="617"/>
      <c r="G224" s="617"/>
      <c r="H224" s="617"/>
      <c r="I224" s="617"/>
      <c r="J224" s="617"/>
      <c r="K224" s="1693">
        <f t="shared" si="19"/>
        <v>6668</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v>137319</v>
      </c>
      <c r="E227" s="617"/>
      <c r="F227" s="617"/>
      <c r="G227" s="617"/>
      <c r="H227" s="617"/>
      <c r="I227" s="617"/>
      <c r="J227" s="617"/>
      <c r="K227" s="1693">
        <f t="shared" si="19"/>
        <v>137319</v>
      </c>
      <c r="L227" s="466">
        <v>151335</v>
      </c>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1081973</v>
      </c>
      <c r="E229" s="617"/>
      <c r="F229" s="617"/>
      <c r="G229" s="617"/>
      <c r="H229" s="617"/>
      <c r="I229" s="617"/>
      <c r="J229" s="617"/>
      <c r="K229" s="1692">
        <f>SUM(K215:K228)</f>
        <v>1081973</v>
      </c>
      <c r="L229" s="1692">
        <f>SUM(L215:L228)</f>
        <v>1254812</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26071</v>
      </c>
      <c r="E232" s="617"/>
      <c r="F232" s="617"/>
      <c r="G232" s="617"/>
      <c r="H232" s="617"/>
      <c r="I232" s="617"/>
      <c r="J232" s="617"/>
      <c r="K232" s="1693">
        <f t="shared" ref="K232:K237" si="20">D232</f>
        <v>26071</v>
      </c>
      <c r="L232" s="466">
        <v>27079</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242178</v>
      </c>
      <c r="E234" s="617"/>
      <c r="F234" s="617"/>
      <c r="G234" s="617"/>
      <c r="H234" s="617"/>
      <c r="I234" s="617"/>
      <c r="J234" s="617"/>
      <c r="K234" s="1693">
        <f t="shared" si="20"/>
        <v>242178</v>
      </c>
      <c r="L234" s="466">
        <v>283388</v>
      </c>
    </row>
    <row r="235" spans="1:12" x14ac:dyDescent="0.2">
      <c r="A235" s="1526" t="s">
        <v>208</v>
      </c>
      <c r="B235" s="615">
        <v>2140</v>
      </c>
      <c r="C235" s="617"/>
      <c r="D235" s="466">
        <v>13388</v>
      </c>
      <c r="E235" s="617"/>
      <c r="F235" s="617"/>
      <c r="G235" s="617"/>
      <c r="H235" s="617"/>
      <c r="I235" s="617"/>
      <c r="J235" s="617"/>
      <c r="K235" s="1693">
        <f t="shared" si="20"/>
        <v>13388</v>
      </c>
      <c r="L235" s="466">
        <v>14441</v>
      </c>
    </row>
    <row r="236" spans="1:12" x14ac:dyDescent="0.2">
      <c r="A236" s="1526" t="s">
        <v>209</v>
      </c>
      <c r="B236" s="615">
        <v>2150</v>
      </c>
      <c r="C236" s="617"/>
      <c r="D236" s="466">
        <v>18767</v>
      </c>
      <c r="E236" s="617"/>
      <c r="F236" s="617"/>
      <c r="G236" s="617"/>
      <c r="H236" s="617"/>
      <c r="I236" s="617"/>
      <c r="J236" s="617"/>
      <c r="K236" s="1693">
        <f t="shared" si="20"/>
        <v>18767</v>
      </c>
      <c r="L236" s="466">
        <v>19115</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300404</v>
      </c>
      <c r="E238" s="617"/>
      <c r="F238" s="617"/>
      <c r="G238" s="617"/>
      <c r="H238" s="617"/>
      <c r="I238" s="617"/>
      <c r="J238" s="617"/>
      <c r="K238" s="1692">
        <f>SUM(K232:K237)</f>
        <v>300404</v>
      </c>
      <c r="L238" s="1692">
        <f>SUM(L232:L237)</f>
        <v>344023</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49893</v>
      </c>
      <c r="E240" s="617"/>
      <c r="F240" s="617"/>
      <c r="G240" s="617"/>
      <c r="H240" s="617"/>
      <c r="I240" s="617"/>
      <c r="J240" s="617"/>
      <c r="K240" s="1694">
        <f>D240</f>
        <v>49893</v>
      </c>
      <c r="L240" s="481">
        <v>51804</v>
      </c>
    </row>
    <row r="241" spans="1:12" x14ac:dyDescent="0.2">
      <c r="A241" s="1526" t="s">
        <v>869</v>
      </c>
      <c r="B241" s="615">
        <v>2220</v>
      </c>
      <c r="C241" s="617"/>
      <c r="D241" s="466">
        <v>102599</v>
      </c>
      <c r="E241" s="617"/>
      <c r="F241" s="617"/>
      <c r="G241" s="617"/>
      <c r="H241" s="617"/>
      <c r="I241" s="617"/>
      <c r="J241" s="617"/>
      <c r="K241" s="1694">
        <f>D241</f>
        <v>102599</v>
      </c>
      <c r="L241" s="466">
        <v>107242</v>
      </c>
    </row>
    <row r="242" spans="1:12" x14ac:dyDescent="0.2">
      <c r="A242" s="1526" t="s">
        <v>870</v>
      </c>
      <c r="B242" s="615">
        <v>2230</v>
      </c>
      <c r="C242" s="617"/>
      <c r="D242" s="466">
        <v>2270</v>
      </c>
      <c r="E242" s="617"/>
      <c r="F242" s="617"/>
      <c r="G242" s="617"/>
      <c r="H242" s="617"/>
      <c r="I242" s="617"/>
      <c r="J242" s="617"/>
      <c r="K242" s="1694">
        <f>D242</f>
        <v>2270</v>
      </c>
      <c r="L242" s="466">
        <v>1728</v>
      </c>
    </row>
    <row r="243" spans="1:12" ht="12.75" customHeight="1" thickBot="1" x14ac:dyDescent="0.25">
      <c r="A243" s="1716" t="s">
        <v>582</v>
      </c>
      <c r="B243" s="1717">
        <v>2200</v>
      </c>
      <c r="C243" s="617"/>
      <c r="D243" s="1692">
        <f>SUM(D240:D242)</f>
        <v>154762</v>
      </c>
      <c r="E243" s="617"/>
      <c r="F243" s="617"/>
      <c r="G243" s="617"/>
      <c r="H243" s="617"/>
      <c r="I243" s="617"/>
      <c r="J243" s="617"/>
      <c r="K243" s="1692">
        <f>SUM(K240:K242)</f>
        <v>154762</v>
      </c>
      <c r="L243" s="1692">
        <f>SUM(L240:L242)</f>
        <v>160774</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v>17659</v>
      </c>
      <c r="E246" s="617"/>
      <c r="F246" s="617"/>
      <c r="G246" s="617"/>
      <c r="H246" s="617"/>
      <c r="I246" s="617"/>
      <c r="J246" s="617"/>
      <c r="K246" s="1694">
        <f t="shared" ref="K246:K256" si="21">D246</f>
        <v>17659</v>
      </c>
      <c r="L246" s="466">
        <v>18000</v>
      </c>
    </row>
    <row r="247" spans="1:12" x14ac:dyDescent="0.2">
      <c r="A247" s="1526" t="s">
        <v>873</v>
      </c>
      <c r="B247" s="615">
        <v>2330</v>
      </c>
      <c r="C247" s="617"/>
      <c r="D247" s="466">
        <v>32893</v>
      </c>
      <c r="E247" s="617"/>
      <c r="F247" s="617"/>
      <c r="G247" s="617"/>
      <c r="H247" s="617"/>
      <c r="I247" s="617"/>
      <c r="J247" s="617"/>
      <c r="K247" s="1694">
        <f t="shared" si="21"/>
        <v>32893</v>
      </c>
      <c r="L247" s="466">
        <v>20689</v>
      </c>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1905</v>
      </c>
      <c r="B249" s="684" t="s">
        <v>300</v>
      </c>
      <c r="C249" s="617"/>
      <c r="D249" s="474"/>
      <c r="E249" s="617"/>
      <c r="F249" s="617"/>
      <c r="G249" s="617"/>
      <c r="H249" s="617"/>
      <c r="I249" s="617"/>
      <c r="J249" s="617"/>
      <c r="K249" s="1694">
        <f t="shared" si="21"/>
        <v>0</v>
      </c>
      <c r="L249" s="466"/>
    </row>
    <row r="250" spans="1:12" x14ac:dyDescent="0.2">
      <c r="A250" s="1527" t="s">
        <v>1906</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v>6462</v>
      </c>
      <c r="E253" s="617"/>
      <c r="F253" s="617"/>
      <c r="G253" s="617"/>
      <c r="H253" s="617"/>
      <c r="I253" s="617"/>
      <c r="J253" s="617"/>
      <c r="K253" s="1694">
        <f t="shared" si="21"/>
        <v>6462</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57014</v>
      </c>
      <c r="E257" s="617"/>
      <c r="F257" s="617"/>
      <c r="G257" s="617"/>
      <c r="H257" s="617"/>
      <c r="I257" s="617"/>
      <c r="J257" s="617"/>
      <c r="K257" s="1692">
        <f>SUM(K245:K256)</f>
        <v>57014</v>
      </c>
      <c r="L257" s="1692">
        <f>SUM(L245:L256)</f>
        <v>38689</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180151</v>
      </c>
      <c r="E259" s="617"/>
      <c r="F259" s="617"/>
      <c r="G259" s="617"/>
      <c r="H259" s="617"/>
      <c r="I259" s="617"/>
      <c r="J259" s="617"/>
      <c r="K259" s="1694">
        <f>D259</f>
        <v>180151</v>
      </c>
      <c r="L259" s="481">
        <v>205945</v>
      </c>
    </row>
    <row r="260" spans="1:14" s="598" customFormat="1" x14ac:dyDescent="0.2">
      <c r="A260" s="1544" t="s">
        <v>1904</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180151</v>
      </c>
      <c r="E261" s="617"/>
      <c r="F261" s="617"/>
      <c r="G261" s="617"/>
      <c r="H261" s="617"/>
      <c r="I261" s="617"/>
      <c r="J261" s="617"/>
      <c r="K261" s="1692">
        <f>SUM(K259:K260)</f>
        <v>180151</v>
      </c>
      <c r="L261" s="1692">
        <f>SUM(L259:L260)</f>
        <v>205945</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v>100926</v>
      </c>
      <c r="E263" s="617"/>
      <c r="F263" s="617"/>
      <c r="G263" s="617"/>
      <c r="H263" s="617"/>
      <c r="I263" s="617"/>
      <c r="J263" s="617"/>
      <c r="K263" s="1694">
        <f>D263</f>
        <v>100926</v>
      </c>
      <c r="L263" s="481">
        <v>105717</v>
      </c>
    </row>
    <row r="264" spans="1:14" x14ac:dyDescent="0.2">
      <c r="A264" s="1526" t="s">
        <v>483</v>
      </c>
      <c r="B264" s="686">
        <v>2520</v>
      </c>
      <c r="C264" s="617"/>
      <c r="D264" s="466"/>
      <c r="E264" s="617"/>
      <c r="F264" s="617"/>
      <c r="G264" s="617"/>
      <c r="H264" s="617"/>
      <c r="I264" s="617"/>
      <c r="J264" s="617"/>
      <c r="K264" s="1694">
        <f t="shared" ref="K264:K269" si="22">D264</f>
        <v>0</v>
      </c>
      <c r="L264" s="466"/>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924612</v>
      </c>
      <c r="E266" s="617"/>
      <c r="F266" s="617"/>
      <c r="G266" s="617"/>
      <c r="H266" s="617"/>
      <c r="I266" s="617"/>
      <c r="J266" s="617"/>
      <c r="K266" s="1694">
        <f t="shared" si="22"/>
        <v>924612</v>
      </c>
      <c r="L266" s="466">
        <v>1001121</v>
      </c>
    </row>
    <row r="267" spans="1:14" x14ac:dyDescent="0.2">
      <c r="A267" s="1526" t="s">
        <v>1010</v>
      </c>
      <c r="B267" s="615">
        <v>2550</v>
      </c>
      <c r="C267" s="617"/>
      <c r="D267" s="466">
        <v>15092</v>
      </c>
      <c r="E267" s="617"/>
      <c r="F267" s="617"/>
      <c r="G267" s="617"/>
      <c r="H267" s="617"/>
      <c r="I267" s="617"/>
      <c r="J267" s="617"/>
      <c r="K267" s="1694">
        <f t="shared" si="22"/>
        <v>15092</v>
      </c>
      <c r="L267" s="466"/>
    </row>
    <row r="268" spans="1:14" x14ac:dyDescent="0.2">
      <c r="A268" s="1526" t="s">
        <v>102</v>
      </c>
      <c r="B268" s="615">
        <v>2560</v>
      </c>
      <c r="C268" s="617"/>
      <c r="D268" s="466">
        <v>19832</v>
      </c>
      <c r="E268" s="617"/>
      <c r="F268" s="617"/>
      <c r="G268" s="617"/>
      <c r="H268" s="617"/>
      <c r="I268" s="617"/>
      <c r="J268" s="617"/>
      <c r="K268" s="1694">
        <f t="shared" si="22"/>
        <v>19832</v>
      </c>
      <c r="L268" s="466"/>
    </row>
    <row r="269" spans="1:14" x14ac:dyDescent="0.2">
      <c r="A269" s="1526" t="s">
        <v>103</v>
      </c>
      <c r="B269" s="615">
        <v>2570</v>
      </c>
      <c r="C269" s="617"/>
      <c r="D269" s="466">
        <v>42345</v>
      </c>
      <c r="E269" s="617"/>
      <c r="F269" s="617"/>
      <c r="G269" s="617"/>
      <c r="H269" s="617"/>
      <c r="I269" s="617"/>
      <c r="J269" s="617"/>
      <c r="K269" s="1694">
        <f t="shared" si="22"/>
        <v>42345</v>
      </c>
      <c r="L269" s="466">
        <v>41520</v>
      </c>
    </row>
    <row r="270" spans="1:14" ht="12.75" customHeight="1" thickBot="1" x14ac:dyDescent="0.25">
      <c r="A270" s="1690" t="s">
        <v>743</v>
      </c>
      <c r="B270" s="1697" t="s">
        <v>35</v>
      </c>
      <c r="C270" s="617"/>
      <c r="D270" s="1692">
        <f>SUM(D263:D269)</f>
        <v>1102807</v>
      </c>
      <c r="E270" s="617"/>
      <c r="F270" s="617"/>
      <c r="G270" s="617"/>
      <c r="H270" s="617"/>
      <c r="I270" s="617"/>
      <c r="J270" s="617"/>
      <c r="K270" s="1692">
        <f>SUM(K263:K269)</f>
        <v>1102807</v>
      </c>
      <c r="L270" s="1692">
        <f>SUM(L263:L269)</f>
        <v>1148358</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v>138077</v>
      </c>
      <c r="E274" s="617"/>
      <c r="F274" s="617"/>
      <c r="G274" s="617"/>
      <c r="H274" s="617"/>
      <c r="I274" s="617"/>
      <c r="J274" s="617"/>
      <c r="K274" s="1694">
        <f>D274</f>
        <v>138077</v>
      </c>
      <c r="L274" s="466">
        <v>130352</v>
      </c>
    </row>
    <row r="275" spans="1:12" x14ac:dyDescent="0.2">
      <c r="A275" s="1526" t="s">
        <v>423</v>
      </c>
      <c r="B275" s="615">
        <v>2640</v>
      </c>
      <c r="C275" s="617"/>
      <c r="D275" s="466">
        <v>48572</v>
      </c>
      <c r="E275" s="617"/>
      <c r="F275" s="617"/>
      <c r="G275" s="617"/>
      <c r="H275" s="617"/>
      <c r="I275" s="617"/>
      <c r="J275" s="617"/>
      <c r="K275" s="1694">
        <f>D275</f>
        <v>48572</v>
      </c>
      <c r="L275" s="466">
        <v>84823</v>
      </c>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186649</v>
      </c>
      <c r="E277" s="617"/>
      <c r="F277" s="617"/>
      <c r="G277" s="617"/>
      <c r="H277" s="617"/>
      <c r="I277" s="617"/>
      <c r="J277" s="617"/>
      <c r="K277" s="1692">
        <f>SUM(K272:K276)</f>
        <v>186649</v>
      </c>
      <c r="L277" s="1692">
        <f>SUM(L272:L276)</f>
        <v>215175</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1981787</v>
      </c>
      <c r="E279" s="617"/>
      <c r="F279" s="617"/>
      <c r="G279" s="617"/>
      <c r="H279" s="617"/>
      <c r="I279" s="617"/>
      <c r="J279" s="617"/>
      <c r="K279" s="1699">
        <f>SUM(K238,K243,K257,K261,K270,K277,K278)</f>
        <v>1981787</v>
      </c>
      <c r="L279" s="1699">
        <f>SUM(L238,L243,L257,L261,L270,L277,L278)</f>
        <v>2112964</v>
      </c>
    </row>
    <row r="280" spans="1:12" ht="15.75" customHeight="1" thickTop="1" thickBot="1" x14ac:dyDescent="0.25">
      <c r="A280" s="1646" t="s">
        <v>930</v>
      </c>
      <c r="B280" s="1635">
        <v>3000</v>
      </c>
      <c r="C280" s="617"/>
      <c r="D280" s="576">
        <v>19107</v>
      </c>
      <c r="E280" s="617"/>
      <c r="F280" s="617"/>
      <c r="G280" s="617"/>
      <c r="H280" s="617"/>
      <c r="I280" s="617"/>
      <c r="J280" s="617"/>
      <c r="K280" s="1701">
        <f>D280</f>
        <v>19107</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1954</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v>50000</v>
      </c>
    </row>
    <row r="295" spans="1:14" ht="12.75" customHeight="1" thickTop="1" thickBot="1" x14ac:dyDescent="0.25">
      <c r="A295" s="2191" t="s">
        <v>526</v>
      </c>
      <c r="B295" s="2192"/>
      <c r="C295" s="617"/>
      <c r="D295" s="1692">
        <f>SUM(D229,D279,D280,D285)</f>
        <v>3082867</v>
      </c>
      <c r="E295" s="617"/>
      <c r="F295" s="617"/>
      <c r="G295" s="617"/>
      <c r="H295" s="1692">
        <f>H293</f>
        <v>0</v>
      </c>
      <c r="I295" s="617"/>
      <c r="J295" s="617"/>
      <c r="K295" s="1692">
        <f>SUM(K229,K279,K280,K285,K293,K294)</f>
        <v>3082867</v>
      </c>
      <c r="L295" s="1692">
        <f>SUM(L229,L279,L280,L285,L293,L294)</f>
        <v>3417776</v>
      </c>
    </row>
    <row r="296" spans="1:14" ht="13.5" thickTop="1" x14ac:dyDescent="0.2">
      <c r="A296" s="2200" t="s">
        <v>1053</v>
      </c>
      <c r="B296" s="2201"/>
      <c r="C296" s="617"/>
      <c r="D296" s="619"/>
      <c r="E296" s="617"/>
      <c r="F296" s="617"/>
      <c r="G296" s="617"/>
      <c r="H296" s="688"/>
      <c r="I296" s="617"/>
      <c r="J296" s="617"/>
      <c r="K296" s="1706">
        <f>'Revenues 9-14'!G275-'Expenditures 15-22'!K295</f>
        <v>160148</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6327</v>
      </c>
      <c r="F301" s="466"/>
      <c r="G301" s="466">
        <v>477721</v>
      </c>
      <c r="H301" s="466"/>
      <c r="I301" s="467"/>
      <c r="J301" s="467"/>
      <c r="K301" s="1693">
        <f>SUM(C301:J301)</f>
        <v>484048</v>
      </c>
      <c r="L301" s="467">
        <v>805101</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6327</v>
      </c>
      <c r="F303" s="1699">
        <f t="shared" si="23"/>
        <v>0</v>
      </c>
      <c r="G303" s="1699">
        <f t="shared" si="23"/>
        <v>477721</v>
      </c>
      <c r="H303" s="1699">
        <f t="shared" si="23"/>
        <v>0</v>
      </c>
      <c r="I303" s="1699">
        <f t="shared" si="23"/>
        <v>0</v>
      </c>
      <c r="J303" s="1699">
        <f t="shared" si="23"/>
        <v>0</v>
      </c>
      <c r="K303" s="1699">
        <f t="shared" si="23"/>
        <v>484048</v>
      </c>
      <c r="L303" s="1699">
        <f t="shared" si="23"/>
        <v>805101</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1959</v>
      </c>
      <c r="B306" s="691" t="s">
        <v>1954</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v>25000</v>
      </c>
    </row>
    <row r="312" spans="1:14" s="675" customFormat="1" ht="12.75" customHeight="1" thickTop="1" thickBot="1" x14ac:dyDescent="0.25">
      <c r="A312" s="2188" t="s">
        <v>295</v>
      </c>
      <c r="B312" s="2189"/>
      <c r="C312" s="1692">
        <f>SUM(C303)</f>
        <v>0</v>
      </c>
      <c r="D312" s="1692">
        <f>SUM(D303)</f>
        <v>0</v>
      </c>
      <c r="E312" s="1692">
        <f>SUM(E303,E310)</f>
        <v>6327</v>
      </c>
      <c r="F312" s="1692">
        <f>SUM(F303)</f>
        <v>0</v>
      </c>
      <c r="G312" s="1692">
        <f>SUM(G303)</f>
        <v>477721</v>
      </c>
      <c r="H312" s="1692">
        <f>SUM(H303,H310)</f>
        <v>0</v>
      </c>
      <c r="I312" s="1692">
        <f>SUM(I303)</f>
        <v>0</v>
      </c>
      <c r="J312" s="1692">
        <f>SUM(J303)</f>
        <v>0</v>
      </c>
      <c r="K312" s="1692">
        <f>SUM(K303,K310,K311)</f>
        <v>484048</v>
      </c>
      <c r="L312" s="1692">
        <f>SUM(L303,L310,L311)</f>
        <v>830101</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-480489</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v>3000</v>
      </c>
      <c r="M319" s="666"/>
      <c r="N319" s="666"/>
    </row>
    <row r="320" spans="1:14" s="675" customFormat="1" x14ac:dyDescent="0.2">
      <c r="A320" s="1545" t="s">
        <v>1905</v>
      </c>
      <c r="B320" s="699" t="s">
        <v>300</v>
      </c>
      <c r="C320" s="467"/>
      <c r="D320" s="467"/>
      <c r="E320" s="467">
        <v>235052</v>
      </c>
      <c r="F320" s="467"/>
      <c r="G320" s="467"/>
      <c r="H320" s="467"/>
      <c r="I320" s="467"/>
      <c r="J320" s="467"/>
      <c r="K320" s="1693">
        <f t="shared" ref="K320:K327" si="24">SUM(C320:J320)</f>
        <v>235052</v>
      </c>
      <c r="L320" s="467">
        <v>298000</v>
      </c>
      <c r="M320" s="666"/>
      <c r="N320" s="666"/>
    </row>
    <row r="321" spans="1:14" s="675" customFormat="1" x14ac:dyDescent="0.2">
      <c r="A321" s="1541" t="s">
        <v>318</v>
      </c>
      <c r="B321" s="698" t="s">
        <v>301</v>
      </c>
      <c r="C321" s="467"/>
      <c r="D321" s="467"/>
      <c r="E321" s="467">
        <v>38143</v>
      </c>
      <c r="F321" s="467"/>
      <c r="G321" s="467"/>
      <c r="H321" s="467"/>
      <c r="I321" s="467"/>
      <c r="J321" s="467"/>
      <c r="K321" s="1693">
        <f t="shared" si="24"/>
        <v>38143</v>
      </c>
      <c r="L321" s="467">
        <v>50760</v>
      </c>
      <c r="M321" s="666"/>
      <c r="N321" s="666"/>
    </row>
    <row r="322" spans="1:14" s="675" customFormat="1" x14ac:dyDescent="0.2">
      <c r="A322" s="1541" t="s">
        <v>256</v>
      </c>
      <c r="B322" s="698" t="s">
        <v>302</v>
      </c>
      <c r="C322" s="467"/>
      <c r="D322" s="467"/>
      <c r="E322" s="467">
        <v>356796</v>
      </c>
      <c r="F322" s="467"/>
      <c r="G322" s="467"/>
      <c r="H322" s="467"/>
      <c r="I322" s="467"/>
      <c r="J322" s="467"/>
      <c r="K322" s="1693">
        <f t="shared" si="24"/>
        <v>356796</v>
      </c>
      <c r="L322" s="467">
        <v>20250</v>
      </c>
      <c r="M322" s="666"/>
      <c r="N322" s="666"/>
    </row>
    <row r="323" spans="1:14" s="675" customFormat="1" x14ac:dyDescent="0.2">
      <c r="A323" s="1541" t="s">
        <v>726</v>
      </c>
      <c r="B323" s="698" t="s">
        <v>303</v>
      </c>
      <c r="C323" s="467"/>
      <c r="D323" s="467"/>
      <c r="E323" s="467">
        <v>5060</v>
      </c>
      <c r="F323" s="467"/>
      <c r="G323" s="467"/>
      <c r="H323" s="467"/>
      <c r="I323" s="467"/>
      <c r="J323" s="467"/>
      <c r="K323" s="1693">
        <f t="shared" si="24"/>
        <v>5060</v>
      </c>
      <c r="L323" s="467"/>
      <c r="M323" s="666"/>
      <c r="N323" s="666"/>
    </row>
    <row r="324" spans="1:14" s="675" customFormat="1" x14ac:dyDescent="0.2">
      <c r="A324" s="1541" t="s">
        <v>257</v>
      </c>
      <c r="B324" s="698" t="s">
        <v>304</v>
      </c>
      <c r="C324" s="467"/>
      <c r="D324" s="467"/>
      <c r="E324" s="467">
        <v>30000</v>
      </c>
      <c r="F324" s="467"/>
      <c r="G324" s="467"/>
      <c r="H324" s="467"/>
      <c r="I324" s="467"/>
      <c r="J324" s="467"/>
      <c r="K324" s="1693">
        <f t="shared" si="24"/>
        <v>30000</v>
      </c>
      <c r="L324" s="467">
        <v>50000</v>
      </c>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v>416913</v>
      </c>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665051</v>
      </c>
      <c r="F330" s="1692">
        <f t="shared" si="25"/>
        <v>0</v>
      </c>
      <c r="G330" s="1692">
        <f t="shared" si="25"/>
        <v>0</v>
      </c>
      <c r="H330" s="1692">
        <f t="shared" si="25"/>
        <v>0</v>
      </c>
      <c r="I330" s="1692">
        <f t="shared" si="25"/>
        <v>0</v>
      </c>
      <c r="J330" s="1692">
        <f t="shared" si="25"/>
        <v>0</v>
      </c>
      <c r="K330" s="1692">
        <f>SUM(K319:K329)</f>
        <v>665051</v>
      </c>
      <c r="L330" s="1692">
        <f>SUM(L319:L329)</f>
        <v>838923</v>
      </c>
      <c r="M330" s="666"/>
      <c r="N330" s="666"/>
    </row>
    <row r="331" spans="1:14" s="675" customFormat="1" ht="12.75" customHeight="1" thickTop="1" x14ac:dyDescent="0.2">
      <c r="A331" s="1854" t="s">
        <v>1960</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1954</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1956</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1961</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665051</v>
      </c>
      <c r="F342" s="1692">
        <f>SUM(F330)</f>
        <v>0</v>
      </c>
      <c r="G342" s="1692">
        <f>SUM(G330)</f>
        <v>0</v>
      </c>
      <c r="H342" s="1692">
        <f>SUM(H330,H334,H340)</f>
        <v>0</v>
      </c>
      <c r="I342" s="1692">
        <f>SUM(I330)</f>
        <v>0</v>
      </c>
      <c r="J342" s="1692">
        <f>SUM(J330)</f>
        <v>0</v>
      </c>
      <c r="K342" s="1692">
        <f>SUM(K330,K334,K340)</f>
        <v>665051</v>
      </c>
      <c r="L342" s="1699">
        <f>SUM(L330,L340,L341)</f>
        <v>838923</v>
      </c>
    </row>
    <row r="343" spans="1:14" ht="12.75" customHeight="1" thickTop="1" x14ac:dyDescent="0.2">
      <c r="A343" s="2186" t="s">
        <v>1053</v>
      </c>
      <c r="B343" s="2187"/>
      <c r="C343" s="617"/>
      <c r="D343" s="617"/>
      <c r="E343" s="617"/>
      <c r="F343" s="617"/>
      <c r="G343" s="617"/>
      <c r="H343" s="617"/>
      <c r="I343" s="617"/>
      <c r="J343" s="617"/>
      <c r="K343" s="1706">
        <f>'Revenues 9-14'!J275-'Expenditures 15-22'!K342</f>
        <v>191204</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1962</v>
      </c>
      <c r="B354" s="684" t="s">
        <v>1954</v>
      </c>
      <c r="C354" s="617"/>
      <c r="D354" s="617"/>
      <c r="E354" s="617"/>
      <c r="F354" s="617"/>
      <c r="G354" s="617"/>
      <c r="H354" s="474"/>
      <c r="I354" s="702"/>
      <c r="J354" s="617"/>
      <c r="K354" s="1721">
        <f>H354</f>
        <v>0</v>
      </c>
      <c r="L354" s="471"/>
    </row>
    <row r="355" spans="1:14" ht="12.75" customHeight="1" x14ac:dyDescent="0.2">
      <c r="A355" s="1535" t="s">
        <v>1963</v>
      </c>
      <c r="B355" s="691" t="s">
        <v>1956</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200" t="s">
        <v>1053</v>
      </c>
      <c r="B368" s="2201"/>
      <c r="C368" s="655"/>
      <c r="D368" s="655"/>
      <c r="E368" s="627"/>
      <c r="F368" s="627"/>
      <c r="G368" s="627"/>
      <c r="H368" s="627"/>
      <c r="I368" s="627"/>
      <c r="J368" s="624"/>
      <c r="K368" s="1693">
        <f>'Revenues 9-14'!K275-'Expenditures 15-22'!K367</f>
        <v>904</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99216-9548-403A-A1AC-CF57406FE3BA}">
  <ds:schemaRefs>
    <ds:schemaRef ds:uri="http://schemas.microsoft.com/sharepoint/v3"/>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4d435f69-8686-490b-bd6d-b153bf22ab50"/>
    <ds:schemaRef ds:uri="http://schemas.microsoft.com/office/infopath/2007/PartnerControls"/>
    <ds:schemaRef ds:uri="d21dc803-237d-4c68-8692-8d731fd29118"/>
    <ds:schemaRef ds:uri="6ce3111e-7420-4802-b50a-75d4e9a0b98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 SEFA</vt:lpstr>
      <vt:lpstr> SEFA (2)</vt:lpstr>
      <vt:lpstr> SEFA (3)</vt:lpstr>
      <vt:lpstr>SEFA NOTES</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2018-12-14T22:38:46Z</cp:lastPrinted>
  <dcterms:created xsi:type="dcterms:W3CDTF">2003-10-29T19:06:34Z</dcterms:created>
  <dcterms:modified xsi:type="dcterms:W3CDTF">2018-12-21T13:54:36Z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