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54"/>
  </bookViews>
  <sheets>
    <sheet name="COVER" sheetId="24" r:id="rId1"/>
    <sheet name="TOC" sheetId="168" r:id="rId2"/>
    <sheet name="Aud Quest 2" sheetId="28" r:id="rId3"/>
    <sheet name="AudQuest signature" sheetId="183"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E19" i="181" l="1"/>
  <c r="F19" i="181"/>
  <c r="G19" i="181" s="1"/>
  <c r="E20" i="18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E28" i="181"/>
  <c r="F28" i="181"/>
  <c r="G28" i="181" s="1"/>
  <c r="E29" i="181"/>
  <c r="F29" i="181"/>
  <c r="G29" i="181" s="1"/>
  <c r="E30" i="181"/>
  <c r="F30" i="181"/>
  <c r="G30" i="181" s="1"/>
  <c r="E31" i="181"/>
  <c r="F31" i="181"/>
  <c r="G31" i="181" s="1"/>
  <c r="E32" i="181"/>
  <c r="F32" i="181"/>
  <c r="G32" i="181" s="1"/>
  <c r="E33" i="181"/>
  <c r="F33" i="181"/>
  <c r="G33" i="181" s="1"/>
  <c r="E34" i="181"/>
  <c r="F34" i="181"/>
  <c r="G34" i="181" s="1"/>
  <c r="E35" i="181"/>
  <c r="F35" i="181"/>
  <c r="G35" i="181" s="1"/>
  <c r="E36" i="181"/>
  <c r="F36" i="181"/>
  <c r="G36" i="181" s="1"/>
  <c r="E37" i="181"/>
  <c r="F37" i="181"/>
  <c r="G37" i="181" s="1"/>
  <c r="E38" i="181"/>
  <c r="F38" i="181"/>
  <c r="G38" i="181" s="1"/>
  <c r="D39" i="181"/>
  <c r="E39" i="181" s="1"/>
  <c r="J13" i="11" l="1"/>
  <c r="E13" i="11"/>
  <c r="L33" i="3"/>
  <c r="N21" i="3"/>
  <c r="M18" i="3"/>
  <c r="M16" i="3"/>
  <c r="C31" i="3" l="1"/>
  <c r="K39" i="3"/>
  <c r="J39" i="3"/>
  <c r="I39" i="3"/>
  <c r="H39" i="3"/>
  <c r="E39" i="3"/>
  <c r="H14" i="12"/>
  <c r="K14" i="12"/>
  <c r="K9" i="12"/>
  <c r="K7" i="12"/>
  <c r="H5" i="12"/>
  <c r="E6"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8" i="181"/>
  <c r="G18" i="181" s="1"/>
  <c r="E18" i="181"/>
  <c r="D80" i="36" l="1"/>
  <c r="B7797" i="106"/>
  <c r="E17" i="181"/>
  <c r="E16" i="181"/>
  <c r="F16" i="181" s="1"/>
  <c r="G16" i="181" s="1"/>
  <c r="F17" i="181" l="1"/>
  <c r="G17" i="181" l="1"/>
  <c r="G39" i="181" s="1"/>
  <c r="G40" i="108" s="1"/>
  <c r="F39" i="181"/>
  <c r="B7798" i="106" s="1"/>
  <c r="E40" i="108" l="1"/>
  <c r="B7799" i="106"/>
  <c r="B4" i="179"/>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D31" i="108" s="1"/>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s="1"/>
  <c r="B6305" i="106"/>
  <c r="D6305" i="106" s="1"/>
  <c r="B6307" i="106"/>
  <c r="D6307" i="106"/>
  <c r="B6308" i="106"/>
  <c r="D6308" i="106" s="1"/>
  <c r="B6309" i="106"/>
  <c r="D6309" i="106"/>
  <c r="B6310" i="106"/>
  <c r="D6310" i="106" s="1"/>
  <c r="B6311" i="106"/>
  <c r="D6311" i="106" s="1"/>
  <c r="B6312" i="106"/>
  <c r="D6312" i="106" s="1"/>
  <c r="B6313" i="106"/>
  <c r="D6313" i="106"/>
  <c r="B6314" i="106"/>
  <c r="D6314" i="106" s="1"/>
  <c r="B6315" i="106"/>
  <c r="D6315" i="106"/>
  <c r="B6316" i="106"/>
  <c r="D6316" i="106" s="1"/>
  <c r="B6317" i="106"/>
  <c r="D6317" i="106"/>
  <c r="B6319" i="106"/>
  <c r="D6319" i="106" s="1"/>
  <c r="B6320" i="106"/>
  <c r="D6320" i="106" s="1"/>
  <c r="B6321" i="106"/>
  <c r="D6321" i="106" s="1"/>
  <c r="B6322" i="106"/>
  <c r="D6322" i="106"/>
  <c r="B6323" i="106"/>
  <c r="D6323" i="106" s="1"/>
  <c r="B6324" i="106"/>
  <c r="D6324" i="106"/>
  <c r="B6325" i="106"/>
  <c r="D6325" i="106" s="1"/>
  <c r="B6326" i="106"/>
  <c r="D6326" i="106"/>
  <c r="B6327" i="106"/>
  <c r="D6327" i="106" s="1"/>
  <c r="B6328" i="106"/>
  <c r="D6328" i="106" s="1"/>
  <c r="B6329" i="106"/>
  <c r="D6329" i="106" s="1"/>
  <c r="B6330" i="106"/>
  <c r="D6330" i="106" s="1"/>
  <c r="B6331" i="106"/>
  <c r="D6331" i="106" s="1"/>
  <c r="B6332" i="106"/>
  <c r="D6332" i="106"/>
  <c r="B6333" i="106"/>
  <c r="D6333" i="106" s="1"/>
  <c r="B6334" i="106"/>
  <c r="D6334" i="106"/>
  <c r="B6335" i="106"/>
  <c r="D6335" i="106" s="1"/>
  <c r="B6336" i="106"/>
  <c r="D6336" i="106" s="1"/>
  <c r="B6337" i="106"/>
  <c r="D6337" i="106" s="1"/>
  <c r="B6338" i="106"/>
  <c r="D6338" i="106" s="1"/>
  <c r="B6339" i="106"/>
  <c r="D6339" i="106" s="1"/>
  <c r="B6340" i="106"/>
  <c r="D6340" i="106"/>
  <c r="B6341" i="106"/>
  <c r="D6341" i="106" s="1"/>
  <c r="B6342" i="106"/>
  <c r="D6342" i="106"/>
  <c r="B6343" i="106"/>
  <c r="D6343" i="106" s="1"/>
  <c r="B6344" i="106"/>
  <c r="D6344" i="106" s="1"/>
  <c r="B6345" i="106"/>
  <c r="D6345" i="106" s="1"/>
  <c r="B6346" i="106"/>
  <c r="D6346" i="106"/>
  <c r="B6347" i="106"/>
  <c r="D6347" i="106" s="1"/>
  <c r="B6348" i="106"/>
  <c r="D6348" i="106"/>
  <c r="B6349" i="106"/>
  <c r="D6349" i="106" s="1"/>
  <c r="B6350" i="106"/>
  <c r="D6350" i="106"/>
  <c r="B6353" i="106"/>
  <c r="D6353" i="106" s="1"/>
  <c r="B6354" i="106"/>
  <c r="D6354" i="106" s="1"/>
  <c r="B6355" i="106"/>
  <c r="D6355" i="106" s="1"/>
  <c r="B6356" i="106"/>
  <c r="D6356" i="106"/>
  <c r="B6358" i="106"/>
  <c r="D6358" i="106" s="1"/>
  <c r="B6359" i="106"/>
  <c r="D6359" i="106"/>
  <c r="B6360" i="106"/>
  <c r="D6360" i="106" s="1"/>
  <c r="B6361" i="106"/>
  <c r="D6361" i="106"/>
  <c r="B6362" i="106"/>
  <c r="D6362" i="106" s="1"/>
  <c r="B6363" i="106"/>
  <c r="D6363" i="106" s="1"/>
  <c r="B6364" i="106"/>
  <c r="D6364" i="106" s="1"/>
  <c r="B6365" i="106"/>
  <c r="D6365" i="106" s="1"/>
  <c r="B6366" i="106"/>
  <c r="D6366" i="106" s="1"/>
  <c r="B6367" i="106"/>
  <c r="D6367" i="106"/>
  <c r="B6368" i="106"/>
  <c r="D6368" i="106" s="1"/>
  <c r="B6369" i="106"/>
  <c r="D6369" i="106"/>
  <c r="B6370" i="106"/>
  <c r="D6370" i="106" s="1"/>
  <c r="B6371" i="106"/>
  <c r="D6371" i="106" s="1"/>
  <c r="B6372" i="106"/>
  <c r="D6372" i="106" s="1"/>
  <c r="B6373" i="106"/>
  <c r="D6373" i="106" s="1"/>
  <c r="B6374" i="106"/>
  <c r="D6374" i="106" s="1"/>
  <c r="B6375" i="106"/>
  <c r="D6375" i="106"/>
  <c r="B6376" i="106"/>
  <c r="D6376" i="106" s="1"/>
  <c r="B6377" i="106"/>
  <c r="D6377" i="106"/>
  <c r="B6378" i="106"/>
  <c r="D6378" i="106" s="1"/>
  <c r="B6379" i="106"/>
  <c r="D6379" i="106" s="1"/>
  <c r="B6380" i="106"/>
  <c r="D6380" i="106" s="1"/>
  <c r="B6381" i="106"/>
  <c r="D6381" i="106"/>
  <c r="B6382" i="106"/>
  <c r="D6382" i="106" s="1"/>
  <c r="B6383" i="106"/>
  <c r="D6383" i="106"/>
  <c r="B6384" i="106"/>
  <c r="D6384" i="106" s="1"/>
  <c r="B6385" i="106"/>
  <c r="D6385" i="106"/>
  <c r="B6386" i="106"/>
  <c r="D6386" i="106" s="1"/>
  <c r="B6387" i="106"/>
  <c r="D6387" i="106" s="1"/>
  <c r="B6388" i="106"/>
  <c r="D6388" i="106" s="1"/>
  <c r="B6389" i="106"/>
  <c r="D6389" i="106"/>
  <c r="B6390" i="106"/>
  <c r="D6390" i="106" s="1"/>
  <c r="B6391" i="106"/>
  <c r="D6391" i="106"/>
  <c r="B6392" i="106"/>
  <c r="D6392" i="106" s="1"/>
  <c r="B6393" i="106"/>
  <c r="D6393" i="106"/>
  <c r="B6394" i="106"/>
  <c r="D6394" i="106" s="1"/>
  <c r="B6395" i="106"/>
  <c r="D6395" i="106" s="1"/>
  <c r="B6398" i="106"/>
  <c r="D6398" i="106" s="1"/>
  <c r="B6399" i="106"/>
  <c r="D6399" i="106" s="1"/>
  <c r="B6401" i="106"/>
  <c r="D6401" i="106" s="1"/>
  <c r="B6402" i="106"/>
  <c r="D6402" i="106"/>
  <c r="B6403" i="106"/>
  <c r="D6403" i="106" s="1"/>
  <c r="B6404" i="106"/>
  <c r="D6404" i="106"/>
  <c r="B6405" i="106"/>
  <c r="D6405" i="106" s="1"/>
  <c r="B6406" i="106"/>
  <c r="D6406" i="106" s="1"/>
  <c r="B6407" i="106"/>
  <c r="D6407" i="106" s="1"/>
  <c r="B6408" i="106"/>
  <c r="D6408" i="106" s="1"/>
  <c r="B6410" i="106"/>
  <c r="D6410" i="106" s="1"/>
  <c r="B6411" i="106"/>
  <c r="D6411" i="106"/>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c r="B6619" i="106"/>
  <c r="D6619" i="106" s="1"/>
  <c r="B6620" i="106"/>
  <c r="D6620" i="106"/>
  <c r="B6621" i="106"/>
  <c r="D6621" i="106" s="1"/>
  <c r="B6622" i="106"/>
  <c r="D6622" i="106" s="1"/>
  <c r="B6623" i="106"/>
  <c r="D6623" i="106" s="1"/>
  <c r="B6624" i="106"/>
  <c r="D6624" i="106" s="1"/>
  <c r="B6625" i="106"/>
  <c r="D6625" i="106" s="1"/>
  <c r="B6626" i="106"/>
  <c r="D6626" i="106"/>
  <c r="B6627" i="106"/>
  <c r="D6627" i="106" s="1"/>
  <c r="B6628" i="106"/>
  <c r="D6628" i="106"/>
  <c r="B6629" i="106"/>
  <c r="D6629" i="106" s="1"/>
  <c r="B6630" i="106"/>
  <c r="D6630" i="106" s="1"/>
  <c r="B6631" i="106"/>
  <c r="D6631" i="106" s="1"/>
  <c r="B6632" i="106"/>
  <c r="D6632" i="106" s="1"/>
  <c r="B6633" i="106"/>
  <c r="D6633" i="106" s="1"/>
  <c r="B6634" i="106"/>
  <c r="D6634" i="106"/>
  <c r="B6635" i="106"/>
  <c r="D6635" i="106" s="1"/>
  <c r="B6636" i="106"/>
  <c r="D6636" i="106"/>
  <c r="B6637" i="106"/>
  <c r="D6637" i="106" s="1"/>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s="1"/>
  <c r="B6648" i="106"/>
  <c r="D6648" i="106" s="1"/>
  <c r="B6649" i="106"/>
  <c r="D6649" i="106" s="1"/>
  <c r="B6650" i="106"/>
  <c r="D6650" i="106" s="1"/>
  <c r="B6651" i="106"/>
  <c r="D6651" i="106"/>
  <c r="B6652" i="106"/>
  <c r="D6652" i="106" s="1"/>
  <c r="B6653" i="106"/>
  <c r="D6653" i="106"/>
  <c r="B6654" i="106"/>
  <c r="D6654" i="106" s="1"/>
  <c r="B6655" i="106"/>
  <c r="D6655" i="106" s="1"/>
  <c r="B6656" i="106"/>
  <c r="D6656" i="106" s="1"/>
  <c r="B6657" i="106"/>
  <c r="D6657" i="106"/>
  <c r="B6658" i="106"/>
  <c r="D6658" i="106" s="1"/>
  <c r="B6659" i="106"/>
  <c r="D6659" i="106"/>
  <c r="B6660" i="106"/>
  <c r="D6660" i="106" s="1"/>
  <c r="B6661" i="106"/>
  <c r="D6661" i="106"/>
  <c r="B6662" i="106"/>
  <c r="D6662" i="106" s="1"/>
  <c r="B6663" i="106"/>
  <c r="D6663" i="106" s="1"/>
  <c r="B6664" i="106"/>
  <c r="D6664" i="106" s="1"/>
  <c r="B6665" i="106"/>
  <c r="D6665" i="106"/>
  <c r="B6666" i="106"/>
  <c r="D6666" i="106" s="1"/>
  <c r="B6667" i="106"/>
  <c r="D6667" i="106"/>
  <c r="B6668" i="106"/>
  <c r="D6668" i="106" s="1"/>
  <c r="B6669" i="106"/>
  <c r="D6669" i="106"/>
  <c r="B6670" i="106"/>
  <c r="D6670" i="106" s="1"/>
  <c r="B6671" i="106"/>
  <c r="D6671" i="106" s="1"/>
  <c r="B6672" i="106"/>
  <c r="D6672" i="106" s="1"/>
  <c r="B6673" i="106"/>
  <c r="D6673" i="106" s="1"/>
  <c r="B6674" i="106"/>
  <c r="D6674" i="106" s="1"/>
  <c r="B6675" i="106"/>
  <c r="D6675" i="106"/>
  <c r="B6676" i="106"/>
  <c r="D6676" i="106" s="1"/>
  <c r="B6677" i="106"/>
  <c r="D6677" i="106"/>
  <c r="B6678" i="106"/>
  <c r="D6678" i="106" s="1"/>
  <c r="B6679" i="106"/>
  <c r="D6679" i="106" s="1"/>
  <c r="B6680" i="106"/>
  <c r="D6680" i="106" s="1"/>
  <c r="B6681" i="106"/>
  <c r="D6681" i="106" s="1"/>
  <c r="B6682" i="106"/>
  <c r="D6682" i="106" s="1"/>
  <c r="B6683" i="106"/>
  <c r="D6683" i="106"/>
  <c r="B6684" i="106"/>
  <c r="D6684" i="106" s="1"/>
  <c r="B6685" i="106"/>
  <c r="D6685" i="106"/>
  <c r="B6686" i="106"/>
  <c r="D6686" i="106" s="1"/>
  <c r="B6687" i="106"/>
  <c r="D6687" i="106" s="1"/>
  <c r="B6688" i="106"/>
  <c r="D6688" i="106" s="1"/>
  <c r="B6689" i="106"/>
  <c r="D6689" i="106"/>
  <c r="B6690" i="106"/>
  <c r="D6690" i="106" s="1"/>
  <c r="B6691" i="106"/>
  <c r="D6691" i="106"/>
  <c r="B6692" i="106"/>
  <c r="D6692" i="106" s="1"/>
  <c r="B6693" i="106"/>
  <c r="D6693" i="106"/>
  <c r="B6694" i="106"/>
  <c r="D6694" i="106" s="1"/>
  <c r="B6695" i="106"/>
  <c r="D6695" i="106" s="1"/>
  <c r="B6696" i="106"/>
  <c r="D6696" i="106" s="1"/>
  <c r="B6697" i="106"/>
  <c r="D6697" i="106"/>
  <c r="B6698" i="106"/>
  <c r="D6698" i="106" s="1"/>
  <c r="B6699" i="106"/>
  <c r="D6699" i="106"/>
  <c r="B6700" i="106"/>
  <c r="D6700" i="106" s="1"/>
  <c r="B6701" i="106"/>
  <c r="D6701" i="106"/>
  <c r="B6702" i="106"/>
  <c r="D6702" i="106" s="1"/>
  <c r="B6703" i="106"/>
  <c r="D6703" i="106" s="1"/>
  <c r="B6704" i="106"/>
  <c r="D6704" i="106" s="1"/>
  <c r="B6705" i="106"/>
  <c r="D6705" i="106" s="1"/>
  <c r="B6706" i="106"/>
  <c r="D6706" i="106" s="1"/>
  <c r="B6707" i="106"/>
  <c r="D6707" i="106"/>
  <c r="B6708" i="106"/>
  <c r="D6708" i="106" s="1"/>
  <c r="B6709" i="106"/>
  <c r="D6709" i="106"/>
  <c r="B6710" i="106"/>
  <c r="D6710" i="106" s="1"/>
  <c r="B6711" i="106"/>
  <c r="D6711" i="106" s="1"/>
  <c r="B6712" i="106"/>
  <c r="D6712" i="106" s="1"/>
  <c r="B6713" i="106"/>
  <c r="D6713" i="106" s="1"/>
  <c r="B6714" i="106"/>
  <c r="D6714" i="106" s="1"/>
  <c r="B6715" i="106"/>
  <c r="D6715" i="106"/>
  <c r="B6716" i="106"/>
  <c r="D6716" i="106" s="1"/>
  <c r="B6717" i="106"/>
  <c r="D6717" i="106"/>
  <c r="B6718" i="106"/>
  <c r="D6718" i="106" s="1"/>
  <c r="B6719" i="106"/>
  <c r="D6719" i="106" s="1"/>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s="1"/>
  <c r="B6734" i="106"/>
  <c r="D6734" i="106" s="1"/>
  <c r="B6735" i="106"/>
  <c r="D6735" i="106"/>
  <c r="B6736" i="106"/>
  <c r="D6736" i="106" s="1"/>
  <c r="B6737" i="106"/>
  <c r="D6737" i="106"/>
  <c r="B6738" i="106"/>
  <c r="D6738" i="106" s="1"/>
  <c r="B6739" i="106"/>
  <c r="D6739" i="106"/>
  <c r="B6740" i="106"/>
  <c r="D6740" i="106" s="1"/>
  <c r="B6741" i="106"/>
  <c r="D6741" i="106" s="1"/>
  <c r="B6742" i="106"/>
  <c r="D6742" i="106" s="1"/>
  <c r="B6743" i="106"/>
  <c r="D6743" i="106" s="1"/>
  <c r="B6744" i="106"/>
  <c r="D6744" i="106" s="1"/>
  <c r="B6745" i="106"/>
  <c r="D6745" i="106"/>
  <c r="B6746" i="106"/>
  <c r="D6746" i="106" s="1"/>
  <c r="B6747" i="106"/>
  <c r="D6747" i="106"/>
  <c r="B6748" i="106"/>
  <c r="D6748" i="106" s="1"/>
  <c r="B6749" i="106"/>
  <c r="D6749" i="106" s="1"/>
  <c r="B6750" i="106"/>
  <c r="D6750" i="106" s="1"/>
  <c r="B6751" i="106"/>
  <c r="D6751" i="106" s="1"/>
  <c r="B6752" i="106"/>
  <c r="D6752" i="106" s="1"/>
  <c r="B6753" i="106"/>
  <c r="D6753" i="106"/>
  <c r="B6754" i="106"/>
  <c r="D6754" i="106" s="1"/>
  <c r="B6755" i="106"/>
  <c r="D6755" i="106"/>
  <c r="B6756" i="106"/>
  <c r="D6756" i="106" s="1"/>
  <c r="B6757" i="106"/>
  <c r="D6757" i="106" s="1"/>
  <c r="B6758" i="106"/>
  <c r="D6758" i="106" s="1"/>
  <c r="B6759" i="106"/>
  <c r="D6759" i="106"/>
  <c r="B6760" i="106"/>
  <c r="D6760" i="106" s="1"/>
  <c r="B6761" i="106"/>
  <c r="D6761" i="106"/>
  <c r="B6762" i="106"/>
  <c r="D6762" i="106" s="1"/>
  <c r="B6763" i="106"/>
  <c r="D6763" i="106"/>
  <c r="B6764" i="106"/>
  <c r="D6764" i="106" s="1"/>
  <c r="B6765" i="106"/>
  <c r="D6765" i="106" s="1"/>
  <c r="B6766" i="106"/>
  <c r="D6766" i="106" s="1"/>
  <c r="B6767" i="106"/>
  <c r="D6767" i="106"/>
  <c r="B6768" i="106"/>
  <c r="D6768" i="106" s="1"/>
  <c r="B6769" i="106"/>
  <c r="D6769" i="106"/>
  <c r="B6770" i="106"/>
  <c r="D6770" i="106" s="1"/>
  <c r="B6771" i="106"/>
  <c r="D6771" i="106"/>
  <c r="B6772" i="106"/>
  <c r="D6772" i="106" s="1"/>
  <c r="B6773" i="106"/>
  <c r="D6773" i="106" s="1"/>
  <c r="B6774" i="106"/>
  <c r="D6774" i="106" s="1"/>
  <c r="B6775" i="106"/>
  <c r="D6775" i="106" s="1"/>
  <c r="B6776" i="106"/>
  <c r="D6776" i="106" s="1"/>
  <c r="B6777" i="106"/>
  <c r="D6777" i="106"/>
  <c r="B6778" i="106"/>
  <c r="D6778" i="106" s="1"/>
  <c r="B6779" i="106"/>
  <c r="D6779" i="106"/>
  <c r="B6780" i="106"/>
  <c r="D6780" i="106" s="1"/>
  <c r="B6781" i="106"/>
  <c r="D6781" i="106" s="1"/>
  <c r="B6782" i="106"/>
  <c r="D6782" i="106" s="1"/>
  <c r="B6783" i="106"/>
  <c r="D6783" i="106" s="1"/>
  <c r="B6784" i="106"/>
  <c r="D6784" i="106" s="1"/>
  <c r="B6785" i="106"/>
  <c r="D6785" i="106"/>
  <c r="B6786" i="106"/>
  <c r="D6786" i="106" s="1"/>
  <c r="B6787" i="106"/>
  <c r="D6787" i="106"/>
  <c r="B6788" i="106"/>
  <c r="D6788" i="106" s="1"/>
  <c r="B6789" i="106"/>
  <c r="D6789" i="106" s="1"/>
  <c r="B6790" i="106"/>
  <c r="D6790" i="106" s="1"/>
  <c r="B6791" i="106"/>
  <c r="D6791" i="106"/>
  <c r="B6792" i="106"/>
  <c r="D6792" i="106" s="1"/>
  <c r="B6793" i="106"/>
  <c r="D6793" i="106"/>
  <c r="B6794" i="106"/>
  <c r="D6794" i="106" s="1"/>
  <c r="B6795" i="106"/>
  <c r="D6795" i="106"/>
  <c r="B6796" i="106"/>
  <c r="D6796" i="106" s="1"/>
  <c r="B6797" i="106"/>
  <c r="D6797" i="106" s="1"/>
  <c r="B6798" i="106"/>
  <c r="D6798" i="106" s="1"/>
  <c r="B6799" i="106"/>
  <c r="D6799" i="106"/>
  <c r="B6800" i="106"/>
  <c r="D6800" i="106" s="1"/>
  <c r="B6801" i="106"/>
  <c r="D6801" i="106"/>
  <c r="B6802" i="106"/>
  <c r="D6802" i="106" s="1"/>
  <c r="B6803" i="106"/>
  <c r="D6803" i="106"/>
  <c r="B6804" i="106"/>
  <c r="D6804" i="106" s="1"/>
  <c r="B6805" i="106"/>
  <c r="D6805" i="106" s="1"/>
  <c r="B6806" i="106"/>
  <c r="D6806" i="106" s="1"/>
  <c r="B6807" i="106"/>
  <c r="D6807" i="106" s="1"/>
  <c r="B6808" i="106"/>
  <c r="D6808" i="106" s="1"/>
  <c r="B6809" i="106"/>
  <c r="D6809" i="106"/>
  <c r="B6810" i="106"/>
  <c r="D6810" i="106" s="1"/>
  <c r="B6811" i="106"/>
  <c r="D6811" i="106"/>
  <c r="B6812" i="106"/>
  <c r="D6812" i="106" s="1"/>
  <c r="B6813" i="106"/>
  <c r="D6813" i="106" s="1"/>
  <c r="B6814" i="106"/>
  <c r="D6814" i="106" s="1"/>
  <c r="B6815" i="106"/>
  <c r="D6815" i="106" s="1"/>
  <c r="B6816" i="106"/>
  <c r="D6816" i="106" s="1"/>
  <c r="B6817" i="106"/>
  <c r="D6817" i="106"/>
  <c r="B6818" i="106"/>
  <c r="D6818" i="106" s="1"/>
  <c r="B6819" i="106"/>
  <c r="D6819" i="106"/>
  <c r="B6820" i="106"/>
  <c r="D6820" i="106" s="1"/>
  <c r="B6821" i="106"/>
  <c r="D6821" i="106" s="1"/>
  <c r="B6822" i="106"/>
  <c r="D6822" i="106" s="1"/>
  <c r="B6823" i="106"/>
  <c r="D6823" i="106"/>
  <c r="B6824" i="106"/>
  <c r="D6824" i="106" s="1"/>
  <c r="B6825" i="106"/>
  <c r="D6825" i="106"/>
  <c r="B6826" i="106"/>
  <c r="D6826" i="106" s="1"/>
  <c r="B6827" i="106"/>
  <c r="D6827" i="106"/>
  <c r="B6828" i="106"/>
  <c r="D6828" i="106" s="1"/>
  <c r="B6829" i="106"/>
  <c r="D6829" i="106" s="1"/>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6" i="108"/>
  <c r="G26" i="108"/>
  <c r="E27" i="108"/>
  <c r="G27" i="108"/>
  <c r="E28" i="108"/>
  <c r="F36" i="108"/>
  <c r="F37" i="108"/>
  <c r="G28" i="108"/>
  <c r="E29" i="108"/>
  <c r="G29" i="108"/>
  <c r="E30" i="108"/>
  <c r="D36" i="108"/>
  <c r="D37"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C131" i="5"/>
  <c r="B5147" i="106" s="1"/>
  <c r="D5147" i="106" s="1"/>
  <c r="D131" i="5"/>
  <c r="B5369" i="106" s="1"/>
  <c r="D5369" i="106" s="1"/>
  <c r="B5614" i="106"/>
  <c r="D5614" i="106" s="1"/>
  <c r="C140" i="5"/>
  <c r="D140" i="5"/>
  <c r="B5383" i="106"/>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s="1"/>
  <c r="D4951" i="106" s="1"/>
  <c r="C184" i="5"/>
  <c r="D184" i="5"/>
  <c r="B5425" i="106" s="1"/>
  <c r="D5425" i="106" s="1"/>
  <c r="F184" i="5"/>
  <c r="B5658" i="106" s="1"/>
  <c r="D5658" i="106" s="1"/>
  <c r="G184" i="5"/>
  <c r="B5784" i="106"/>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29" i="118"/>
  <c r="D11" i="37"/>
  <c r="D22" i="37"/>
  <c r="J22" i="37"/>
  <c r="L22" i="37"/>
  <c r="D24" i="37"/>
  <c r="B4270" i="106" s="1"/>
  <c r="D4270" i="106" s="1"/>
  <c r="F131" i="34"/>
  <c r="B5847" i="106"/>
  <c r="D5847" i="106" s="1"/>
  <c r="K274" i="5"/>
  <c r="D7" i="7"/>
  <c r="B1763" i="106" s="1"/>
  <c r="D1763" i="106" s="1"/>
  <c r="B1746" i="106"/>
  <c r="D1746" i="106" s="1"/>
  <c r="D15" i="7"/>
  <c r="B1772" i="106" s="1"/>
  <c r="D1772" i="106" s="1"/>
  <c r="D5" i="4" l="1"/>
  <c r="B3406" i="106" s="1"/>
  <c r="D3406" i="106" s="1"/>
  <c r="B2027" i="106"/>
  <c r="D2027" i="106" s="1"/>
  <c r="M17" i="3"/>
  <c r="B274" i="106" s="1"/>
  <c r="D274" i="106" s="1"/>
  <c r="B2029" i="106"/>
  <c r="D2029" i="106" s="1"/>
  <c r="M19" i="3"/>
  <c r="L13" i="11"/>
  <c r="B2060" i="106" s="1"/>
  <c r="D2060" i="106" s="1"/>
  <c r="H33" i="118"/>
  <c r="B5096" i="106"/>
  <c r="D5096" i="106" s="1"/>
  <c r="I210" i="29"/>
  <c r="E38" i="108"/>
  <c r="F31" i="108"/>
  <c r="F27" i="108"/>
  <c r="G30" i="108"/>
  <c r="F36" i="34"/>
  <c r="E15" i="145"/>
  <c r="G15" i="145" s="1"/>
  <c r="D26" i="108"/>
  <c r="F136" i="34"/>
  <c r="B1276" i="106"/>
  <c r="D1276" i="106" s="1"/>
  <c r="F28" i="108"/>
  <c r="B1053" i="106"/>
  <c r="D1053" i="106" s="1"/>
  <c r="H112" i="29"/>
  <c r="B7018" i="106" s="1"/>
  <c r="D7018" i="106" s="1"/>
  <c r="B6191" i="106"/>
  <c r="D6191" i="106" s="1"/>
  <c r="J41" i="3"/>
  <c r="D4" i="7"/>
  <c r="B1760" i="106" s="1"/>
  <c r="D1760" i="106" s="1"/>
  <c r="B5304" i="106"/>
  <c r="D5304" i="106" s="1"/>
  <c r="D11" i="7"/>
  <c r="B1768" i="106" s="1"/>
  <c r="D1768" i="106" s="1"/>
  <c r="D109" i="5"/>
  <c r="B5356" i="106" s="1"/>
  <c r="D5356" i="106" s="1"/>
  <c r="F111" i="34"/>
  <c r="L5" i="11"/>
  <c r="B2056" i="106" s="1"/>
  <c r="D2056" i="106" s="1"/>
  <c r="L367" i="29"/>
  <c r="B3647" i="106"/>
  <c r="D3647" i="106" s="1"/>
  <c r="G352" i="29"/>
  <c r="G367" i="29" s="1"/>
  <c r="B3650" i="106" s="1"/>
  <c r="D3650" i="106" s="1"/>
  <c r="D12" i="7"/>
  <c r="B1769" i="106" s="1"/>
  <c r="D1769" i="106" s="1"/>
  <c r="H173" i="5"/>
  <c r="B5906" i="106" s="1"/>
  <c r="D5906" i="106" s="1"/>
  <c r="F130" i="34"/>
  <c r="G5" i="4"/>
  <c r="B3409" i="106" s="1"/>
  <c r="D3409" i="106" s="1"/>
  <c r="F172" i="5"/>
  <c r="B5644" i="106" s="1"/>
  <c r="D5644" i="106" s="1"/>
  <c r="F49" i="34"/>
  <c r="B7199" i="106"/>
  <c r="D7199" i="106" s="1"/>
  <c r="C342" i="29"/>
  <c r="B7216" i="106" s="1"/>
  <c r="D7216" i="106" s="1"/>
  <c r="K285" i="29"/>
  <c r="K350" i="29"/>
  <c r="B3670" i="106" s="1"/>
  <c r="D3670" i="106" s="1"/>
  <c r="G210" i="29"/>
  <c r="K184" i="29"/>
  <c r="F13" i="4" s="1"/>
  <c r="B2596" i="106" s="1"/>
  <c r="D2596" i="106" s="1"/>
  <c r="B1223" i="106"/>
  <c r="D1223" i="106" s="1"/>
  <c r="B5161" i="106"/>
  <c r="D5161" i="106" s="1"/>
  <c r="F106" i="34"/>
  <c r="B6006" i="106"/>
  <c r="D6006" i="106" s="1"/>
  <c r="K173" i="5"/>
  <c r="K6" i="4" s="1"/>
  <c r="B3570" i="106" s="1"/>
  <c r="D3570" i="106" s="1"/>
  <c r="H109" i="5"/>
  <c r="H275" i="5" s="1"/>
  <c r="D9" i="7"/>
  <c r="B1767" i="106" s="1"/>
  <c r="D1767" i="106" s="1"/>
  <c r="D13" i="7"/>
  <c r="B3726" i="106" s="1"/>
  <c r="D3726" i="106" s="1"/>
  <c r="B2836" i="106"/>
  <c r="D2836" i="106" s="1"/>
  <c r="F62" i="34"/>
  <c r="G39" i="108"/>
  <c r="F14" i="4"/>
  <c r="B2597" i="106" s="1"/>
  <c r="D2597" i="106" s="1"/>
  <c r="B3658" i="106"/>
  <c r="D3658" i="106" s="1"/>
  <c r="H365" i="29"/>
  <c r="B3565" i="106"/>
  <c r="D3565" i="106" s="1"/>
  <c r="K41" i="3"/>
  <c r="H44" i="4"/>
  <c r="B6289" i="106"/>
  <c r="D6289" i="106" s="1"/>
  <c r="B1792" i="106"/>
  <c r="D1792" i="106" s="1"/>
  <c r="F19" i="7"/>
  <c r="B1807" i="106" s="1"/>
  <c r="D1807" i="106" s="1"/>
  <c r="B5752" i="106"/>
  <c r="D5752" i="106" s="1"/>
  <c r="G172" i="5"/>
  <c r="B4102" i="106"/>
  <c r="D4102" i="106" s="1"/>
  <c r="D17" i="7"/>
  <c r="B4104" i="106" s="1"/>
  <c r="D4104" i="106" s="1"/>
  <c r="B6848" i="106"/>
  <c r="D6848" i="106" s="1"/>
  <c r="F34" i="34"/>
  <c r="F21" i="8"/>
  <c r="B3689" i="106"/>
  <c r="D3689" i="106" s="1"/>
  <c r="B5733" i="106"/>
  <c r="D5733" i="106" s="1"/>
  <c r="G109" i="5"/>
  <c r="B4396" i="106"/>
  <c r="D4396" i="106" s="1"/>
  <c r="F128" i="34"/>
  <c r="B1745" i="106"/>
  <c r="D1745" i="106" s="1"/>
  <c r="D5" i="7"/>
  <c r="B1761" i="106" s="1"/>
  <c r="D1761" i="106" s="1"/>
  <c r="D4" i="4"/>
  <c r="B2564" i="106" s="1"/>
  <c r="D2564" i="106" s="1"/>
  <c r="B5232" i="106"/>
  <c r="D5232" i="106" s="1"/>
  <c r="F127" i="34"/>
  <c r="E109" i="5"/>
  <c r="E4" i="4" s="1"/>
  <c r="B2630" i="106" s="1"/>
  <c r="D2630" i="106" s="1"/>
  <c r="B5066" i="106"/>
  <c r="D5066" i="106" s="1"/>
  <c r="C109" i="5"/>
  <c r="B5121" i="106" s="1"/>
  <c r="D5121" i="106" s="1"/>
  <c r="J352" i="29"/>
  <c r="H6" i="4"/>
  <c r="B2656" i="106" s="1"/>
  <c r="D2656" i="106" s="1"/>
  <c r="C172" i="5"/>
  <c r="B3619" i="106"/>
  <c r="D3619" i="106" s="1"/>
  <c r="C352" i="29"/>
  <c r="B3170" i="106"/>
  <c r="D3170" i="106" s="1"/>
  <c r="H76" i="4"/>
  <c r="B3298" i="106" s="1"/>
  <c r="D3298" i="106" s="1"/>
  <c r="J274" i="5"/>
  <c r="B7054" i="106" s="1"/>
  <c r="D7054" i="106" s="1"/>
  <c r="I173" i="5"/>
  <c r="B4216" i="106" s="1"/>
  <c r="D4216" i="106" s="1"/>
  <c r="F26" i="108"/>
  <c r="I342" i="29"/>
  <c r="B7222" i="106" s="1"/>
  <c r="D7222" i="106" s="1"/>
  <c r="B6238" i="106"/>
  <c r="D6238" i="106" s="1"/>
  <c r="J77" i="4"/>
  <c r="B6262" i="106" s="1"/>
  <c r="D6262" i="106" s="1"/>
  <c r="B1995" i="106"/>
  <c r="D1995" i="106" s="1"/>
  <c r="I24" i="12"/>
  <c r="B1126" i="106"/>
  <c r="D1126" i="106" s="1"/>
  <c r="K28" i="118"/>
  <c r="O27" i="118" s="1"/>
  <c r="O29" i="118" s="1"/>
  <c r="L342" i="29"/>
  <c r="K26" i="12"/>
  <c r="B7743" i="106" s="1"/>
  <c r="D7743" i="106" s="1"/>
  <c r="F77" i="4"/>
  <c r="B3255" i="106" s="1"/>
  <c r="D3255" i="106" s="1"/>
  <c r="L15" i="11"/>
  <c r="B3459" i="106" s="1"/>
  <c r="D3459" i="106" s="1"/>
  <c r="D6103" i="106"/>
  <c r="E174" i="29"/>
  <c r="B1309" i="106" s="1"/>
  <c r="D1309" i="106" s="1"/>
  <c r="B3649" i="106"/>
  <c r="D3649"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J19" i="145"/>
  <c r="D82" i="36" s="1"/>
  <c r="L151" i="29"/>
  <c r="C273" i="5"/>
  <c r="J24" i="12"/>
  <c r="B7730" i="106"/>
  <c r="D7730" i="106" s="1"/>
  <c r="D274" i="5"/>
  <c r="B3447" i="106"/>
  <c r="D3447" i="106" s="1"/>
  <c r="B7270" i="106"/>
  <c r="B276" i="106" l="1"/>
  <c r="D276" i="106" s="1"/>
  <c r="M23" i="3"/>
  <c r="B280" i="106"/>
  <c r="D280" i="106" s="1"/>
  <c r="M41" i="3"/>
  <c r="B281" i="106" s="1"/>
  <c r="D281" i="106" s="1"/>
  <c r="F173" i="5"/>
  <c r="L16" i="11"/>
  <c r="B2061" i="106" s="1"/>
  <c r="D2061" i="106" s="1"/>
  <c r="B2031" i="106"/>
  <c r="D2031" i="106" s="1"/>
  <c r="C4" i="4"/>
  <c r="B2551" i="106" s="1"/>
  <c r="D2551" i="106" s="1"/>
  <c r="F41" i="108"/>
  <c r="G43" i="108" s="1"/>
  <c r="B1381" i="106"/>
  <c r="D1381" i="106" s="1"/>
  <c r="B7071" i="106"/>
  <c r="D7071" i="106" s="1"/>
  <c r="F66" i="34"/>
  <c r="L114" i="29"/>
  <c r="B5914" i="106"/>
  <c r="D5914" i="106" s="1"/>
  <c r="H151" i="29"/>
  <c r="B1273" i="106" s="1"/>
  <c r="D1273" i="106" s="1"/>
  <c r="B5527" i="106"/>
  <c r="D5527" i="106" s="1"/>
  <c r="K352" i="29"/>
  <c r="K13" i="4" s="1"/>
  <c r="B3572" i="106" s="1"/>
  <c r="D3572" i="106" s="1"/>
  <c r="F73" i="34"/>
  <c r="G15" i="4"/>
  <c r="B6032" i="106" s="1"/>
  <c r="D6032" i="106" s="1"/>
  <c r="K365" i="29"/>
  <c r="D19" i="7"/>
  <c r="B1775" i="106" s="1"/>
  <c r="D1775" i="106" s="1"/>
  <c r="J7" i="4"/>
  <c r="B1317" i="106"/>
  <c r="D1317" i="106" s="1"/>
  <c r="J16" i="4"/>
  <c r="B6226" i="106" s="1"/>
  <c r="D6226" i="106" s="1"/>
  <c r="B1365" i="106"/>
  <c r="D1365" i="106" s="1"/>
  <c r="F65" i="34"/>
  <c r="C114" i="29"/>
  <c r="B757" i="106" s="1"/>
  <c r="D757" i="106" s="1"/>
  <c r="B1996" i="106"/>
  <c r="D1996" i="106" s="1"/>
  <c r="I26" i="12"/>
  <c r="B7741" i="106" s="1"/>
  <c r="D7741" i="106" s="1"/>
  <c r="J367" i="29"/>
  <c r="B7245" i="106" s="1"/>
  <c r="D7245" i="106" s="1"/>
  <c r="B7235" i="106"/>
  <c r="D7235" i="106" s="1"/>
  <c r="B3568" i="106"/>
  <c r="D3568" i="106" s="1"/>
  <c r="D52" i="36"/>
  <c r="B3621" i="106"/>
  <c r="D3621" i="106" s="1"/>
  <c r="C367" i="29"/>
  <c r="B3622" i="106" s="1"/>
  <c r="D3622" i="106" s="1"/>
  <c r="B5214" i="106"/>
  <c r="D5214" i="106" s="1"/>
  <c r="C173" i="5"/>
  <c r="B1879" i="106"/>
  <c r="D1879" i="106" s="1"/>
  <c r="H22" i="37"/>
  <c r="B6024" i="106"/>
  <c r="D6024" i="106" s="1"/>
  <c r="G4" i="4"/>
  <c r="B2603" i="106" s="1"/>
  <c r="D2603" i="106" s="1"/>
  <c r="G173" i="5"/>
  <c r="B5770" i="106"/>
  <c r="D5770" i="106" s="1"/>
  <c r="H367" i="29"/>
  <c r="B3660" i="106" s="1"/>
  <c r="D3660" i="106" s="1"/>
  <c r="B7242" i="106"/>
  <c r="D7242" i="106" s="1"/>
  <c r="B6025" i="106"/>
  <c r="D6025" i="106" s="1"/>
  <c r="H4" i="4"/>
  <c r="B7760" i="106"/>
  <c r="D7760" i="106" s="1"/>
  <c r="D24" i="36"/>
  <c r="F178" i="34"/>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B5507" i="106"/>
  <c r="D5507" i="106" s="1"/>
  <c r="B7298" i="106"/>
  <c r="B7299" i="106"/>
  <c r="B279" i="106" l="1"/>
  <c r="D279" i="106" s="1"/>
  <c r="D54" i="36"/>
  <c r="B5653" i="106"/>
  <c r="D5653" i="106" s="1"/>
  <c r="F6" i="4"/>
  <c r="B2593" i="106" s="1"/>
  <c r="D2593" i="106" s="1"/>
  <c r="F275" i="5"/>
  <c r="B5720" i="106" s="1"/>
  <c r="D5720" i="106" s="1"/>
  <c r="B3672" i="106"/>
  <c r="D3672" i="106" s="1"/>
  <c r="K367" i="29"/>
  <c r="J17" i="4"/>
  <c r="B6227" i="106" s="1"/>
  <c r="D6227" i="106" s="1"/>
  <c r="F8" i="4"/>
  <c r="B2595" i="106" s="1"/>
  <c r="D2595" i="106" s="1"/>
  <c r="E41" i="108"/>
  <c r="E44" i="108" s="1"/>
  <c r="E45" i="108" s="1"/>
  <c r="B2655" i="106"/>
  <c r="D2655" i="106" s="1"/>
  <c r="H8" i="4"/>
  <c r="B5778" i="106"/>
  <c r="D5778" i="106" s="1"/>
  <c r="G6" i="4"/>
  <c r="B2604" i="106" s="1"/>
  <c r="D2604" i="106"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F10" i="4"/>
  <c r="B4125" i="106" s="1"/>
  <c r="D4125" i="106" s="1"/>
  <c r="D8" i="146"/>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3278" i="106"/>
  <c r="D3278" i="106" s="1"/>
  <c r="E81" i="4"/>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24" i="106" l="1"/>
  <c r="D124" i="106" s="1"/>
  <c r="D45" i="36"/>
  <c r="B170" i="106"/>
  <c r="D170" i="106" s="1"/>
  <c r="F41" i="3"/>
  <c r="B92" i="106"/>
  <c r="D92" i="106" s="1"/>
  <c r="C41" i="3"/>
  <c r="D76" i="36"/>
  <c r="B189" i="106"/>
  <c r="D189" i="106" s="1"/>
  <c r="G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93" i="106"/>
  <c r="D93" i="106" s="1"/>
  <c r="D44" i="36"/>
  <c r="B190" i="106"/>
  <c r="D190" i="106" s="1"/>
  <c r="D48"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<sst xmlns="http://schemas.openxmlformats.org/spreadsheetml/2006/main" count="5049" uniqueCount="2114">
  <si>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</si>
  <si>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</si>
  <si>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</si>
  <si>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</si>
  <si>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</si>
  <si>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</si>
  <si>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</si>
  <si>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</si>
  <si>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</si>
  <si>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</si>
  <si>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</si>
  <si>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</si>
  <si>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</si>
  <si>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</si>
  <si>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</si>
  <si>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</si>
  <si>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</si>
  <si>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</si>
  <si>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</si>
  <si>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</si>
  <si>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</si>
  <si>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</si>
  <si>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</si>
  <si>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</si>
  <si>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</si>
  <si>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</si>
  <si>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</si>
  <si>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</si>
  <si>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</si>
  <si>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</si>
  <si>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</si>
  <si>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</si>
  <si>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</si>
  <si>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</si>
  <si>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</si>
  <si>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</si>
  <si>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</si>
  <si>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</si>
  <si>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</si>
  <si>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</si>
  <si>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</si>
  <si>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</si>
  <si>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</si>
  <si>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</si>
  <si>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</si>
  <si>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</si>
  <si>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</si>
  <si>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</si>
  <si>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</si>
  <si>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</si>
  <si>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</si>
  <si>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</si>
  <si>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</si>
  <si>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</si>
  <si>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</si>
  <si>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</si>
  <si>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</si>
  <si>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</si>
  <si>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</si>
  <si>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</si>
  <si>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</si>
  <si>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</si>
  <si>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</si>
  <si>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</si>
  <si>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</si>
  <si>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</si>
  <si>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</si>
  <si>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</si>
  <si>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</si>
  <si>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</si>
  <si>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</si>
  <si>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</si>
  <si>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</si>
  <si>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</si>
  <si>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</si>
  <si>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</si>
  <si>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</si>
  <si>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</si>
  <si>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</si>
  <si>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</si>
  <si>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</si>
  <si>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</si>
  <si>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</si>
  <si>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</si>
  <si>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</si>
  <si>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</si>
  <si>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</si>
  <si>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</si>
  <si>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</si>
  <si>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</si>
  <si>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</si>
  <si>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</si>
  <si>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</si>
  <si>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</si>
  <si>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</si>
  <si>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</si>
  <si>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</si>
  <si>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</si>
  <si>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</si>
  <si>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</si>
  <si>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</si>
  <si>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</si>
  <si>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</si>
  <si>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</si>
  <si>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</si>
  <si>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</si>
  <si>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</si>
  <si>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</si>
  <si>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</si>
  <si>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</si>
  <si>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</si>
  <si>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</si>
  <si>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</si>
  <si>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</si>
  <si>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</si>
  <si>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</si>
  <si>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</si>
  <si>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</si>
  <si>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</si>
  <si>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</si>
  <si>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</si>
  <si>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</si>
  <si>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</si>
  <si>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</si>
  <si>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</si>
  <si>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</si>
  <si>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</si>
  <si>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</si>
  <si>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</si>
  <si>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</si>
  <si>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</si>
  <si>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</si>
  <si>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</si>
  <si>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</si>
  <si>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</si>
  <si>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</si>
  <si>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</si>
  <si>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</si>
  <si>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</si>
  <si>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</si>
  <si>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</si>
  <si>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</si>
  <si>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</si>
  <si>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</si>
  <si>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</si>
  <si>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</si>
  <si>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</si>
  <si>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</si>
  <si>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</si>
  <si>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</si>
  <si>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</si>
  <si>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</si>
  <si>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</si>
  <si>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</si>
  <si>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</si>
  <si>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</si>
  <si>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</si>
  <si>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</si>
  <si>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</si>
  <si>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</si>
  <si>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</si>
  <si>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</si>
  <si>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</si>
  <si>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</si>
  <si>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</si>
  <si>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</si>
  <si>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</si>
  <si>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</si>
  <si>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</si>
  <si>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</si>
  <si>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</si>
  <si>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</si>
  <si>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</si>
  <si>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</si>
  <si>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</si>
  <si>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</si>
  <si>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</si>
  <si>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</si>
  <si>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</si>
  <si>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</si>
  <si>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</si>
  <si>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</si>
  <si>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</si>
  <si>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</si>
  <si>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</si>
  <si>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</si>
  <si>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</si>
  <si>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</si>
  <si>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</si>
  <si>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</si>
  <si>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</si>
  <si>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</si>
  <si>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</si>
  <si>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</si>
  <si>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</si>
  <si>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</si>
  <si>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</si>
  <si>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</si>
  <si>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</si>
  <si>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</si>
  <si>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</si>
  <si>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</si>
  <si>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</si>
  <si>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</si>
  <si>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</si>
  <si>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</si>
  <si>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</si>
  <si>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</si>
  <si>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</si>
  <si>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</si>
  <si>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</si>
  <si>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</si>
  <si>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</si>
  <si>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</si>
  <si>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</si>
  <si>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</si>
  <si>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</si>
  <si>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</si>
  <si>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</si>
  <si>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</si>
  <si>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</si>
  <si>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</si>
  <si>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</si>
  <si>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</si>
  <si>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</si>
  <si>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</si>
  <si>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</si>
  <si>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</si>
  <si>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</si>
  <si>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</si>
  <si>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</si>
  <si>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</si>
  <si>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</si>
  <si>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</si>
  <si>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</si>
  <si>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</si>
  <si>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</si>
  <si>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</si>
  <si>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</si>
  <si>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</si>
  <si>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</si>
  <si>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</si>
  <si>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</si>
  <si>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</si>
  <si>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</si>
  <si>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</si>
  <si>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</si>
  <si>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</si>
  <si>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</si>
  <si>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</si>
  <si>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</si>
  <si>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</si>
  <si>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</si>
  <si>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</si>
  <si>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</si>
  <si>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</si>
  <si>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</si>
  <si>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</si>
  <si>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</si>
  <si>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</si>
  <si>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</si>
  <si>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</si>
  <si>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</si>
  <si>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</si>
  <si>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</si>
  <si>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</si>
  <si>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</si>
  <si>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</si>
  <si>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</si>
  <si>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</si>
  <si>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</si>
  <si>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</si>
  <si>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</si>
  <si>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</si>
  <si>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</si>
  <si>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</si>
  <si>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</si>
  <si>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</si>
  <si>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</si>
  <si>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</si>
  <si>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</si>
  <si>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</si>
  <si>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</si>
  <si>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</si>
  <si>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</si>
  <si>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</si>
  <si>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</si>
  <si>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</si>
  <si>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</si>
  <si>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</si>
  <si>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</si>
  <si>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</si>
  <si>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</si>
  <si>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</si>
  <si>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</si>
  <si>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</si>
  <si>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</si>
  <si>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</si>
  <si>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</si>
  <si>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</si>
  <si>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</si>
  <si>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</si>
  <si>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</si>
  <si>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</si>
  <si>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</si>
  <si>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</si>
  <si>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</si>
  <si>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</si>
  <si>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</si>
  <si>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</si>
  <si>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</si>
  <si>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</si>
  <si>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</si>
  <si>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</si>
  <si>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</si>
  <si>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</si>
  <si>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</si>
  <si>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</si>
  <si>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</si>
  <si>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</si>
  <si>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</si>
  <si>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</si>
  <si>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</si>
  <si>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</si>
  <si>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</si>
  <si>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</si>
  <si>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</si>
  <si>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</si>
  <si>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</si>
  <si>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</si>
  <si>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</si>
  <si>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</si>
  <si>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</si>
  <si>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</si>
  <si>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</si>
  <si>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</si>
  <si>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</si>
  <si>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</si>
  <si>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</si>
  <si>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</si>
  <si>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</si>
  <si>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</si>
  <si>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</si>
  <si>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</si>
  <si>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</si>
  <si>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</si>
  <si>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</si>
  <si>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</si>
  <si>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</si>
  <si>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</si>
  <si>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</si>
  <si>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</si>
  <si>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</si>
  <si>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</si>
  <si>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</si>
  <si>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</si>
  <si>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</si>
  <si>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</si>
  <si>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</si>
  <si>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</si>
  <si>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</si>
  <si>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</si>
  <si>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</si>
  <si>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</si>
  <si>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</si>
  <si>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</si>
  <si>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</si>
  <si>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</si>
  <si>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</si>
  <si>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</si>
  <si>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</si>
  <si>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</si>
  <si>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</si>
  <si>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</si>
  <si>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</si>
  <si>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</si>
  <si>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</si>
  <si>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</si>
  <si>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</si>
  <si>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</si>
  <si>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</si>
  <si>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</si>
  <si>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</si>
  <si>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</si>
  <si>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</si>
  <si>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</si>
  <si>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</si>
  <si>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</si>
  <si>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</si>
  <si>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</si>
  <si>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</si>
  <si>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</si>
  <si>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</si>
  <si>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</si>
  <si>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</si>
  <si>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</si>
  <si>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</si>
  <si>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</si>
  <si>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</si>
  <si>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</si>
  <si>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</si>
  <si>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</si>
  <si>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</si>
  <si>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</si>
  <si>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</si>
  <si>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</si>
  <si>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</si>
  <si>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</si>
  <si>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</si>
  <si>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</si>
  <si>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</si>
  <si>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</si>
  <si>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</si>
  <si>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</si>
  <si>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</si>
  <si>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</si>
  <si>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</si>
  <si>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</si>
  <si>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</si>
  <si>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</si>
  <si>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</si>
  <si>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</si>
  <si>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</si>
  <si>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</si>
  <si>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</si>
  <si>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</si>
  <si>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</si>
  <si>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</si>
  <si>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</si>
  <si>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</si>
  <si>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</si>
  <si>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</si>
  <si>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</si>
  <si>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</si>
  <si>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</si>
  <si>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</si>
  <si>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</si>
  <si>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</si>
  <si>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</si>
  <si>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</si>
  <si>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</si>
  <si>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</si>
  <si>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</si>
  <si>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</si>
  <si>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</si>
  <si>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</si>
  <si>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</si>
  <si>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</si>
  <si>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</si>
  <si>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</si>
  <si>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</si>
  <si>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</si>
  <si>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</si>
  <si>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</si>
  <si>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</si>
  <si>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</si>
  <si>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</si>
  <si>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</si>
  <si>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</si>
  <si>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</si>
  <si>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</si>
  <si>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</si>
  <si>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</si>
  <si>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</si>
  <si>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</si>
  <si>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</si>
  <si>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</si>
  <si>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</si>
  <si>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</si>
  <si>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</si>
  <si>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</si>
  <si>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</si>
  <si>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</si>
  <si>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</si>
  <si>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</si>
  <si>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</si>
  <si>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</si>
  <si>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</si>
  <si>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</si>
  <si>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</si>
  <si>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</si>
  <si>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</si>
  <si>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</si>
  <si>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</si>
  <si>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</si>
  <si>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</si>
  <si>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</si>
  <si>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</si>
  <si>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</si>
  <si>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</si>
  <si>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</si>
  <si>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</si>
  <si>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</si>
  <si>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</si>
  <si>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</si>
  <si>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</si>
  <si>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</si>
  <si>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</si>
  <si>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</si>
  <si>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</si>
  <si>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</si>
  <si>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</si>
  <si>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</si>
  <si>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</si>
  <si>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</si>
  <si>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</si>
  <si>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</si>
  <si>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</si>
  <si>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</si>
  <si>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</si>
  <si>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</si>
  <si>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</si>
  <si>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</si>
  <si>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</si>
  <si>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</si>
  <si>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</si>
  <si>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</si>
  <si>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</si>
  <si>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</si>
  <si>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</si>
  <si>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</si>
  <si>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</si>
  <si>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</si>
  <si>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</si>
  <si>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</si>
  <si>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</si>
  <si>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</si>
  <si>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</si>
  <si>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</si>
  <si>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</si>
  <si>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</si>
  <si>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</si>
  <si>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</si>
  <si>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</si>
  <si>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</si>
  <si>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</si>
  <si>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</si>
  <si>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</si>
  <si>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</si>
  <si>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</si>
  <si>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</si>
  <si>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</si>
  <si>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</si>
  <si>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</si>
  <si>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</si>
  <si>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</si>
  <si>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</si>
  <si>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</si>
  <si>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</si>
  <si>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</si>
  <si>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</si>
  <si>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</si>
  <si>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</si>
  <si>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</si>
  <si>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</si>
  <si>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</si>
  <si>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</si>
  <si>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</si>
  <si>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</si>
  <si>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</si>
  <si>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</si>
  <si>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</si>
  <si>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</si>
  <si>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</si>
  <si>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</si>
  <si>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</si>
  <si>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</si>
  <si>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</si>
  <si>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</si>
  <si>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</si>
  <si>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</si>
  <si>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</si>
  <si>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</si>
  <si>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</si>
  <si>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</si>
  <si>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</si>
  <si>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</si>
  <si>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</si>
  <si>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</si>
  <si>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</si>
  <si>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</si>
  <si>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</si>
  <si>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</si>
  <si>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</si>
  <si>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</si>
  <si>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</si>
  <si>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</si>
  <si>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</si>
  <si>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</si>
  <si>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</si>
  <si>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</si>
  <si>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</si>
  <si>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</si>
  <si>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</si>
  <si>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</si>
  <si>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</si>
  <si>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</si>
  <si>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</si>
  <si>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</si>
  <si>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</si>
  <si>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</si>
  <si>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</si>
  <si>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</si>
  <si>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</si>
  <si>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</si>
  <si>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</si>
  <si>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</si>
  <si>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</si>
  <si>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</si>
  <si>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</si>
  <si>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</si>
  <si>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</si>
  <si>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</si>
  <si>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</si>
  <si>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</si>
  <si>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</si>
  <si>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</si>
  <si>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</si>
  <si>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</si>
  <si>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</si>
  <si>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</si>
  <si>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</si>
  <si>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</si>
  <si>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</si>
  <si>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</si>
  <si>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</si>
  <si>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</si>
  <si>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</si>
  <si>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</si>
  <si>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</si>
  <si>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</si>
  <si>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</si>
  <si>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</si>
  <si>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</si>
  <si>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</si>
  <si>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</si>
  <si>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</si>
  <si>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</si>
  <si>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</si>
  <si>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</si>
  <si>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</si>
  <si>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</si>
  <si>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</si>
  <si>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</si>
  <si>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</si>
  <si>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</si>
  <si>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</si>
  <si>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</si>
  <si>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</si>
  <si>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</si>
  <si>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</si>
  <si>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</si>
  <si>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</si>
  <si>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</si>
  <si>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</si>
  <si>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</si>
  <si>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</si>
  <si>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</si>
  <si>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</si>
  <si>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</si>
  <si>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</si>
  <si>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</si>
  <si>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</si>
  <si>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</si>
  <si>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</si>
  <si>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</si>
  <si>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</si>
  <si>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</si>
  <si>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</si>
  <si>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</si>
  <si>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</si>
  <si>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</si>
  <si>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</si>
  <si>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</si>
  <si>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</si>
  <si>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</si>
  <si>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</si>
  <si>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</si>
  <si>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</si>
  <si>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</si>
  <si>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</si>
  <si>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</si>
  <si>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</si>
  <si>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</si>
  <si>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</si>
  <si>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</si>
  <si>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</si>
  <si>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</si>
  <si>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</si>
  <si>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</si>
  <si>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</si>
  <si>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</si>
  <si>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</si>
  <si>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</si>
  <si>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</si>
  <si>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</si>
  <si>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</si>
  <si>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</si>
  <si>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</si>
  <si>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</si>
  <si>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</si>
  <si>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</si>
  <si>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</si>
  <si>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</si>
  <si>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</si>
  <si>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</si>
  <si>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</si>
  <si>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</si>
  <si>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</si>
  <si>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</si>
  <si>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</si>
  <si>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</si>
  <si>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</si>
  <si>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</si>
  <si>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</si>
  <si>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</si>
  <si>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</si>
  <si>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</si>
  <si>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</si>
  <si>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</si>
  <si>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</si>
  <si>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</si>
  <si>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</si>
  <si>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</si>
  <si>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</si>
  <si>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</si>
  <si>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</si>
  <si>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</si>
  <si>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</si>
  <si>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</si>
  <si>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</si>
  <si>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</si>
  <si>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</si>
  <si>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</si>
  <si>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</si>
  <si>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</si>
  <si>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</si>
  <si>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</si>
  <si>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</si>
  <si>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</si>
  <si>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</si>
  <si>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</si>
  <si>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</si>
  <si>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</si>
  <si>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</si>
  <si>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</si>
  <si>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</si>
  <si>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</si>
  <si>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</si>
  <si>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</si>
  <si>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</si>
  <si>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</si>
  <si>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</si>
  <si>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</si>
  <si>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</si>
  <si>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</si>
  <si>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</si>
  <si>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</si>
  <si>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</si>
  <si>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</si>
  <si>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</si>
  <si>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</si>
  <si>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</si>
  <si>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</si>
  <si>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</si>
  <si>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</si>
  <si>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</si>
  <si>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</si>
  <si>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</si>
  <si>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</si>
  <si>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</si>
  <si>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</si>
  <si>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</si>
  <si>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</si>
  <si>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</si>
  <si>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</si>
  <si>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</si>
  <si>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</si>
  <si>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</si>
  <si>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</si>
  <si>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</si>
  <si>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</si>
  <si>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</si>
  <si>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</si>
  <si>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</si>
  <si>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</si>
  <si>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</si>
  <si>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</si>
  <si>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</si>
  <si>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</si>
  <si>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</si>
  <si>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</si>
  <si>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</si>
  <si>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</si>
  <si>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</si>
  <si>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</si>
  <si>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</si>
  <si>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</si>
  <si>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</si>
  <si>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</si>
  <si>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</si>
  <si>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</si>
  <si>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</si>
  <si>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</si>
  <si>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</si>
  <si>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</si>
  <si>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</si>
  <si>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</si>
  <si>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</si>
  <si>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</si>
  <si>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</si>
  <si>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</si>
  <si>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</si>
  <si>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</si>
  <si>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</si>
  <si>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</si>
  <si>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</si>
  <si>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</si>
  <si>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</si>
  <si>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</si>
  <si>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</si>
  <si>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</si>
  <si>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</si>
  <si>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</si>
  <si>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</si>
  <si>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</si>
  <si>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</si>
  <si>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</si>
  <si>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</si>
  <si>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</si>
  <si>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</si>
  <si>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</si>
  <si>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</si>
  <si>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</si>
  <si>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</si>
  <si>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</si>
  <si>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</si>
  <si>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</si>
  <si>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</si>
  <si>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</si>
  <si>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</si>
  <si>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</si>
  <si>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</si>
  <si>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</si>
  <si>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</si>
  <si>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</si>
  <si>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</si>
  <si>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</si>
  <si>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</si>
  <si>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</si>
  <si>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</si>
  <si>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</si>
  <si>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</si>
  <si>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</si>
  <si>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</si>
  <si>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</si>
  <si>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</si>
  <si>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</si>
  <si>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</si>
  <si>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</si>
  <si>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</si>
  <si>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</si>
  <si>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</si>
  <si>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</si>
  <si>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</si>
  <si>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</si>
  <si>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</si>
  <si>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</si>
  <si>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</si>
  <si>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</si>
  <si>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</si>
  <si>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</si>
  <si>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</si>
  <si>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</si>
  <si>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</si>
  <si>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</si>
  <si>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</si>
  <si>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</si>
  <si>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</si>
  <si>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</si>
  <si>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</si>
  <si>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</si>
  <si>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</si>
  <si>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</si>
  <si>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</si>
  <si>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</si>
  <si>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</si>
  <si>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</si>
  <si>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</si>
  <si>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</si>
  <si>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</si>
  <si>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</si>
  <si>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</si>
  <si>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</si>
  <si>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</si>
  <si>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</si>
  <si>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</si>
  <si>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</si>
  <si>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</si>
  <si>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</si>
  <si>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</si>
  <si>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</si>
  <si>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</si>
  <si>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</si>
  <si>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</si>
  <si>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</si>
  <si>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</si>
  <si>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</si>
  <si>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</si>
  <si>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</si>
  <si>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</si>
  <si>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</si>
  <si>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</si>
  <si>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</si>
  <si>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</si>
  <si>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</si>
  <si>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</si>
  <si>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</si>
  <si>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</si>
  <si>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</si>
  <si>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</si>
  <si>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</si>
  <si>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</si>
  <si>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</si>
  <si>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</si>
  <si>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</si>
  <si>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</si>
  <si>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</si>
  <si>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</si>
  <si>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</si>
  <si>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</si>
  <si>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</si>
  <si>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</si>
  <si>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</si>
  <si>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</si>
  <si>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</si>
  <si>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</si>
  <si>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</si>
  <si>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</si>
  <si>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</si>
  <si>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</si>
  <si>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</si>
  <si>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</si>
  <si>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</si>
  <si>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</si>
  <si>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</si>
  <si>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</si>
  <si>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</si>
  <si>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</si>
  <si>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</si>
  <si>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</si>
  <si>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</si>
  <si>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</si>
  <si>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</si>
  <si>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</si>
  <si>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</si>
  <si>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</si>
  <si>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</si>
  <si>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</si>
  <si>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</si>
  <si>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</si>
  <si>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</si>
  <si>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</si>
  <si>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</si>
  <si>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</si>
  <si>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</si>
  <si>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</si>
  <si>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</si>
  <si>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</si>
  <si>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</si>
  <si>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</si>
  <si>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</si>
  <si>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</si>
  <si>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</si>
  <si>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</si>
  <si>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</si>
  <si>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</si>
  <si>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</si>
  <si>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</si>
  <si>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</si>
  <si>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</si>
  <si>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</si>
  <si>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</si>
  <si>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</si>
  <si>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</si>
  <si>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</si>
  <si>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</si>
  <si>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</si>
  <si>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</si>
  <si>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</si>
  <si>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</si>
  <si>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</si>
  <si>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</si>
  <si>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</si>
  <si>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</si>
  <si>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</si>
  <si>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</si>
  <si>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</si>
  <si>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</si>
  <si>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</si>
  <si>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</si>
  <si>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</si>
  <si>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</si>
  <si>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</si>
  <si>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</si>
  <si>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</si>
  <si>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</si>
  <si>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</si>
  <si>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</si>
  <si>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</si>
  <si>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</si>
  <si>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</si>
  <si>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</si>
  <si>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</si>
  <si>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</si>
  <si>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</si>
  <si>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</si>
  <si>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</si>
  <si>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</si>
  <si>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</si>
  <si>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</si>
  <si>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</si>
  <si>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</si>
  <si>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</si>
  <si>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</si>
  <si>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</si>
  <si>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</si>
  <si>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</si>
  <si>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</si>
  <si>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</si>
  <si>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</si>
  <si>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</si>
  <si>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</si>
  <si>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</si>
  <si>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</si>
  <si>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</si>
  <si>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</si>
  <si>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</si>
  <si>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</si>
  <si>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</si>
  <si>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</si>
  <si>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</si>
  <si>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</si>
  <si>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</si>
  <si>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</si>
  <si>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</si>
  <si>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</si>
  <si>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</si>
  <si>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</si>
  <si>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</si>
  <si>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</si>
  <si>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</si>
  <si>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</si>
  <si>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</si>
  <si>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</si>
  <si>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</si>
  <si>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</si>
  <si>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</si>
  <si>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</si>
  <si>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</si>
  <si>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</si>
  <si>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</si>
  <si>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</si>
  <si>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</si>
  <si>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</si>
  <si>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</si>
  <si>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</si>
  <si>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</si>
  <si>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</si>
  <si>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</si>
  <si>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</si>
  <si>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</si>
  <si>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</si>
  <si>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</si>
  <si>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</si>
  <si>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</si>
  <si>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</si>
  <si>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</si>
  <si>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</si>
  <si>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</si>
  <si>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</si>
  <si>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</si>
  <si>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</si>
  <si>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</si>
  <si>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</si>
  <si>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</si>
  <si>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</si>
  <si>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</si>
  <si>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</si>
  <si>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</si>
  <si>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</si>
  <si>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</si>
  <si>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</si>
  <si>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</si>
  <si>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</si>
  <si>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</si>
  <si>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</si>
  <si>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</si>
  <si>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</si>
  <si>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</si>
  <si>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</si>
  <si>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</si>
  <si>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</si>
  <si>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</si>
  <si>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</si>
  <si>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</si>
  <si>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</si>
  <si>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</si>
  <si>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</si>
  <si>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</si>
  <si>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</si>
  <si>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</si>
  <si>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</si>
  <si>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</si>
  <si>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</si>
  <si>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</si>
  <si>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</si>
  <si>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</si>
  <si>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</si>
  <si>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</si>
  <si>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</si>
  <si>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</si>
  <si>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</si>
  <si>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</si>
  <si>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</si>
  <si>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</si>
  <si>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</si>
  <si>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</si>
  <si>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</si>
  <si>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</si>
  <si>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</si>
  <si>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</si>
  <si>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</si>
  <si>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</si>
  <si>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</si>
  <si>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</si>
  <si>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</si>
  <si>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</si>
  <si>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</si>
  <si>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</si>
  <si>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</si>
  <si>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</si>
  <si>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</si>
  <si>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</si>
  <si>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</si>
  <si>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</si>
  <si>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</si>
  <si>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</si>
  <si>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</si>
  <si>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</si>
  <si>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</si>
  <si>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</si>
  <si>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</si>
  <si>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</si>
  <si>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</si>
  <si>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</si>
  <si>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</si>
  <si>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</si>
  <si>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</si>
  <si>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</si>
  <si>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</si>
  <si>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</si>
  <si>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</si>
  <si>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</si>
  <si>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</si>
  <si>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</si>
  <si>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</si>
  <si>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</si>
  <si>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</si>
  <si>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</si>
  <si>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</si>
  <si>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</si>
  <si>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</si>
  <si>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</si>
  <si>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</si>
  <si>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</si>
  <si>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</si>
  <si>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</si>
  <si>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</si>
  <si>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</si>
  <si>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</si>
  <si>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</si>
  <si>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</si>
  <si>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</si>
  <si>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</si>
  <si>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</si>
  <si>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</si>
  <si>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</si>
  <si>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</si>
  <si>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</si>
  <si>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</si>
  <si>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</si>
  <si>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</si>
  <si>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</si>
  <si>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</si>
  <si>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</si>
  <si>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</si>
  <si>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</si>
  <si>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</si>
  <si>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</si>
  <si>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</si>
  <si>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</si>
  <si>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</si>
  <si>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</si>
  <si>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</si>
  <si>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</si>
  <si>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</si>
  <si>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</si>
  <si>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</si>
  <si>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</si>
  <si>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</si>
  <si>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</si>
  <si>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</si>
  <si>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</si>
  <si>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</si>
  <si>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</si>
  <si>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</si>
  <si>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</si>
  <si>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</si>
  <si>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</si>
  <si>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</si>
  <si>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</si>
  <si>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</si>
  <si>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</si>
  <si>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</si>
  <si>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</si>
  <si>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</si>
  <si>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</si>
  <si>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</si>
  <si>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</si>
  <si>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</si>
  <si>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</si>
  <si>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</si>
  <si>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</si>
  <si>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</si>
  <si>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</si>
  <si>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</si>
  <si>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</si>
  <si>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</si>
  <si>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</si>
  <si>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</si>
  <si>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</si>
  <si>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</si>
  <si>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</si>
  <si>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</si>
  <si>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</si>
  <si>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</si>
  <si>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</si>
  <si>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</si>
  <si>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</si>
  <si>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</si>
  <si>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</si>
  <si>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</si>
  <si>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</si>
  <si>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</si>
  <si>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</si>
  <si>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</si>
  <si>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</si>
  <si>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</si>
  <si>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</si>
  <si>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</si>
  <si>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</si>
  <si>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</si>
  <si>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</si>
  <si>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</si>
  <si>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</si>
  <si>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</si>
  <si>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</si>
  <si>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</si>
  <si>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</si>
  <si>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</si>
  <si>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</si>
  <si>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</si>
  <si>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</si>
  <si>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</si>
  <si>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</si>
  <si>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</si>
  <si>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</si>
  <si>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</si>
  <si>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</si>
  <si>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</si>
  <si>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</si>
  <si>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</si>
  <si>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</si>
  <si>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</si>
  <si>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</si>
  <si>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</si>
  <si>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</si>
  <si>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</si>
  <si>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</si>
  <si>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</si>
  <si>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</si>
  <si>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</si>
  <si>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</si>
  <si>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</si>
  <si>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</si>
  <si>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</si>
  <si>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</si>
  <si>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</si>
  <si>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</si>
  <si>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</si>
  <si>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</si>
  <si>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</si>
  <si>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</si>
  <si>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</si>
  <si>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</si>
  <si>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</si>
  <si>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</si>
  <si>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</si>
  <si>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</si>
  <si>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</si>
  <si>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</si>
  <si>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</si>
  <si>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</si>
  <si>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</si>
  <si>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</si>
  <si>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</si>
  <si>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</si>
  <si>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</si>
  <si>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</si>
  <si>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</si>
  <si>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</si>
  <si>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</si>
  <si>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</si>
  <si>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</si>
  <si>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</si>
  <si>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</si>
  <si>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</si>
  <si>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</si>
  <si>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</si>
  <si>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</si>
  <si>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</si>
  <si>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</si>
  <si>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</si>
  <si>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</si>
  <si>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</si>
  <si>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</si>
  <si>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</si>
  <si>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</si>
  <si>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</si>
  <si>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</si>
  <si>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</si>
  <si>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</si>
  <si>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</si>
  <si>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</si>
  <si>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</si>
  <si>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</si>
  <si>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</si>
  <si>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</si>
  <si>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</si>
  <si>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</si>
  <si>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</si>
  <si>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</si>
  <si>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</si>
  <si>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</si>
  <si>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</si>
  <si>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</si>
  <si>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</si>
  <si>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</si>
  <si>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</si>
  <si>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</si>
  <si>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</si>
  <si>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</si>
  <si>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</si>
  <si>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</si>
  <si>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</si>
  <si>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</si>
  <si>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</si>
  <si>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</si>
  <si>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</si>
  <si>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</si>
  <si>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</si>
  <si>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</si>
  <si>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</si>
  <si>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</si>
  <si>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</si>
  <si>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</si>
  <si>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</si>
  <si>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</si>
  <si>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</si>
  <si>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</si>
  <si>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</si>
  <si>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</si>
  <si>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</si>
  <si>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</si>
  <si>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</si>
  <si>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</si>
  <si>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</si>
  <si>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</si>
  <si>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</si>
  <si>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</si>
  <si>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</si>
  <si>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</si>
  <si>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</si>
  <si>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</si>
  <si>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</si>
  <si>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</si>
  <si>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</si>
  <si>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</si>
  <si>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</si>
  <si>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</si>
  <si>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</si>
  <si>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</si>
  <si>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</si>
  <si>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</si>
  <si>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</si>
  <si>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</si>
  <si>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</si>
  <si>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</si>
  <si>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</si>
  <si>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</si>
  <si>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</si>
  <si>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</si>
  <si>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</si>
  <si>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</si>
  <si>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</si>
  <si>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</si>
  <si>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</si>
  <si>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</si>
  <si>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</si>
  <si>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</si>
  <si>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</si>
  <si>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</si>
  <si>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</si>
  <si>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</si>
  <si>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</si>
  <si>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</si>
  <si>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</si>
  <si>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</si>
  <si>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</si>
  <si>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</si>
  <si>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</si>
  <si>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</si>
  <si>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</si>
  <si>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</si>
  <si>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</si>
  <si>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</si>
  <si>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</si>
  <si>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</si>
  <si>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</si>
  <si>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</si>
  <si>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</si>
  <si>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</si>
  <si>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</si>
  <si>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</si>
  <si>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</si>
  <si>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</si>
  <si>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</si>
  <si>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</si>
  <si>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</si>
  <si>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</si>
  <si>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</si>
  <si>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</si>
  <si>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</si>
  <si>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</si>
  <si>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</si>
  <si>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</si>
  <si>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</si>
  <si>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</si>
  <si>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</si>
  <si>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</si>
  <si>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</si>
  <si>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</si>
  <si>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</si>
  <si>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</si>
  <si>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</si>
  <si>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</si>
  <si>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</si>
  <si>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</si>
  <si>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</si>
  <si>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</si>
  <si>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</si>
  <si>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</si>
  <si>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</si>
  <si>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</si>
  <si>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</si>
  <si>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</si>
  <si>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</si>
  <si>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</si>
  <si>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</si>
  <si>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</si>
  <si>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</si>
  <si>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</si>
  <si>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</si>
  <si>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</si>
  <si>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</si>
  <si>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</si>
  <si>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</si>
  <si>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</si>
  <si>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</si>
  <si>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</si>
  <si>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</si>
  <si>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</si>
  <si>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</si>
  <si>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</si>
  <si>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</si>
  <si>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</si>
  <si>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</si>
  <si>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</si>
  <si>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</si>
  <si>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</si>
  <si>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</si>
  <si>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</si>
  <si>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</si>
  <si>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</si>
  <si>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</si>
  <si>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</si>
  <si>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</si>
  <si>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</si>
  <si>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</si>
  <si>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</si>
  <si>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</si>
  <si>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</si>
  <si>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</si>
  <si>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</si>
  <si>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</si>
  <si>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</si>
  <si>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</si>
  <si>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</si>
  <si>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</si>
  <si>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</si>
  <si>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</si>
  <si>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</si>
  <si>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</si>
  <si>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</si>
  <si>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</si>
  <si>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</si>
  <si>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</si>
  <si>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</si>
  <si>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</si>
  <si>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</si>
  <si>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</si>
  <si>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</si>
  <si>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</si>
  <si>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</si>
  <si>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</si>
  <si>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</si>
  <si>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</si>
  <si>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</si>
  <si>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</si>
  <si>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</si>
  <si>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</si>
  <si>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</si>
  <si>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</si>
  <si>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</si>
  <si>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</si>
  <si>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</si>
  <si>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</si>
  <si>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</si>
  <si>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</si>
  <si>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</si>
  <si>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</si>
  <si>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</si>
  <si>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</si>
  <si>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</si>
  <si>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</si>
  <si>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</si>
  <si>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</si>
  <si>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</si>
  <si>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</si>
  <si>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</si>
  <si>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</si>
  <si>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</si>
  <si>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</si>
  <si>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</si>
  <si>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</si>
  <si>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</si>
  <si>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</si>
  <si>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</si>
  <si>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</si>
  <si>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</si>
  <si>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</si>
  <si>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</si>
  <si>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</si>
  <si>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</si>
  <si>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</si>
  <si>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</si>
  <si>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</si>
  <si>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</si>
  <si>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</si>
  <si>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</si>
  <si>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</si>
  <si>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</si>
  <si>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</si>
  <si>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</si>
  <si>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</si>
  <si>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</si>
  <si>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</si>
  <si>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</si>
  <si>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</si>
  <si>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</si>
  <si>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</si>
  <si>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</si>
  <si>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</si>
  <si>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</si>
  <si>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</si>
  <si>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</si>
  <si>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</si>
  <si>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</si>
  <si>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</si>
  <si>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</si>
  <si>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</si>
  <si>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</si>
  <si>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</si>
  <si>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</si>
  <si>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</si>
  <si>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</si>
  <si>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</si>
  <si>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</si>
  <si>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</si>
  <si>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</si>
  <si>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</si>
  <si>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</si>
  <si>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</si>
  <si>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</si>
  <si>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</si>
  <si>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</si>
  <si>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</si>
  <si>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</si>
  <si>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</si>
  <si>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</si>
  <si>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</si>
  <si>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</si>
  <si>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</si>
  <si>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</si>
  <si>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</si>
  <si>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</si>
  <si>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</si>
  <si>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</si>
  <si>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</si>
  <si>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</si>
  <si>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</si>
  <si>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</si>
  <si>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</si>
  <si>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</si>
  <si>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</si>
  <si>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</si>
  <si>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</si>
  <si>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</si>
  <si>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</si>
  <si>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</si>
  <si>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</si>
  <si>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</si>
  <si>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</si>
  <si>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</si>
  <si>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</si>
  <si>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</si>
  <si>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</si>
  <si>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</si>
  <si>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</si>
  <si>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</si>
  <si>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</si>
  <si>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</si>
  <si>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</si>
  <si>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</si>
  <si>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</si>
  <si>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</si>
  <si>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</si>
  <si>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</si>
  <si>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</si>
  <si>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</si>
  <si>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</si>
  <si>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</si>
  <si>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</si>
  <si>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</si>
  <si>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</si>
  <si>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</si>
  <si>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</si>
  <si>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</si>
  <si>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</si>
  <si>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</si>
  <si>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</si>
  <si>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</si>
  <si>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</si>
  <si>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</si>
  <si>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</si>
  <si>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</si>
  <si>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</si>
  <si>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</si>
  <si>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</si>
  <si>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</si>
  <si>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</si>
  <si>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</si>
  <si>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</si>
  <si>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</si>
  <si>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</si>
  <si>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</si>
  <si>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</si>
  <si>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</si>
  <si>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</si>
  <si>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</si>
  <si>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</si>
  <si>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</si>
  <si>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</si>
  <si>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</si>
  <si>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</si>
  <si>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</si>
  <si>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</si>
  <si>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</si>
  <si>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</si>
  <si>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</si>
  <si>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</si>
  <si>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</si>
  <si>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</si>
  <si>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</si>
  <si>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</si>
  <si>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</si>
  <si>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</si>
  <si>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</si>
  <si>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</si>
  <si>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</si>
  <si>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</si>
  <si>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</si>
  <si>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</si>
  <si>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</si>
  <si>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</si>
  <si>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</si>
  <si>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</si>
  <si>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</si>
  <si>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</si>
  <si>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</si>
  <si>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</si>
  <si>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</si>
  <si>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</si>
  <si>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</si>
  <si>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</si>
  <si>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</si>
  <si>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</si>
  <si>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</si>
  <si>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</si>
  <si>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</si>
  <si>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</si>
  <si>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</si>
  <si>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</si>
  <si>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</si>
  <si>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</si>
  <si>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</si>
  <si>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</si>
  <si>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</si>
  <si>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</si>
  <si>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</si>
  <si>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</si>
  <si>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</si>
  <si>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</si>
  <si>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</si>
  <si>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</si>
  <si>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</si>
  <si>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</si>
  <si>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</si>
  <si>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</si>
  <si>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</si>
  <si>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</si>
  <si>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</si>
  <si>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</si>
  <si>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</si>
  <si>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</si>
  <si>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</si>
  <si>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</si>
  <si>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</si>
  <si>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</si>
  <si>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</si>
  <si>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</si>
  <si>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</si>
  <si>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</si>
  <si>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</si>
  <si>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</si>
  <si>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</si>
  <si>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</si>
  <si>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</si>
  <si>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</si>
  <si>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</si>
  <si>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</si>
  <si>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</si>
  <si>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</si>
  <si>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</si>
  <si>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</si>
  <si>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</si>
  <si>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</si>
  <si>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</si>
  <si>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</si>
  <si>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</si>
  <si>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</si>
  <si>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</si>
  <si>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</si>
  <si>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</si>
  <si>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</si>
  <si>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</si>
  <si>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</si>
  <si>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</si>
  <si>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</si>
  <si>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</si>
  <si>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</si>
  <si>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</si>
  <si>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</si>
  <si>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</si>
  <si>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</si>
  <si>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</si>
  <si>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</si>
  <si>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</si>
  <si>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</si>
  <si>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</si>
  <si>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</si>
  <si>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</si>
  <si>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</si>
  <si>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</si>
  <si>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</si>
  <si>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</si>
  <si>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</si>
  <si>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</si>
  <si>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</si>
  <si>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</si>
  <si>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</si>
  <si>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</si>
  <si>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</si>
  <si>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</si>
  <si>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</si>
  <si>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</si>
  <si>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</si>
  <si>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</si>
  <si>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</si>
  <si>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</si>
  <si>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</si>
  <si>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</si>
  <si>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</si>
  <si>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</si>
  <si>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</si>
  <si>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</si>
  <si>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</si>
  <si>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</si>
  <si>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</si>
  <si>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</si>
  <si>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</si>
  <si>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</si>
  <si>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</si>
  <si>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</si>
  <si>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</si>
  <si>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</si>
  <si>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</si>
  <si>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</si>
  <si>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</si>
  <si>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</si>
  <si>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</si>
  <si>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</si>
  <si>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</si>
  <si>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</si>
  <si>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</si>
  <si>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</si>
  <si>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</si>
  <si>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</si>
  <si>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</si>
  <si>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</si>
  <si>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</si>
  <si>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</si>
  <si>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</si>
  <si>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</si>
  <si>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</si>
  <si>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</si>
  <si>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</si>
  <si>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</si>
  <si>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</si>
  <si>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</si>
  <si>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</si>
  <si>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</si>
  <si>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</si>
  <si>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</si>
  <si>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</si>
  <si>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</si>
  <si>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</si>
  <si>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</si>
  <si>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</si>
  <si>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</si>
  <si>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</si>
  <si>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</si>
  <si>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</si>
  <si>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</si>
  <si>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</si>
  <si>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</si>
  <si>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</si>
  <si>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</si>
  <si>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</si>
  <si>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</si>
  <si>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</si>
  <si>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</si>
  <si>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</si>
  <si>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</si>
  <si>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</si>
  <si>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</si>
  <si>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</si>
  <si>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</si>
  <si>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</si>
  <si>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</si>
  <si>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</si>
  <si>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</si>
  <si>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</si>
  <si>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</si>
  <si>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</si>
  <si>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</si>
  <si>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</si>
  <si>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</si>
  <si>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</si>
  <si>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</si>
  <si>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</si>
  <si>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</si>
  <si>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</si>
  <si>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</si>
  <si>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</si>
  <si>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</si>
  <si>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</si>
  <si>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</si>
  <si>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</si>
  <si>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</si>
  <si>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</si>
  <si>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</si>
  <si>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</si>
  <si>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</si>
  <si>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</si>
  <si>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</si>
  <si>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</si>
  <si>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</si>
  <si>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</si>
  <si>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</si>
  <si>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</si>
  <si>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</si>
  <si>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</si>
  <si>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</si>
  <si>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</si>
  <si>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</si>
  <si>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</si>
  <si>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</si>
  <si>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</si>
  <si>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</si>
  <si>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</si>
  <si>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</si>
  <si>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</si>
  <si>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</si>
  <si>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</si>
  <si>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</si>
  <si>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</si>
  <si>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</si>
  <si>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</si>
  <si>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</si>
  <si>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</si>
  <si>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</si>
  <si>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</si>
  <si>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</si>
  <si>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</si>
  <si>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</si>
  <si>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</si>
  <si>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</si>
  <si>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</si>
  <si>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</si>
  <si>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</si>
  <si>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</si>
  <si>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</si>
  <si>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</si>
  <si>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</si>
  <si>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</si>
  <si>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</si>
  <si>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</si>
  <si>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</si>
  <si>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</si>
  <si>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</si>
  <si>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</si>
  <si>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</si>
  <si>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</si>
  <si>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</si>
  <si>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</si>
  <si>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</si>
  <si>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</si>
  <si>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</si>
  <si>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</si>
  <si>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</si>
  <si>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</si>
  <si>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</si>
  <si>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</si>
  <si>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</si>
  <si>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</si>
  <si>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</si>
  <si>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</si>
  <si>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</si>
  <si>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</si>
  <si>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</si>
  <si>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</si>
  <si>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</si>
  <si>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</si>
  <si>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</si>
  <si>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</si>
  <si>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</si>
  <si>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</si>
  <si>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</si>
  <si>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</si>
  <si>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</si>
  <si>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</si>
  <si>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</si>
  <si>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</si>
  <si>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</si>
  <si>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</si>
  <si>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</si>
  <si>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</si>
  <si>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</si>
  <si>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</si>
  <si>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</si>
  <si>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</si>
  <si>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</si>
  <si>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</si>
  <si>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</si>
  <si>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</si>
  <si>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</si>
  <si>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</si>
  <si>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</si>
  <si>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</si>
  <si>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</si>
  <si>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</si>
  <si>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</si>
  <si>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</si>
  <si>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</si>
  <si>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</si>
  <si>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</si>
  <si>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</si>
  <si>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</si>
  <si>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</si>
  <si>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</si>
  <si>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</si>
  <si>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</si>
  <si>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</si>
  <si>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</si>
  <si>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</si>
  <si>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</si>
  <si>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</si>
  <si>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</si>
  <si>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</si>
  <si>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</si>
  <si>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</si>
  <si>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</si>
  <si>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</si>
  <si>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</si>
  <si>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</si>
  <si>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</si>
  <si>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</si>
  <si>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</si>
  <si>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</si>
  <si>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</si>
  <si>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</si>
  <si>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</si>
  <si>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</si>
  <si>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</si>
  <si>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</si>
  <si>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</si>
  <si>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</si>
  <si>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</si>
  <si>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</si>
  <si>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</si>
  <si>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</si>
  <si>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</si>
  <si>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</si>
  <si>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</si>
  <si>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</si>
  <si>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</si>
  <si>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</si>
  <si>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</si>
  <si>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</si>
  <si>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</si>
  <si>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</si>
  <si>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</si>
  <si>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</si>
  <si>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</si>
  <si>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</si>
  <si>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</si>
  <si>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</si>
  <si>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</si>
  <si>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</si>
  <si>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</si>
  <si>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</si>
  <si>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</si>
  <si>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</si>
  <si>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</si>
  <si>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</si>
  <si>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</si>
  <si>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Wipfli LLP</t>
  </si>
  <si>
    <t>WINNEBAGO</t>
  </si>
  <si>
    <t>304 E MCNAIR</t>
  </si>
  <si>
    <t>X</t>
  </si>
  <si>
    <t>JOHN SCHWUCHOW</t>
  </si>
  <si>
    <t>Schwuchowj@winnebagoschools.org</t>
  </si>
  <si>
    <t>815-335-2456</t>
  </si>
  <si>
    <t>815-335-7574</t>
  </si>
  <si>
    <t>Matthew J. Schueler</t>
  </si>
  <si>
    <t>403 East 3rd Street</t>
  </si>
  <si>
    <t>Sterling</t>
  </si>
  <si>
    <t>IL</t>
  </si>
  <si>
    <t>815-626-1277</t>
  </si>
  <si>
    <t>815-626-9118</t>
  </si>
  <si>
    <t>066-004023</t>
  </si>
  <si>
    <t>mschueler@wipfli.com</t>
  </si>
  <si>
    <t>2011 - Life Safety Bonds</t>
  </si>
  <si>
    <t>2016 - Taxable G.O. Refunding School Bonds</t>
  </si>
  <si>
    <t>Notes Payable - Buses</t>
  </si>
  <si>
    <t>2017 - Limited Tax School Bonds</t>
  </si>
  <si>
    <t>2018 - Limited Tax School Bonds</t>
  </si>
  <si>
    <t>Regional Alternative Schools</t>
  </si>
  <si>
    <t>WSCEC</t>
  </si>
  <si>
    <t>Winnebago County Spec Ed Coop</t>
  </si>
  <si>
    <t>CEANCI</t>
  </si>
  <si>
    <t>Winnebago Park District</t>
  </si>
  <si>
    <t>N/A</t>
  </si>
  <si>
    <t>Long term debt principal expense does not equal long term debt retired due to payments on the ISBE loans and transportation loan.</t>
  </si>
  <si>
    <t>page 11, line 107, funtion 1999- pto grants, kids club parent payments, miscellaneous revenue</t>
  </si>
  <si>
    <t>page 15, line 41, function 2190- kids club expenses, hall monitors &amp; recess supervision</t>
  </si>
  <si>
    <t>Long term debt issue does not equal principal on long term debt sold due to  transportation loan.</t>
  </si>
  <si>
    <t>Part A #1- one individual filed their economic interest statement after the due date.  It was subsequently filed, however.  Part C #23- Qualified for general fixed asset account group not maintaining historical cost information and adverse for regulatory basis reporting and not adopting gasb 34</t>
  </si>
  <si>
    <t>Wipfli</t>
  </si>
  <si>
    <t>Bus loans</t>
  </si>
  <si>
    <t>Building/Refunding</t>
  </si>
  <si>
    <t>Winnebago CUSD 323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</si>
</sst>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49" fontId="2"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13136</xdr:rowOff>
    </xdr:to>
    <xdr:pic>
      <xdr:nvPicPr>
        <xdr:cNvPr id="4" name="Picture 3">
          <a:extLst>
            <a:ext uri="{FF2B5EF4-FFF2-40B4-BE49-F238E27FC236}">
              <a16:creationId xmlns:a16="http://schemas.microsoft.com/office/drawing/2014/main" id="{DF008A5F-C1A8-44BF-BCDE-B507354A5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C7B2001-7142-48F7-B72A-DC190E0ED2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Normal="100" workbookViewId="0">
      <selection activeCell="L32" sqref="L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2077</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4101323026</v>
      </c>
      <c r="B13" s="2003"/>
      <c r="C13" s="2003"/>
      <c r="D13" s="2003"/>
      <c r="E13" s="2003"/>
      <c r="F13" s="2003"/>
      <c r="G13" s="2003"/>
      <c r="H13" s="2004"/>
      <c r="I13" s="31"/>
      <c r="J13" s="30"/>
      <c r="K13" s="28"/>
      <c r="L13" s="30"/>
      <c r="M13" s="30"/>
      <c r="N13" s="30"/>
      <c r="O13" s="30"/>
      <c r="P13" s="30"/>
      <c r="Q13" s="30"/>
      <c r="R13" s="30"/>
      <c r="S13" s="30"/>
      <c r="T13" s="2007" t="s">
        <v>2078</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2079</v>
      </c>
      <c r="B15" s="2005"/>
      <c r="C15" s="2005"/>
      <c r="D15" s="2005"/>
      <c r="E15" s="2005"/>
      <c r="F15" s="2005"/>
      <c r="G15" s="2005"/>
      <c r="H15" s="2006"/>
      <c r="T15" s="1968" t="s">
        <v>2086</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2113</v>
      </c>
      <c r="B17" s="2030"/>
      <c r="C17" s="2030"/>
      <c r="D17" s="2030"/>
      <c r="E17" s="2030"/>
      <c r="F17" s="2030"/>
      <c r="G17" s="2030"/>
      <c r="H17" s="2031"/>
      <c r="T17" s="2017" t="s">
        <v>2087</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2080</v>
      </c>
      <c r="B19" s="2001"/>
      <c r="C19" s="2001"/>
      <c r="D19" s="2001"/>
      <c r="E19" s="2001"/>
      <c r="F19" s="2001"/>
      <c r="G19" s="2001"/>
      <c r="H19" s="1999"/>
      <c r="I19" s="30"/>
      <c r="J19" s="99"/>
      <c r="K19" s="40"/>
      <c r="L19" s="38"/>
      <c r="M19" s="112" t="s">
        <v>333</v>
      </c>
      <c r="P19" s="27"/>
      <c r="Q19" s="27"/>
      <c r="R19" s="27"/>
      <c r="S19" s="31"/>
      <c r="T19" s="2000" t="s">
        <v>2088</v>
      </c>
      <c r="U19" s="1998"/>
      <c r="V19" s="1998"/>
      <c r="W19" s="1999"/>
      <c r="X19" s="2015" t="s">
        <v>2089</v>
      </c>
      <c r="Y19" s="2016"/>
      <c r="Z19" s="2013">
        <v>61081</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2079</v>
      </c>
      <c r="B21" s="1998"/>
      <c r="C21" s="1998"/>
      <c r="D21" s="1998"/>
      <c r="E21" s="1998"/>
      <c r="F21" s="1998"/>
      <c r="G21" s="1998"/>
      <c r="H21" s="1999"/>
      <c r="I21" s="2023" t="s">
        <v>699</v>
      </c>
      <c r="J21" s="1986"/>
      <c r="K21" s="1986"/>
      <c r="L21" s="1986"/>
      <c r="M21" s="1986"/>
      <c r="N21" s="1986"/>
      <c r="O21" s="1986"/>
      <c r="P21" s="1986"/>
      <c r="Q21" s="1986"/>
      <c r="R21" s="1986"/>
      <c r="S21" s="1987"/>
      <c r="T21" s="1965" t="s">
        <v>2090</v>
      </c>
      <c r="U21" s="1966"/>
      <c r="V21" s="1966"/>
      <c r="W21" s="1966"/>
      <c r="X21" s="1979" t="s">
        <v>2091</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2092</v>
      </c>
      <c r="U23" s="1961"/>
      <c r="V23" s="1961"/>
      <c r="W23" s="1961"/>
      <c r="X23" s="1976">
        <v>43434</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61088</v>
      </c>
      <c r="B25" s="1998"/>
      <c r="C25" s="1998"/>
      <c r="D25" s="1998"/>
      <c r="E25" s="1998"/>
      <c r="F25" s="1998"/>
      <c r="G25" s="1998"/>
      <c r="H25" s="1999"/>
      <c r="I25" s="113"/>
      <c r="J25" s="2064"/>
      <c r="K25" s="2064"/>
      <c r="L25" s="2064"/>
      <c r="M25" s="2064"/>
      <c r="N25" s="2064"/>
      <c r="O25" s="2064"/>
      <c r="P25" s="2064"/>
      <c r="Q25" s="2064"/>
      <c r="R25" s="2064"/>
      <c r="S25" s="2065"/>
      <c r="T25" s="1957" t="s">
        <v>2093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2081</v>
      </c>
      <c r="C29" s="124" t="s">
        <v>874</v>
      </c>
      <c r="D29" s="114"/>
      <c r="E29" s="136"/>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2082</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2083</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2084</v>
      </c>
      <c r="B42" s="2047"/>
      <c r="C42" s="2048"/>
      <c r="D42" s="2061" t="s">
        <v>2085</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4706821</v>
      </c>
      <c r="D5" s="466">
        <v>755646</v>
      </c>
      <c r="E5" s="466">
        <v>58924</v>
      </c>
      <c r="F5" s="466">
        <v>160775</v>
      </c>
      <c r="G5" s="466">
        <v>10013</v>
      </c>
      <c r="H5" s="466"/>
      <c r="I5" s="467"/>
      <c r="J5" s="467"/>
      <c r="K5" s="1692">
        <f>SUM(C5:J5)</f>
        <v>5692179</v>
      </c>
      <c r="L5" s="466">
        <v>5688935</v>
      </c>
    </row>
    <row r="6" spans="1:14" x14ac:dyDescent="0.2">
      <c r="A6" s="1526" t="s">
        <v>1508</v>
      </c>
      <c r="B6" s="615" t="s">
        <v>1506</v>
      </c>
      <c r="C6" s="477"/>
      <c r="D6" s="477"/>
      <c r="E6" s="466"/>
      <c r="F6" s="477"/>
      <c r="G6" s="477"/>
      <c r="H6" s="477"/>
      <c r="I6" s="477"/>
      <c r="J6" s="477"/>
      <c r="K6" s="1692">
        <f>SUM(C6,E6)</f>
        <v>0</v>
      </c>
      <c r="L6" s="466">
        <v>0</v>
      </c>
    </row>
    <row r="7" spans="1:14" x14ac:dyDescent="0.2">
      <c r="A7" s="1526" t="s">
        <v>165</v>
      </c>
      <c r="B7" s="615" t="s">
        <v>1024</v>
      </c>
      <c r="C7" s="467">
        <v>58476</v>
      </c>
      <c r="D7" s="467">
        <v>10120</v>
      </c>
      <c r="E7" s="467"/>
      <c r="F7" s="467">
        <v>204</v>
      </c>
      <c r="G7" s="467"/>
      <c r="H7" s="467"/>
      <c r="I7" s="467"/>
      <c r="J7" s="467"/>
      <c r="K7" s="1692">
        <f t="shared" ref="K7:K32" si="0">SUM(C7:J7)</f>
        <v>68800</v>
      </c>
      <c r="L7" s="466">
        <v>68811</v>
      </c>
    </row>
    <row r="8" spans="1:14" x14ac:dyDescent="0.2">
      <c r="A8" s="1526" t="s">
        <v>166</v>
      </c>
      <c r="B8" s="615">
        <v>1200</v>
      </c>
      <c r="C8" s="466">
        <v>1350413</v>
      </c>
      <c r="D8" s="466">
        <v>201778</v>
      </c>
      <c r="E8" s="466">
        <v>2086</v>
      </c>
      <c r="F8" s="466">
        <v>21092</v>
      </c>
      <c r="G8" s="466">
        <v>0</v>
      </c>
      <c r="H8" s="466">
        <v>3775</v>
      </c>
      <c r="I8" s="467"/>
      <c r="J8" s="467"/>
      <c r="K8" s="1692">
        <f t="shared" si="0"/>
        <v>1579144</v>
      </c>
      <c r="L8" s="466">
        <v>1579158</v>
      </c>
    </row>
    <row r="9" spans="1:14" x14ac:dyDescent="0.2">
      <c r="A9" s="1526" t="s">
        <v>745</v>
      </c>
      <c r="B9" s="615" t="s">
        <v>1025</v>
      </c>
      <c r="C9" s="467"/>
      <c r="D9" s="467"/>
      <c r="E9" s="467"/>
      <c r="F9" s="467"/>
      <c r="G9" s="467"/>
      <c r="H9" s="467"/>
      <c r="I9" s="467"/>
      <c r="J9" s="467"/>
      <c r="K9" s="1692">
        <f t="shared" si="0"/>
        <v>0</v>
      </c>
      <c r="L9" s="466">
        <v>0</v>
      </c>
    </row>
    <row r="10" spans="1:14" x14ac:dyDescent="0.2">
      <c r="A10" s="1526" t="s">
        <v>746</v>
      </c>
      <c r="B10" s="615">
        <v>1250</v>
      </c>
      <c r="C10" s="466"/>
      <c r="D10" s="466"/>
      <c r="E10" s="466"/>
      <c r="F10" s="466">
        <v>6016</v>
      </c>
      <c r="G10" s="466"/>
      <c r="H10" s="466"/>
      <c r="I10" s="467"/>
      <c r="J10" s="467"/>
      <c r="K10" s="1692">
        <f t="shared" si="0"/>
        <v>6016</v>
      </c>
      <c r="L10" s="466">
        <v>6019</v>
      </c>
    </row>
    <row r="11" spans="1:14" x14ac:dyDescent="0.2">
      <c r="A11" s="1526" t="s">
        <v>1192</v>
      </c>
      <c r="B11" s="615" t="s">
        <v>163</v>
      </c>
      <c r="C11" s="467"/>
      <c r="D11" s="467"/>
      <c r="E11" s="467"/>
      <c r="F11" s="467"/>
      <c r="G11" s="467"/>
      <c r="H11" s="467"/>
      <c r="I11" s="467"/>
      <c r="J11" s="467"/>
      <c r="K11" s="1692">
        <f t="shared" si="0"/>
        <v>0</v>
      </c>
      <c r="L11" s="466">
        <v>0</v>
      </c>
    </row>
    <row r="12" spans="1:14" x14ac:dyDescent="0.2">
      <c r="A12" s="1526" t="s">
        <v>1019</v>
      </c>
      <c r="B12" s="615">
        <v>1300</v>
      </c>
      <c r="C12" s="466"/>
      <c r="D12" s="466"/>
      <c r="E12" s="466"/>
      <c r="F12" s="466"/>
      <c r="G12" s="466"/>
      <c r="H12" s="466"/>
      <c r="I12" s="467"/>
      <c r="J12" s="467"/>
      <c r="K12" s="1692">
        <f t="shared" si="0"/>
        <v>0</v>
      </c>
      <c r="L12" s="466">
        <v>0</v>
      </c>
    </row>
    <row r="13" spans="1:14" x14ac:dyDescent="0.2">
      <c r="A13" s="1526" t="s">
        <v>747</v>
      </c>
      <c r="B13" s="615">
        <v>1400</v>
      </c>
      <c r="C13" s="466">
        <v>165197</v>
      </c>
      <c r="D13" s="466">
        <v>21329</v>
      </c>
      <c r="E13" s="466">
        <v>5854</v>
      </c>
      <c r="F13" s="466">
        <v>13120</v>
      </c>
      <c r="G13" s="466">
        <v>0</v>
      </c>
      <c r="H13" s="466"/>
      <c r="I13" s="467"/>
      <c r="J13" s="467"/>
      <c r="K13" s="1692">
        <f t="shared" si="0"/>
        <v>205500</v>
      </c>
      <c r="L13" s="466">
        <v>205513</v>
      </c>
    </row>
    <row r="14" spans="1:14" x14ac:dyDescent="0.2">
      <c r="A14" s="1526" t="s">
        <v>1020</v>
      </c>
      <c r="B14" s="615">
        <v>1500</v>
      </c>
      <c r="C14" s="466">
        <v>292519</v>
      </c>
      <c r="D14" s="466">
        <v>24939</v>
      </c>
      <c r="E14" s="466">
        <v>85100</v>
      </c>
      <c r="F14" s="466">
        <v>20128</v>
      </c>
      <c r="G14" s="466">
        <v>14528</v>
      </c>
      <c r="H14" s="466">
        <v>19730</v>
      </c>
      <c r="I14" s="467"/>
      <c r="J14" s="467"/>
      <c r="K14" s="1692">
        <f t="shared" si="0"/>
        <v>456944</v>
      </c>
      <c r="L14" s="466">
        <v>456974</v>
      </c>
    </row>
    <row r="15" spans="1:14" x14ac:dyDescent="0.2">
      <c r="A15" s="1526" t="s">
        <v>1021</v>
      </c>
      <c r="B15" s="615">
        <v>1600</v>
      </c>
      <c r="C15" s="466"/>
      <c r="D15" s="466"/>
      <c r="E15" s="466"/>
      <c r="F15" s="466"/>
      <c r="G15" s="466"/>
      <c r="H15" s="466"/>
      <c r="I15" s="467"/>
      <c r="J15" s="467"/>
      <c r="K15" s="1692">
        <f t="shared" si="0"/>
        <v>0</v>
      </c>
      <c r="L15" s="466">
        <v>0</v>
      </c>
    </row>
    <row r="16" spans="1:14" x14ac:dyDescent="0.2">
      <c r="A16" s="1526" t="s">
        <v>1044</v>
      </c>
      <c r="B16" s="615" t="s">
        <v>444</v>
      </c>
      <c r="C16" s="466"/>
      <c r="D16" s="466"/>
      <c r="E16" s="466"/>
      <c r="F16" s="466"/>
      <c r="G16" s="466"/>
      <c r="H16" s="466"/>
      <c r="I16" s="467"/>
      <c r="J16" s="467"/>
      <c r="K16" s="1692">
        <f t="shared" si="0"/>
        <v>0</v>
      </c>
      <c r="L16" s="466">
        <v>0</v>
      </c>
    </row>
    <row r="17" spans="1:12" x14ac:dyDescent="0.2">
      <c r="A17" s="1526" t="s">
        <v>748</v>
      </c>
      <c r="B17" s="615" t="s">
        <v>164</v>
      </c>
      <c r="C17" s="467">
        <v>16153</v>
      </c>
      <c r="D17" s="467">
        <v>1124</v>
      </c>
      <c r="E17" s="467">
        <v>3465</v>
      </c>
      <c r="F17" s="467">
        <v>786</v>
      </c>
      <c r="G17" s="467"/>
      <c r="H17" s="467"/>
      <c r="I17" s="467"/>
      <c r="J17" s="467"/>
      <c r="K17" s="1692">
        <f t="shared" si="0"/>
        <v>21528</v>
      </c>
      <c r="L17" s="466">
        <v>21512</v>
      </c>
    </row>
    <row r="18" spans="1:12" x14ac:dyDescent="0.2">
      <c r="A18" s="1526" t="s">
        <v>1148</v>
      </c>
      <c r="B18" s="615">
        <v>1800</v>
      </c>
      <c r="C18" s="466">
        <v>15644</v>
      </c>
      <c r="D18" s="466">
        <v>9667</v>
      </c>
      <c r="E18" s="466"/>
      <c r="F18" s="466"/>
      <c r="G18" s="466"/>
      <c r="H18" s="466"/>
      <c r="I18" s="467"/>
      <c r="J18" s="467"/>
      <c r="K18" s="1692">
        <f t="shared" si="0"/>
        <v>25311</v>
      </c>
      <c r="L18" s="466">
        <v>25315</v>
      </c>
    </row>
    <row r="19" spans="1:12" x14ac:dyDescent="0.2">
      <c r="A19" s="1526" t="s">
        <v>136</v>
      </c>
      <c r="B19" s="615">
        <v>1900</v>
      </c>
      <c r="C19" s="466"/>
      <c r="D19" s="466"/>
      <c r="E19" s="466"/>
      <c r="F19" s="466"/>
      <c r="G19" s="466"/>
      <c r="H19" s="466"/>
      <c r="I19" s="467"/>
      <c r="J19" s="467"/>
      <c r="K19" s="1692">
        <f t="shared" si="0"/>
        <v>0</v>
      </c>
      <c r="L19" s="466">
        <v>0</v>
      </c>
    </row>
    <row r="20" spans="1:12" x14ac:dyDescent="0.2">
      <c r="A20" s="1527" t="s">
        <v>762</v>
      </c>
      <c r="B20" s="603" t="s">
        <v>749</v>
      </c>
      <c r="C20" s="477"/>
      <c r="D20" s="477"/>
      <c r="E20" s="477"/>
      <c r="F20" s="477"/>
      <c r="G20" s="477"/>
      <c r="H20" s="474"/>
      <c r="I20" s="617"/>
      <c r="J20" s="475"/>
      <c r="K20" s="1692">
        <f t="shared" si="0"/>
        <v>0</v>
      </c>
      <c r="L20" s="471">
        <v>0</v>
      </c>
    </row>
    <row r="21" spans="1:12" x14ac:dyDescent="0.2">
      <c r="A21" s="1527" t="s">
        <v>763</v>
      </c>
      <c r="B21" s="603" t="s">
        <v>750</v>
      </c>
      <c r="C21" s="477"/>
      <c r="D21" s="477"/>
      <c r="E21" s="477"/>
      <c r="F21" s="477"/>
      <c r="G21" s="477"/>
      <c r="H21" s="474"/>
      <c r="I21" s="617"/>
      <c r="J21" s="477"/>
      <c r="K21" s="1692">
        <f t="shared" si="0"/>
        <v>0</v>
      </c>
      <c r="L21" s="471">
        <v>0</v>
      </c>
    </row>
    <row r="22" spans="1:12" x14ac:dyDescent="0.2">
      <c r="A22" s="1527" t="s">
        <v>764</v>
      </c>
      <c r="B22" s="603" t="s">
        <v>751</v>
      </c>
      <c r="C22" s="477"/>
      <c r="D22" s="477"/>
      <c r="E22" s="477"/>
      <c r="F22" s="477"/>
      <c r="G22" s="477"/>
      <c r="H22" s="474"/>
      <c r="I22" s="617"/>
      <c r="J22" s="477"/>
      <c r="K22" s="1692">
        <f t="shared" si="0"/>
        <v>0</v>
      </c>
      <c r="L22" s="471">
        <v>0</v>
      </c>
    </row>
    <row r="23" spans="1:12" x14ac:dyDescent="0.2">
      <c r="A23" s="1527" t="s">
        <v>765</v>
      </c>
      <c r="B23" s="603" t="s">
        <v>752</v>
      </c>
      <c r="C23" s="477"/>
      <c r="D23" s="477"/>
      <c r="E23" s="477"/>
      <c r="F23" s="477"/>
      <c r="G23" s="477"/>
      <c r="H23" s="474"/>
      <c r="I23" s="617"/>
      <c r="J23" s="477"/>
      <c r="K23" s="1692">
        <f t="shared" si="0"/>
        <v>0</v>
      </c>
      <c r="L23" s="471">
        <v>0</v>
      </c>
    </row>
    <row r="24" spans="1:12" ht="12.75" customHeight="1" x14ac:dyDescent="0.2">
      <c r="A24" s="1527" t="s">
        <v>766</v>
      </c>
      <c r="B24" s="603" t="s">
        <v>753</v>
      </c>
      <c r="C24" s="477"/>
      <c r="D24" s="477"/>
      <c r="E24" s="477"/>
      <c r="F24" s="477"/>
      <c r="G24" s="477"/>
      <c r="H24" s="474"/>
      <c r="I24" s="617"/>
      <c r="J24" s="477"/>
      <c r="K24" s="1692">
        <f t="shared" si="0"/>
        <v>0</v>
      </c>
      <c r="L24" s="471">
        <v>0</v>
      </c>
    </row>
    <row r="25" spans="1:12" ht="12.75" customHeight="1" x14ac:dyDescent="0.2">
      <c r="A25" s="1527" t="s">
        <v>835</v>
      </c>
      <c r="B25" s="603" t="s">
        <v>754</v>
      </c>
      <c r="C25" s="477"/>
      <c r="D25" s="477"/>
      <c r="E25" s="477"/>
      <c r="F25" s="477"/>
      <c r="G25" s="477"/>
      <c r="H25" s="474"/>
      <c r="I25" s="617"/>
      <c r="J25" s="477"/>
      <c r="K25" s="1692">
        <f t="shared" si="0"/>
        <v>0</v>
      </c>
      <c r="L25" s="471">
        <v>0</v>
      </c>
    </row>
    <row r="26" spans="1:12" x14ac:dyDescent="0.2">
      <c r="A26" s="1527" t="s">
        <v>643</v>
      </c>
      <c r="B26" s="603" t="s">
        <v>755</v>
      </c>
      <c r="C26" s="477"/>
      <c r="D26" s="477"/>
      <c r="E26" s="477"/>
      <c r="F26" s="477"/>
      <c r="G26" s="477"/>
      <c r="H26" s="474"/>
      <c r="I26" s="617"/>
      <c r="J26" s="477"/>
      <c r="K26" s="1692">
        <f t="shared" si="0"/>
        <v>0</v>
      </c>
      <c r="L26" s="471">
        <v>0</v>
      </c>
    </row>
    <row r="27" spans="1:12" x14ac:dyDescent="0.2">
      <c r="A27" s="1527" t="s">
        <v>644</v>
      </c>
      <c r="B27" s="603" t="s">
        <v>756</v>
      </c>
      <c r="C27" s="477"/>
      <c r="D27" s="477"/>
      <c r="E27" s="477"/>
      <c r="F27" s="477"/>
      <c r="G27" s="477"/>
      <c r="H27" s="474"/>
      <c r="I27" s="617"/>
      <c r="J27" s="477"/>
      <c r="K27" s="1692">
        <f t="shared" si="0"/>
        <v>0</v>
      </c>
      <c r="L27" s="471">
        <v>0</v>
      </c>
    </row>
    <row r="28" spans="1:12" x14ac:dyDescent="0.2">
      <c r="A28" s="1527" t="s">
        <v>152</v>
      </c>
      <c r="B28" s="603" t="s">
        <v>757</v>
      </c>
      <c r="C28" s="477"/>
      <c r="D28" s="477"/>
      <c r="E28" s="477"/>
      <c r="F28" s="477"/>
      <c r="G28" s="477"/>
      <c r="H28" s="474"/>
      <c r="I28" s="617"/>
      <c r="J28" s="477"/>
      <c r="K28" s="1692">
        <f t="shared" si="0"/>
        <v>0</v>
      </c>
      <c r="L28" s="471">
        <v>0</v>
      </c>
    </row>
    <row r="29" spans="1:12" x14ac:dyDescent="0.2">
      <c r="A29" s="1527" t="s">
        <v>153</v>
      </c>
      <c r="B29" s="603" t="s">
        <v>758</v>
      </c>
      <c r="C29" s="477"/>
      <c r="D29" s="477"/>
      <c r="E29" s="477"/>
      <c r="F29" s="477"/>
      <c r="G29" s="477"/>
      <c r="H29" s="474"/>
      <c r="I29" s="617"/>
      <c r="J29" s="477"/>
      <c r="K29" s="1692">
        <f t="shared" si="0"/>
        <v>0</v>
      </c>
      <c r="L29" s="471">
        <v>0</v>
      </c>
    </row>
    <row r="30" spans="1:12" x14ac:dyDescent="0.2">
      <c r="A30" s="1527" t="s">
        <v>154</v>
      </c>
      <c r="B30" s="603" t="s">
        <v>759</v>
      </c>
      <c r="C30" s="477"/>
      <c r="D30" s="477"/>
      <c r="E30" s="477"/>
      <c r="F30" s="477"/>
      <c r="G30" s="477"/>
      <c r="H30" s="474"/>
      <c r="I30" s="617"/>
      <c r="J30" s="477"/>
      <c r="K30" s="1692">
        <f t="shared" si="0"/>
        <v>0</v>
      </c>
      <c r="L30" s="471">
        <v>0</v>
      </c>
    </row>
    <row r="31" spans="1:12" x14ac:dyDescent="0.2">
      <c r="A31" s="1527" t="s">
        <v>155</v>
      </c>
      <c r="B31" s="603" t="s">
        <v>760</v>
      </c>
      <c r="C31" s="477"/>
      <c r="D31" s="477"/>
      <c r="E31" s="477"/>
      <c r="F31" s="477"/>
      <c r="G31" s="477"/>
      <c r="H31" s="474"/>
      <c r="I31" s="617"/>
      <c r="J31" s="477"/>
      <c r="K31" s="1692">
        <f t="shared" si="0"/>
        <v>0</v>
      </c>
      <c r="L31" s="471">
        <v>0</v>
      </c>
    </row>
    <row r="32" spans="1:12" x14ac:dyDescent="0.2">
      <c r="A32" s="1528"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6605223</v>
      </c>
      <c r="D33" s="1691">
        <f t="shared" ref="D33:L33" si="1">SUM(D5:D32)</f>
        <v>1024603</v>
      </c>
      <c r="E33" s="1691">
        <f t="shared" si="1"/>
        <v>155429</v>
      </c>
      <c r="F33" s="1691">
        <f t="shared" si="1"/>
        <v>222121</v>
      </c>
      <c r="G33" s="1691">
        <f t="shared" si="1"/>
        <v>24541</v>
      </c>
      <c r="H33" s="1691">
        <f t="shared" si="1"/>
        <v>23505</v>
      </c>
      <c r="I33" s="1691">
        <f t="shared" si="1"/>
        <v>0</v>
      </c>
      <c r="J33" s="1691">
        <f t="shared" si="1"/>
        <v>0</v>
      </c>
      <c r="K33" s="1691">
        <f t="shared" si="1"/>
        <v>8055422</v>
      </c>
      <c r="L33" s="1691">
        <f t="shared" si="1"/>
        <v>8052237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171344</v>
      </c>
      <c r="D36" s="481">
        <v>30177</v>
      </c>
      <c r="E36" s="481">
        <v>2263</v>
      </c>
      <c r="F36" s="481">
        <v>4649</v>
      </c>
      <c r="G36" s="481"/>
      <c r="H36" s="481"/>
      <c r="I36" s="467"/>
      <c r="J36" s="467"/>
      <c r="K36" s="1692">
        <f t="shared" ref="K36:K41" si="2">SUM(C36:J36)</f>
        <v>208433</v>
      </c>
      <c r="L36" s="466">
        <v>207936</v>
      </c>
    </row>
    <row r="37" spans="1:14" x14ac:dyDescent="0.2">
      <c r="A37" s="1526" t="s">
        <v>1151</v>
      </c>
      <c r="B37" s="615">
        <v>2120</v>
      </c>
      <c r="C37" s="466">
        <v>235356</v>
      </c>
      <c r="D37" s="466">
        <v>22188</v>
      </c>
      <c r="E37" s="466"/>
      <c r="F37" s="466">
        <v>218</v>
      </c>
      <c r="G37" s="466"/>
      <c r="H37" s="466"/>
      <c r="I37" s="467"/>
      <c r="J37" s="467"/>
      <c r="K37" s="1692">
        <f t="shared" si="2"/>
        <v>257762</v>
      </c>
      <c r="L37" s="466">
        <v>257803</v>
      </c>
    </row>
    <row r="38" spans="1:14" x14ac:dyDescent="0.2">
      <c r="A38" s="1526" t="s">
        <v>207</v>
      </c>
      <c r="B38" s="615">
        <v>2130</v>
      </c>
      <c r="C38" s="466">
        <v>120449</v>
      </c>
      <c r="D38" s="466">
        <v>8531</v>
      </c>
      <c r="E38" s="466">
        <v>69</v>
      </c>
      <c r="F38" s="466">
        <v>4633</v>
      </c>
      <c r="G38" s="466"/>
      <c r="H38" s="466"/>
      <c r="I38" s="467"/>
      <c r="J38" s="467"/>
      <c r="K38" s="1692">
        <f t="shared" si="2"/>
        <v>133682</v>
      </c>
      <c r="L38" s="466">
        <v>133700</v>
      </c>
    </row>
    <row r="39" spans="1:14" x14ac:dyDescent="0.2">
      <c r="A39" s="1526" t="s">
        <v>208</v>
      </c>
      <c r="B39" s="615">
        <v>2140</v>
      </c>
      <c r="C39" s="466">
        <v>104377</v>
      </c>
      <c r="D39" s="466">
        <v>10665</v>
      </c>
      <c r="E39" s="466">
        <v>484</v>
      </c>
      <c r="F39" s="466">
        <v>2225</v>
      </c>
      <c r="G39" s="466"/>
      <c r="H39" s="466"/>
      <c r="I39" s="467"/>
      <c r="J39" s="467"/>
      <c r="K39" s="1692">
        <f t="shared" si="2"/>
        <v>117751</v>
      </c>
      <c r="L39" s="466">
        <v>117762</v>
      </c>
    </row>
    <row r="40" spans="1:14" x14ac:dyDescent="0.2">
      <c r="A40" s="1526" t="s">
        <v>209</v>
      </c>
      <c r="B40" s="615">
        <v>2150</v>
      </c>
      <c r="C40" s="466">
        <v>0</v>
      </c>
      <c r="D40" s="466">
        <v>0</v>
      </c>
      <c r="E40" s="466"/>
      <c r="F40" s="466"/>
      <c r="G40" s="466"/>
      <c r="H40" s="466"/>
      <c r="I40" s="467"/>
      <c r="J40" s="467"/>
      <c r="K40" s="1692">
        <f t="shared" si="2"/>
        <v>0</v>
      </c>
      <c r="L40" s="466">
        <v>0</v>
      </c>
    </row>
    <row r="41" spans="1:14" x14ac:dyDescent="0.2">
      <c r="A41" s="1526" t="s">
        <v>1768</v>
      </c>
      <c r="B41" s="615">
        <v>2190</v>
      </c>
      <c r="C41" s="466">
        <v>74032</v>
      </c>
      <c r="D41" s="466">
        <v>17940</v>
      </c>
      <c r="E41" s="466">
        <v>2220</v>
      </c>
      <c r="F41" s="466">
        <v>4179</v>
      </c>
      <c r="G41" s="466"/>
      <c r="H41" s="466"/>
      <c r="I41" s="467"/>
      <c r="J41" s="467"/>
      <c r="K41" s="1692">
        <f t="shared" si="2"/>
        <v>98371</v>
      </c>
      <c r="L41" s="466">
        <v>99160</v>
      </c>
    </row>
    <row r="42" spans="1:14" ht="12.75" customHeight="1" thickBot="1" x14ac:dyDescent="0.25">
      <c r="A42" s="1689" t="s">
        <v>581</v>
      </c>
      <c r="B42" s="1690" t="s">
        <v>740</v>
      </c>
      <c r="C42" s="1691">
        <f>SUM(C36:C41)</f>
        <v>705558</v>
      </c>
      <c r="D42" s="1691">
        <f t="shared" ref="D42:L42" si="3">SUM(D36:D41)</f>
        <v>89501</v>
      </c>
      <c r="E42" s="1691">
        <f t="shared" si="3"/>
        <v>5036</v>
      </c>
      <c r="F42" s="1691">
        <f t="shared" si="3"/>
        <v>15904</v>
      </c>
      <c r="G42" s="1691">
        <f t="shared" si="3"/>
        <v>0</v>
      </c>
      <c r="H42" s="1691">
        <f t="shared" si="3"/>
        <v>0</v>
      </c>
      <c r="I42" s="1691">
        <f t="shared" si="3"/>
        <v>0</v>
      </c>
      <c r="J42" s="1691">
        <f t="shared" si="3"/>
        <v>0</v>
      </c>
      <c r="K42" s="1691">
        <f t="shared" si="3"/>
        <v>815999</v>
      </c>
      <c r="L42" s="1691">
        <f t="shared" si="3"/>
        <v>816361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16116</v>
      </c>
      <c r="D44" s="481">
        <v>7096</v>
      </c>
      <c r="E44" s="481">
        <v>10884</v>
      </c>
      <c r="F44" s="481">
        <v>0</v>
      </c>
      <c r="G44" s="481"/>
      <c r="H44" s="481"/>
      <c r="I44" s="467"/>
      <c r="J44" s="467"/>
      <c r="K44" s="1693">
        <f>SUM(C44:J44)</f>
        <v>34096</v>
      </c>
      <c r="L44" s="481">
        <v>34616</v>
      </c>
    </row>
    <row r="45" spans="1:14" x14ac:dyDescent="0.2">
      <c r="A45" s="1526" t="s">
        <v>869</v>
      </c>
      <c r="B45" s="615">
        <v>2220</v>
      </c>
      <c r="C45" s="466">
        <v>351727</v>
      </c>
      <c r="D45" s="466">
        <v>88585</v>
      </c>
      <c r="E45" s="466">
        <v>155393</v>
      </c>
      <c r="F45" s="466">
        <v>91447</v>
      </c>
      <c r="G45" s="466">
        <v>214203</v>
      </c>
      <c r="H45" s="466"/>
      <c r="I45" s="467"/>
      <c r="J45" s="467"/>
      <c r="K45" s="1693">
        <f>SUM(C45:J45)</f>
        <v>901355</v>
      </c>
      <c r="L45" s="466">
        <v>900750</v>
      </c>
    </row>
    <row r="46" spans="1:14" x14ac:dyDescent="0.2">
      <c r="A46" s="1526" t="s">
        <v>870</v>
      </c>
      <c r="B46" s="615">
        <v>2230</v>
      </c>
      <c r="C46" s="466"/>
      <c r="D46" s="466"/>
      <c r="E46" s="466">
        <v>18033</v>
      </c>
      <c r="F46" s="466">
        <v>0</v>
      </c>
      <c r="G46" s="466"/>
      <c r="H46" s="466"/>
      <c r="I46" s="467"/>
      <c r="J46" s="467"/>
      <c r="K46" s="1693">
        <f>SUM(C46:J46)</f>
        <v>18033</v>
      </c>
      <c r="L46" s="466">
        <v>18035</v>
      </c>
    </row>
    <row r="47" spans="1:14" ht="12.75" customHeight="1" thickBot="1" x14ac:dyDescent="0.25">
      <c r="A47" s="1689" t="s">
        <v>582</v>
      </c>
      <c r="B47" s="1690" t="s">
        <v>32</v>
      </c>
      <c r="C47" s="1691">
        <f>SUM(C44:C46)</f>
        <v>367843</v>
      </c>
      <c r="D47" s="1691">
        <f t="shared" ref="D47:K47" si="4">SUM(D44:D46)</f>
        <v>95681</v>
      </c>
      <c r="E47" s="1691">
        <f t="shared" si="4"/>
        <v>184310</v>
      </c>
      <c r="F47" s="1691">
        <f t="shared" si="4"/>
        <v>91447</v>
      </c>
      <c r="G47" s="1691">
        <f t="shared" si="4"/>
        <v>214203</v>
      </c>
      <c r="H47" s="1691">
        <f t="shared" si="4"/>
        <v>0</v>
      </c>
      <c r="I47" s="1691">
        <f t="shared" si="4"/>
        <v>0</v>
      </c>
      <c r="J47" s="1691">
        <f t="shared" si="4"/>
        <v>0</v>
      </c>
      <c r="K47" s="1691">
        <f t="shared" si="4"/>
        <v>953484</v>
      </c>
      <c r="L47" s="1691">
        <f>SUM(L44:L46)</f>
        <v>953401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3404</v>
      </c>
      <c r="E49" s="481">
        <v>126095</v>
      </c>
      <c r="F49" s="481">
        <v>0</v>
      </c>
      <c r="G49" s="481"/>
      <c r="H49" s="481">
        <v>4403</v>
      </c>
      <c r="I49" s="467"/>
      <c r="J49" s="467"/>
      <c r="K49" s="1693">
        <f>SUM(C49:J49)</f>
        <v>133902</v>
      </c>
      <c r="L49" s="481">
        <v>496245</v>
      </c>
    </row>
    <row r="50" spans="1:14" x14ac:dyDescent="0.2">
      <c r="A50" s="1526" t="s">
        <v>872</v>
      </c>
      <c r="B50" s="615">
        <v>2320</v>
      </c>
      <c r="C50" s="466">
        <v>159612</v>
      </c>
      <c r="D50" s="466">
        <v>26807</v>
      </c>
      <c r="E50" s="466">
        <v>2618</v>
      </c>
      <c r="F50" s="466">
        <v>0</v>
      </c>
      <c r="G50" s="466"/>
      <c r="H50" s="466">
        <v>1195</v>
      </c>
      <c r="I50" s="467"/>
      <c r="J50" s="467"/>
      <c r="K50" s="1693">
        <f>SUM(C50:J50)</f>
        <v>190232</v>
      </c>
      <c r="L50" s="466">
        <v>190234</v>
      </c>
    </row>
    <row r="51" spans="1:14" x14ac:dyDescent="0.2">
      <c r="A51" s="1526" t="s">
        <v>44</v>
      </c>
      <c r="B51" s="615">
        <v>2330</v>
      </c>
      <c r="C51" s="466"/>
      <c r="D51" s="466"/>
      <c r="E51" s="466"/>
      <c r="F51" s="466"/>
      <c r="G51" s="466"/>
      <c r="H51" s="466"/>
      <c r="I51" s="467"/>
      <c r="J51" s="467"/>
      <c r="K51" s="1693">
        <f>SUM(C51:J51)</f>
        <v>0</v>
      </c>
      <c r="L51" s="466">
        <v>0</v>
      </c>
    </row>
    <row r="52" spans="1:14" ht="22.5" x14ac:dyDescent="0.2">
      <c r="A52" s="1527" t="s">
        <v>316</v>
      </c>
      <c r="B52" s="628" t="s">
        <v>384</v>
      </c>
      <c r="C52" s="474">
        <v>71604</v>
      </c>
      <c r="D52" s="474">
        <v>686</v>
      </c>
      <c r="E52" s="474"/>
      <c r="F52" s="474"/>
      <c r="G52" s="474"/>
      <c r="H52" s="474"/>
      <c r="I52" s="474"/>
      <c r="J52" s="474"/>
      <c r="K52" s="1693">
        <f>SUM(C52:J52)</f>
        <v>72290</v>
      </c>
      <c r="L52" s="474">
        <v>79420</v>
      </c>
    </row>
    <row r="53" spans="1:14" ht="12.75" customHeight="1" thickBot="1" x14ac:dyDescent="0.25">
      <c r="A53" s="1689" t="s">
        <v>741</v>
      </c>
      <c r="B53" s="1690" t="s">
        <v>33</v>
      </c>
      <c r="C53" s="1691">
        <f>SUM(C49:C52)</f>
        <v>231216</v>
      </c>
      <c r="D53" s="1691">
        <f t="shared" ref="D53:L53" si="5">SUM(D49:D52)</f>
        <v>30897</v>
      </c>
      <c r="E53" s="1691">
        <f t="shared" si="5"/>
        <v>128713</v>
      </c>
      <c r="F53" s="1691">
        <f t="shared" si="5"/>
        <v>0</v>
      </c>
      <c r="G53" s="1691">
        <f t="shared" si="5"/>
        <v>0</v>
      </c>
      <c r="H53" s="1691">
        <f t="shared" si="5"/>
        <v>5598</v>
      </c>
      <c r="I53" s="1691">
        <f t="shared" si="5"/>
        <v>0</v>
      </c>
      <c r="J53" s="1691">
        <f t="shared" si="5"/>
        <v>0</v>
      </c>
      <c r="K53" s="1691">
        <f t="shared" si="5"/>
        <v>396424</v>
      </c>
      <c r="L53" s="1691">
        <f t="shared" si="5"/>
        <v>765899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595643</v>
      </c>
      <c r="D55" s="481">
        <v>172968</v>
      </c>
      <c r="E55" s="481">
        <v>746</v>
      </c>
      <c r="F55" s="481">
        <v>712</v>
      </c>
      <c r="G55" s="481"/>
      <c r="H55" s="481">
        <v>2169</v>
      </c>
      <c r="I55" s="467"/>
      <c r="J55" s="467"/>
      <c r="K55" s="1693">
        <f>SUM(C55:J55)</f>
        <v>772238</v>
      </c>
      <c r="L55" s="481">
        <v>772932</v>
      </c>
    </row>
    <row r="56" spans="1:14" ht="12.75" customHeight="1" x14ac:dyDescent="0.2">
      <c r="A56" s="1530" t="s">
        <v>394</v>
      </c>
      <c r="B56" s="629">
        <v>2490</v>
      </c>
      <c r="C56" s="466"/>
      <c r="D56" s="466"/>
      <c r="E56" s="466"/>
      <c r="F56" s="466"/>
      <c r="G56" s="466"/>
      <c r="H56" s="466"/>
      <c r="I56" s="467"/>
      <c r="J56" s="467"/>
      <c r="K56" s="1693">
        <f>SUM(C56:J56)</f>
        <v>0</v>
      </c>
      <c r="L56" s="466">
        <v>0</v>
      </c>
    </row>
    <row r="57" spans="1:14" s="343" customFormat="1" ht="12.75" customHeight="1" thickBot="1" x14ac:dyDescent="0.25">
      <c r="A57" s="1689" t="s">
        <v>281</v>
      </c>
      <c r="B57" s="1694" t="s">
        <v>34</v>
      </c>
      <c r="C57" s="1695">
        <f>SUM(C55:C56)</f>
        <v>595643</v>
      </c>
      <c r="D57" s="1695">
        <f t="shared" ref="D57:K57" si="6">SUM(D55:D56)</f>
        <v>172968</v>
      </c>
      <c r="E57" s="1695">
        <f t="shared" si="6"/>
        <v>746</v>
      </c>
      <c r="F57" s="1695">
        <f t="shared" si="6"/>
        <v>712</v>
      </c>
      <c r="G57" s="1695">
        <f t="shared" si="6"/>
        <v>0</v>
      </c>
      <c r="H57" s="1695">
        <f t="shared" si="6"/>
        <v>2169</v>
      </c>
      <c r="I57" s="1695">
        <f t="shared" si="6"/>
        <v>0</v>
      </c>
      <c r="J57" s="1695">
        <f t="shared" si="6"/>
        <v>0</v>
      </c>
      <c r="K57" s="1695">
        <f t="shared" si="6"/>
        <v>772238</v>
      </c>
      <c r="L57" s="1691">
        <f>SUM(L55:L56)</f>
        <v>772932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6" t="s">
        <v>483</v>
      </c>
      <c r="B60" s="615">
        <v>2520</v>
      </c>
      <c r="C60" s="466">
        <v>102661</v>
      </c>
      <c r="D60" s="466">
        <v>15327</v>
      </c>
      <c r="E60" s="466">
        <v>34253</v>
      </c>
      <c r="F60" s="466">
        <v>2655</v>
      </c>
      <c r="G60" s="466"/>
      <c r="H60" s="466"/>
      <c r="I60" s="467"/>
      <c r="J60" s="467"/>
      <c r="K60" s="1693">
        <f t="shared" si="7"/>
        <v>154896</v>
      </c>
      <c r="L60" s="466">
        <v>154408</v>
      </c>
      <c r="M60" s="610"/>
      <c r="N60" s="610"/>
    </row>
    <row r="61" spans="1:14" s="343" customFormat="1" x14ac:dyDescent="0.2">
      <c r="A61" s="1526" t="s">
        <v>206</v>
      </c>
      <c r="B61" s="615">
        <v>2540</v>
      </c>
      <c r="C61" s="466"/>
      <c r="D61" s="466"/>
      <c r="E61" s="466"/>
      <c r="F61" s="466"/>
      <c r="G61" s="466"/>
      <c r="H61" s="466"/>
      <c r="I61" s="467"/>
      <c r="J61" s="467"/>
      <c r="K61" s="1693">
        <f t="shared" si="7"/>
        <v>0</v>
      </c>
      <c r="L61" s="466">
        <v>0</v>
      </c>
      <c r="M61" s="610"/>
      <c r="N61" s="610"/>
    </row>
    <row r="62" spans="1:14" s="343" customFormat="1" x14ac:dyDescent="0.2">
      <c r="A62" s="1526" t="s">
        <v>1010</v>
      </c>
      <c r="B62" s="615">
        <v>2550</v>
      </c>
      <c r="C62" s="466"/>
      <c r="D62" s="466"/>
      <c r="E62" s="466"/>
      <c r="F62" s="466"/>
      <c r="G62" s="466"/>
      <c r="H62" s="466"/>
      <c r="I62" s="467"/>
      <c r="J62" s="467"/>
      <c r="K62" s="1693">
        <f t="shared" si="7"/>
        <v>0</v>
      </c>
      <c r="L62" s="466">
        <v>0</v>
      </c>
      <c r="M62" s="610"/>
      <c r="N62" s="610"/>
    </row>
    <row r="63" spans="1:14" s="610" customFormat="1" x14ac:dyDescent="0.2">
      <c r="A63" s="1526" t="s">
        <v>102</v>
      </c>
      <c r="B63" s="615">
        <v>2560</v>
      </c>
      <c r="C63" s="466">
        <v>191330</v>
      </c>
      <c r="D63" s="466">
        <v>22570</v>
      </c>
      <c r="E63" s="466">
        <v>5846</v>
      </c>
      <c r="F63" s="466">
        <v>217584</v>
      </c>
      <c r="G63" s="466">
        <v>424</v>
      </c>
      <c r="H63" s="466">
        <v>4109</v>
      </c>
      <c r="I63" s="467"/>
      <c r="J63" s="467"/>
      <c r="K63" s="1693">
        <f t="shared" si="7"/>
        <v>441863</v>
      </c>
      <c r="L63" s="466">
        <v>442143</v>
      </c>
    </row>
    <row r="64" spans="1:14" s="610" customFormat="1" x14ac:dyDescent="0.2">
      <c r="A64" s="1531"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743</v>
      </c>
      <c r="B65" s="1690" t="s">
        <v>35</v>
      </c>
      <c r="C65" s="1691">
        <f>SUM(C59:C64)</f>
        <v>293991</v>
      </c>
      <c r="D65" s="1691">
        <f t="shared" ref="D65:L65" si="8">SUM(D59:D64)</f>
        <v>37897</v>
      </c>
      <c r="E65" s="1691">
        <f t="shared" si="8"/>
        <v>40099</v>
      </c>
      <c r="F65" s="1691">
        <f t="shared" si="8"/>
        <v>220239</v>
      </c>
      <c r="G65" s="1691">
        <f t="shared" si="8"/>
        <v>424</v>
      </c>
      <c r="H65" s="1691">
        <f t="shared" si="8"/>
        <v>4109</v>
      </c>
      <c r="I65" s="1691">
        <f t="shared" si="8"/>
        <v>0</v>
      </c>
      <c r="J65" s="1691">
        <f t="shared" si="8"/>
        <v>0</v>
      </c>
      <c r="K65" s="1691">
        <f t="shared" si="8"/>
        <v>596759</v>
      </c>
      <c r="L65" s="1691">
        <f t="shared" si="8"/>
        <v>596551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v>0</v>
      </c>
      <c r="M67" s="610"/>
      <c r="N67" s="610"/>
    </row>
    <row r="68" spans="1:14" s="343" customFormat="1" x14ac:dyDescent="0.2">
      <c r="A68" s="1526" t="s">
        <v>628</v>
      </c>
      <c r="B68" s="615">
        <v>2620</v>
      </c>
      <c r="C68" s="466"/>
      <c r="D68" s="466"/>
      <c r="E68" s="466"/>
      <c r="F68" s="466"/>
      <c r="G68" s="466"/>
      <c r="H68" s="466"/>
      <c r="I68" s="467"/>
      <c r="J68" s="467"/>
      <c r="K68" s="1693">
        <f>SUM(C68:J68)</f>
        <v>0</v>
      </c>
      <c r="L68" s="466">
        <v>0</v>
      </c>
      <c r="M68" s="610"/>
      <c r="N68" s="610"/>
    </row>
    <row r="69" spans="1:14" s="343" customFormat="1" x14ac:dyDescent="0.2">
      <c r="A69" s="1526" t="s">
        <v>1121</v>
      </c>
      <c r="B69" s="615">
        <v>2630</v>
      </c>
      <c r="C69" s="466">
        <v>2529</v>
      </c>
      <c r="D69" s="466"/>
      <c r="E69" s="466"/>
      <c r="F69" s="466">
        <v>70</v>
      </c>
      <c r="G69" s="466"/>
      <c r="H69" s="466"/>
      <c r="I69" s="467"/>
      <c r="J69" s="467"/>
      <c r="K69" s="1693">
        <f>SUM(C69:J69)</f>
        <v>2599</v>
      </c>
      <c r="L69" s="466">
        <v>2615</v>
      </c>
      <c r="M69" s="610"/>
      <c r="N69" s="610"/>
    </row>
    <row r="70" spans="1:14" s="343" customFormat="1" x14ac:dyDescent="0.2">
      <c r="A70" s="1526" t="s">
        <v>423</v>
      </c>
      <c r="B70" s="615">
        <v>2640</v>
      </c>
      <c r="C70" s="466"/>
      <c r="D70" s="466"/>
      <c r="E70" s="466">
        <v>100</v>
      </c>
      <c r="F70" s="466"/>
      <c r="G70" s="466"/>
      <c r="H70" s="466"/>
      <c r="I70" s="467"/>
      <c r="J70" s="467"/>
      <c r="K70" s="1693">
        <f>SUM(C70:J70)</f>
        <v>100</v>
      </c>
      <c r="L70" s="466">
        <v>100</v>
      </c>
      <c r="M70" s="610"/>
      <c r="N70" s="610"/>
    </row>
    <row r="71" spans="1:14" s="343" customFormat="1" x14ac:dyDescent="0.2">
      <c r="A71" s="1526"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2529</v>
      </c>
      <c r="D72" s="1691">
        <f t="shared" ref="D72:K72" si="9">SUM(D67:D71)</f>
        <v>0</v>
      </c>
      <c r="E72" s="1691">
        <f t="shared" si="9"/>
        <v>100</v>
      </c>
      <c r="F72" s="1691">
        <f t="shared" si="9"/>
        <v>70</v>
      </c>
      <c r="G72" s="1691">
        <f t="shared" si="9"/>
        <v>0</v>
      </c>
      <c r="H72" s="1691">
        <f t="shared" si="9"/>
        <v>0</v>
      </c>
      <c r="I72" s="1691">
        <f t="shared" si="9"/>
        <v>0</v>
      </c>
      <c r="J72" s="1691">
        <f t="shared" si="9"/>
        <v>0</v>
      </c>
      <c r="K72" s="1691">
        <f t="shared" si="9"/>
        <v>2699</v>
      </c>
      <c r="L72" s="1691">
        <f>SUM(L67:L71)</f>
        <v>2715</v>
      </c>
      <c r="M72" s="610"/>
      <c r="N72" s="610"/>
    </row>
    <row r="73" spans="1:14" s="343" customFormat="1" ht="14.25" thickTop="1" thickBot="1" x14ac:dyDescent="0.25">
      <c r="A73" s="1532" t="s">
        <v>1037</v>
      </c>
      <c r="B73" s="633" t="s">
        <v>595</v>
      </c>
      <c r="C73" s="573"/>
      <c r="D73" s="573"/>
      <c r="E73" s="573">
        <v>95673</v>
      </c>
      <c r="F73" s="573"/>
      <c r="G73" s="573"/>
      <c r="H73" s="573"/>
      <c r="I73" s="531"/>
      <c r="J73" s="531"/>
      <c r="K73" s="1691">
        <f>SUM(C73:J73)</f>
        <v>95673</v>
      </c>
      <c r="L73" s="576">
        <v>95675</v>
      </c>
      <c r="M73" s="610"/>
      <c r="N73" s="610"/>
    </row>
    <row r="74" spans="1:14" ht="12.75" customHeight="1" thickTop="1" thickBot="1" x14ac:dyDescent="0.25">
      <c r="A74" s="1689" t="s">
        <v>865</v>
      </c>
      <c r="B74" s="1697">
        <v>2000</v>
      </c>
      <c r="C74" s="1698">
        <f>SUM(C42,C47,C53,C57,C65,C72,C73)</f>
        <v>2196780</v>
      </c>
      <c r="D74" s="1698">
        <f t="shared" ref="D74:K74" si="10">SUM(D42,D47,D53,D57,D65,D72,D73)</f>
        <v>426944</v>
      </c>
      <c r="E74" s="1698">
        <f t="shared" si="10"/>
        <v>454677</v>
      </c>
      <c r="F74" s="1698">
        <f t="shared" si="10"/>
        <v>328372</v>
      </c>
      <c r="G74" s="1698">
        <f t="shared" si="10"/>
        <v>214627</v>
      </c>
      <c r="H74" s="1698">
        <f t="shared" si="10"/>
        <v>11876</v>
      </c>
      <c r="I74" s="1698">
        <f t="shared" si="10"/>
        <v>0</v>
      </c>
      <c r="J74" s="1698">
        <f t="shared" si="10"/>
        <v>0</v>
      </c>
      <c r="K74" s="1698">
        <f t="shared" si="10"/>
        <v>3633276</v>
      </c>
      <c r="L74" s="1698">
        <f>SUM(L42,L47,L53,L57,L65,L72,L73)</f>
        <v>4003534</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110083</v>
      </c>
      <c r="I78" s="477"/>
      <c r="J78" s="477"/>
      <c r="K78" s="1692">
        <f t="shared" ref="K78:K83" si="11">SUM(C78:J78)</f>
        <v>110083</v>
      </c>
      <c r="L78" s="481">
        <v>110085</v>
      </c>
    </row>
    <row r="79" spans="1:14" x14ac:dyDescent="0.2">
      <c r="A79" s="1526" t="s">
        <v>322</v>
      </c>
      <c r="B79" s="615">
        <v>4120</v>
      </c>
      <c r="C79" s="617"/>
      <c r="D79" s="617"/>
      <c r="E79" s="466"/>
      <c r="F79" s="617"/>
      <c r="G79" s="617"/>
      <c r="H79" s="466">
        <v>914799</v>
      </c>
      <c r="I79" s="477"/>
      <c r="J79" s="477"/>
      <c r="K79" s="1692">
        <f t="shared" si="11"/>
        <v>914799</v>
      </c>
      <c r="L79" s="466">
        <v>914800</v>
      </c>
    </row>
    <row r="80" spans="1:14" x14ac:dyDescent="0.2">
      <c r="A80" s="1526" t="s">
        <v>323</v>
      </c>
      <c r="B80" s="615">
        <v>4130</v>
      </c>
      <c r="C80" s="617"/>
      <c r="D80" s="617"/>
      <c r="E80" s="466"/>
      <c r="F80" s="617"/>
      <c r="G80" s="617"/>
      <c r="H80" s="466"/>
      <c r="I80" s="477"/>
      <c r="J80" s="477"/>
      <c r="K80" s="1692">
        <f t="shared" si="11"/>
        <v>0</v>
      </c>
      <c r="L80" s="466">
        <v>0</v>
      </c>
    </row>
    <row r="81" spans="1:12" x14ac:dyDescent="0.2">
      <c r="A81" s="1526" t="s">
        <v>721</v>
      </c>
      <c r="B81" s="615">
        <v>4140</v>
      </c>
      <c r="C81" s="617"/>
      <c r="D81" s="617"/>
      <c r="E81" s="466"/>
      <c r="F81" s="617"/>
      <c r="G81" s="617"/>
      <c r="H81" s="466"/>
      <c r="I81" s="477"/>
      <c r="J81" s="477"/>
      <c r="K81" s="1692">
        <f t="shared" si="11"/>
        <v>0</v>
      </c>
      <c r="L81" s="466">
        <v>0</v>
      </c>
    </row>
    <row r="82" spans="1:12" x14ac:dyDescent="0.2">
      <c r="A82" s="1526" t="s">
        <v>88</v>
      </c>
      <c r="B82" s="615">
        <v>4170</v>
      </c>
      <c r="C82" s="617"/>
      <c r="D82" s="617"/>
      <c r="E82" s="466"/>
      <c r="F82" s="617"/>
      <c r="G82" s="617"/>
      <c r="H82" s="466"/>
      <c r="I82" s="477"/>
      <c r="J82" s="477"/>
      <c r="K82" s="1692">
        <f t="shared" si="11"/>
        <v>0</v>
      </c>
      <c r="L82" s="466">
        <v>0</v>
      </c>
    </row>
    <row r="83" spans="1:12" x14ac:dyDescent="0.2">
      <c r="A83" s="1530"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1024882</v>
      </c>
      <c r="I84" s="477"/>
      <c r="J84" s="477"/>
      <c r="K84" s="1691">
        <f>SUM(K78:K83)</f>
        <v>1024882</v>
      </c>
      <c r="L84" s="1691">
        <f>SUM(L78:L83)</f>
        <v>1024885</v>
      </c>
    </row>
    <row r="85" spans="1:12" ht="12.75" customHeight="1" thickTop="1" thickBot="1" x14ac:dyDescent="0.25">
      <c r="A85" s="1533" t="s">
        <v>273</v>
      </c>
      <c r="B85" s="636">
        <v>4210</v>
      </c>
      <c r="C85" s="617"/>
      <c r="D85" s="617"/>
      <c r="E85" s="637"/>
      <c r="F85" s="617"/>
      <c r="G85" s="617"/>
      <c r="H85" s="535"/>
      <c r="I85" s="477"/>
      <c r="J85" s="477"/>
      <c r="K85" s="1698">
        <f>H85</f>
        <v>0</v>
      </c>
      <c r="L85" s="530">
        <v>0</v>
      </c>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v>0</v>
      </c>
    </row>
    <row r="87" spans="1:12" ht="14.25" thickTop="1" thickBot="1" x14ac:dyDescent="0.25">
      <c r="A87" s="1535" t="s">
        <v>724</v>
      </c>
      <c r="B87" s="640">
        <v>4230</v>
      </c>
      <c r="C87" s="617"/>
      <c r="D87" s="617"/>
      <c r="E87" s="639"/>
      <c r="F87" s="617"/>
      <c r="G87" s="617"/>
      <c r="H87" s="467"/>
      <c r="I87" s="477"/>
      <c r="J87" s="477"/>
      <c r="K87" s="1698">
        <f t="shared" si="12"/>
        <v>0</v>
      </c>
      <c r="L87" s="530">
        <v>0</v>
      </c>
    </row>
    <row r="88" spans="1:12" ht="12.75" customHeight="1" thickTop="1" thickBot="1" x14ac:dyDescent="0.25">
      <c r="A88" s="1535" t="s">
        <v>789</v>
      </c>
      <c r="B88" s="640">
        <v>4240</v>
      </c>
      <c r="C88" s="617"/>
      <c r="D88" s="617"/>
      <c r="E88" s="639"/>
      <c r="F88" s="617"/>
      <c r="G88" s="617"/>
      <c r="H88" s="467"/>
      <c r="I88" s="477"/>
      <c r="J88" s="477"/>
      <c r="K88" s="1698">
        <f t="shared" si="12"/>
        <v>0</v>
      </c>
      <c r="L88" s="530">
        <v>0</v>
      </c>
    </row>
    <row r="89" spans="1:12" ht="12.75" customHeight="1" thickTop="1" thickBot="1" x14ac:dyDescent="0.25">
      <c r="A89" s="1535" t="s">
        <v>725</v>
      </c>
      <c r="B89" s="640">
        <v>4270</v>
      </c>
      <c r="C89" s="617"/>
      <c r="D89" s="617"/>
      <c r="E89" s="639"/>
      <c r="F89" s="617"/>
      <c r="G89" s="617"/>
      <c r="H89" s="467"/>
      <c r="I89" s="477"/>
      <c r="J89" s="477"/>
      <c r="K89" s="1698">
        <f t="shared" si="12"/>
        <v>0</v>
      </c>
      <c r="L89" s="530">
        <v>0</v>
      </c>
    </row>
    <row r="90" spans="1:12" ht="12.75" customHeight="1" thickTop="1" thickBot="1" x14ac:dyDescent="0.25">
      <c r="A90" s="1535" t="s">
        <v>710</v>
      </c>
      <c r="B90" s="640">
        <v>4280</v>
      </c>
      <c r="C90" s="617"/>
      <c r="D90" s="617"/>
      <c r="E90" s="639"/>
      <c r="F90" s="617"/>
      <c r="G90" s="617"/>
      <c r="H90" s="467"/>
      <c r="I90" s="477"/>
      <c r="J90" s="477"/>
      <c r="K90" s="1698">
        <f t="shared" si="12"/>
        <v>0</v>
      </c>
      <c r="L90" s="530">
        <v>0</v>
      </c>
    </row>
    <row r="91" spans="1:12" ht="12.75" customHeight="1" thickTop="1" thickBot="1" x14ac:dyDescent="0.25">
      <c r="A91" s="1535"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v>0</v>
      </c>
    </row>
    <row r="94" spans="1:12" ht="12.75" customHeight="1" thickTop="1" thickBot="1" x14ac:dyDescent="0.25">
      <c r="A94" s="1535" t="s">
        <v>713</v>
      </c>
      <c r="B94" s="640">
        <v>4320</v>
      </c>
      <c r="C94" s="617"/>
      <c r="D94" s="617"/>
      <c r="E94" s="639"/>
      <c r="F94" s="617"/>
      <c r="G94" s="617"/>
      <c r="H94" s="467"/>
      <c r="I94" s="477"/>
      <c r="J94" s="477"/>
      <c r="K94" s="1698">
        <f t="shared" si="12"/>
        <v>0</v>
      </c>
      <c r="L94" s="530">
        <v>0</v>
      </c>
    </row>
    <row r="95" spans="1:12" ht="15" customHeight="1" thickTop="1" thickBot="1" x14ac:dyDescent="0.25">
      <c r="A95" s="1535" t="s">
        <v>1568</v>
      </c>
      <c r="B95" s="640">
        <v>4330</v>
      </c>
      <c r="C95" s="617"/>
      <c r="D95" s="617"/>
      <c r="E95" s="639"/>
      <c r="F95" s="617"/>
      <c r="G95" s="617"/>
      <c r="H95" s="467"/>
      <c r="I95" s="477"/>
      <c r="J95" s="477"/>
      <c r="K95" s="1698">
        <f t="shared" si="12"/>
        <v>0</v>
      </c>
      <c r="L95" s="530">
        <v>0</v>
      </c>
    </row>
    <row r="96" spans="1:12" ht="14.25" thickTop="1" thickBot="1" x14ac:dyDescent="0.25">
      <c r="A96" s="1535" t="s">
        <v>714</v>
      </c>
      <c r="B96" s="640">
        <v>4340</v>
      </c>
      <c r="C96" s="617"/>
      <c r="D96" s="617"/>
      <c r="E96" s="639"/>
      <c r="F96" s="617"/>
      <c r="G96" s="617"/>
      <c r="H96" s="467"/>
      <c r="I96" s="477"/>
      <c r="J96" s="477"/>
      <c r="K96" s="1698">
        <f t="shared" si="12"/>
        <v>0</v>
      </c>
      <c r="L96" s="530">
        <v>0</v>
      </c>
    </row>
    <row r="97" spans="1:14" ht="12.75" customHeight="1" thickTop="1" thickBot="1" x14ac:dyDescent="0.25">
      <c r="A97" s="1535" t="s">
        <v>787</v>
      </c>
      <c r="B97" s="640">
        <v>4370</v>
      </c>
      <c r="C97" s="617"/>
      <c r="D97" s="617"/>
      <c r="E97" s="639"/>
      <c r="F97" s="617"/>
      <c r="G97" s="617"/>
      <c r="H97" s="467"/>
      <c r="I97" s="477"/>
      <c r="J97" s="477"/>
      <c r="K97" s="1698">
        <f t="shared" si="12"/>
        <v>0</v>
      </c>
      <c r="L97" s="530">
        <v>0</v>
      </c>
    </row>
    <row r="98" spans="1:14" ht="14.25" thickTop="1" thickBot="1" x14ac:dyDescent="0.25">
      <c r="A98" s="1535" t="s">
        <v>788</v>
      </c>
      <c r="B98" s="640">
        <v>4380</v>
      </c>
      <c r="C98" s="617"/>
      <c r="D98" s="617"/>
      <c r="E98" s="643"/>
      <c r="F98" s="617"/>
      <c r="G98" s="617"/>
      <c r="H98" s="467"/>
      <c r="I98" s="477"/>
      <c r="J98" s="477"/>
      <c r="K98" s="1698">
        <f t="shared" si="12"/>
        <v>0</v>
      </c>
      <c r="L98" s="530">
        <v>0</v>
      </c>
    </row>
    <row r="99" spans="1:14" ht="14.25" thickTop="1" thickBot="1" x14ac:dyDescent="0.25">
      <c r="A99" s="1535"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1024882</v>
      </c>
      <c r="I102" s="477"/>
      <c r="J102" s="477"/>
      <c r="K102" s="1698">
        <f>SUM(K84,K92,K100,K101)</f>
        <v>1024882</v>
      </c>
      <c r="L102" s="1698">
        <f>SUM(L84,L92,L100,L101)</f>
        <v>1024885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v>0</v>
      </c>
      <c r="M105" s="210"/>
      <c r="N105" s="210"/>
    </row>
    <row r="106" spans="1:14" s="598" customFormat="1" x14ac:dyDescent="0.2">
      <c r="A106" s="1526"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8802003</v>
      </c>
      <c r="D114" s="1691">
        <f t="shared" ref="D114:K114" si="13">SUM(D33,D74,D75,D102,D112,D113)</f>
        <v>1451547</v>
      </c>
      <c r="E114" s="1691">
        <f t="shared" si="13"/>
        <v>610106</v>
      </c>
      <c r="F114" s="1691">
        <f t="shared" si="13"/>
        <v>550493</v>
      </c>
      <c r="G114" s="1691">
        <f t="shared" si="13"/>
        <v>239168</v>
      </c>
      <c r="H114" s="1691">
        <f>SUM(H33,H74,H75,H102,H112,H113)</f>
        <v>1060263</v>
      </c>
      <c r="I114" s="1691">
        <f t="shared" si="13"/>
        <v>0</v>
      </c>
      <c r="J114" s="1691">
        <f t="shared" si="13"/>
        <v>0</v>
      </c>
      <c r="K114" s="1691">
        <f t="shared" si="13"/>
        <v>12713580</v>
      </c>
      <c r="L114" s="1691">
        <f>SUM(L33,L74,L75,L102,L112,L113)</f>
        <v>13080656</v>
      </c>
    </row>
    <row r="115" spans="1:14" ht="13.5" thickTop="1" x14ac:dyDescent="0.2">
      <c r="A115" s="2197" t="s">
        <v>1053</v>
      </c>
      <c r="B115" s="2198"/>
      <c r="C115" s="619"/>
      <c r="D115" s="619"/>
      <c r="E115" s="619"/>
      <c r="F115" s="619"/>
      <c r="G115" s="619"/>
      <c r="H115" s="619"/>
      <c r="I115" s="619"/>
      <c r="J115" s="619"/>
      <c r="K115" s="1705">
        <f>'Revenues 9-14'!C275-'Expenditures 15-22'!K114</f>
        <v>411181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v>0</v>
      </c>
    </row>
    <row r="123" spans="1:14" ht="14.25" thickTop="1" thickBot="1" x14ac:dyDescent="0.25">
      <c r="A123" s="1526" t="s">
        <v>4</v>
      </c>
      <c r="B123" s="615">
        <v>2530</v>
      </c>
      <c r="C123" s="466">
        <v>1025</v>
      </c>
      <c r="D123" s="466">
        <v>186</v>
      </c>
      <c r="E123" s="466">
        <v>10145</v>
      </c>
      <c r="F123" s="466">
        <v>1077</v>
      </c>
      <c r="G123" s="466">
        <v>7588</v>
      </c>
      <c r="H123" s="466"/>
      <c r="I123" s="467"/>
      <c r="J123" s="467"/>
      <c r="K123" s="1691">
        <f>SUM(C123:J123)</f>
        <v>20021</v>
      </c>
      <c r="L123" s="466">
        <v>20021</v>
      </c>
    </row>
    <row r="124" spans="1:14" ht="14.25" thickTop="1" thickBot="1" x14ac:dyDescent="0.25">
      <c r="A124" s="1526" t="s">
        <v>206</v>
      </c>
      <c r="B124" s="615">
        <v>2540</v>
      </c>
      <c r="C124" s="466">
        <v>565625</v>
      </c>
      <c r="D124" s="466">
        <v>103159</v>
      </c>
      <c r="E124" s="466">
        <v>290579</v>
      </c>
      <c r="F124" s="466">
        <v>398658</v>
      </c>
      <c r="G124" s="466">
        <v>9556</v>
      </c>
      <c r="H124" s="466">
        <v>1236</v>
      </c>
      <c r="I124" s="467"/>
      <c r="J124" s="467"/>
      <c r="K124" s="1691">
        <f>SUM(C124:J124)</f>
        <v>1368813</v>
      </c>
      <c r="L124" s="466">
        <v>1367692</v>
      </c>
    </row>
    <row r="125" spans="1:14" ht="14.25" thickTop="1" thickBot="1" x14ac:dyDescent="0.25">
      <c r="A125" s="1526" t="s">
        <v>1010</v>
      </c>
      <c r="B125" s="615">
        <v>2550</v>
      </c>
      <c r="C125" s="466"/>
      <c r="D125" s="466"/>
      <c r="E125" s="466"/>
      <c r="F125" s="466"/>
      <c r="G125" s="466"/>
      <c r="H125" s="466"/>
      <c r="I125" s="467"/>
      <c r="J125" s="467"/>
      <c r="K125" s="1691">
        <f>SUM(C125:J125)</f>
        <v>0</v>
      </c>
      <c r="L125" s="466">
        <v>0</v>
      </c>
    </row>
    <row r="126" spans="1:14" ht="14.25" thickTop="1" thickBot="1" x14ac:dyDescent="0.25">
      <c r="A126" s="1526"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566650</v>
      </c>
      <c r="D127" s="1691">
        <f t="shared" ref="D127:L127" si="14">SUM(D122:D126)</f>
        <v>103345</v>
      </c>
      <c r="E127" s="1691">
        <f t="shared" si="14"/>
        <v>300724</v>
      </c>
      <c r="F127" s="1691">
        <f t="shared" si="14"/>
        <v>399735</v>
      </c>
      <c r="G127" s="1691">
        <f t="shared" si="14"/>
        <v>17144</v>
      </c>
      <c r="H127" s="1691">
        <f t="shared" si="14"/>
        <v>1236</v>
      </c>
      <c r="I127" s="1691">
        <f t="shared" si="14"/>
        <v>0</v>
      </c>
      <c r="J127" s="1691">
        <f t="shared" si="14"/>
        <v>0</v>
      </c>
      <c r="K127" s="1691">
        <f t="shared" si="14"/>
        <v>1388834</v>
      </c>
      <c r="L127" s="1691">
        <f t="shared" si="14"/>
        <v>1387713</v>
      </c>
    </row>
    <row r="128" spans="1:14" ht="12.75" customHeight="1" thickTop="1" x14ac:dyDescent="0.2">
      <c r="A128" s="1533"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566650</v>
      </c>
      <c r="D129" s="1698">
        <f t="shared" ref="D129:L129" si="15">SUM(D120,D127,D128)</f>
        <v>103345</v>
      </c>
      <c r="E129" s="1698">
        <f t="shared" si="15"/>
        <v>300724</v>
      </c>
      <c r="F129" s="1698">
        <f t="shared" si="15"/>
        <v>399735</v>
      </c>
      <c r="G129" s="1698">
        <f t="shared" si="15"/>
        <v>17144</v>
      </c>
      <c r="H129" s="1698">
        <f t="shared" si="15"/>
        <v>1236</v>
      </c>
      <c r="I129" s="1698">
        <f t="shared" si="15"/>
        <v>0</v>
      </c>
      <c r="J129" s="1698">
        <f t="shared" si="15"/>
        <v>0</v>
      </c>
      <c r="K129" s="1698">
        <f t="shared" si="15"/>
        <v>1388834</v>
      </c>
      <c r="L129" s="1698">
        <f t="shared" si="15"/>
        <v>1387713</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v>0</v>
      </c>
      <c r="M133" s="206"/>
      <c r="N133" s="206"/>
    </row>
    <row r="134" spans="1:14" x14ac:dyDescent="0.2">
      <c r="A134" s="1526" t="s">
        <v>322</v>
      </c>
      <c r="B134" s="615">
        <v>4120</v>
      </c>
      <c r="C134" s="617"/>
      <c r="D134" s="617"/>
      <c r="E134" s="478"/>
      <c r="F134" s="617"/>
      <c r="G134" s="617"/>
      <c r="H134" s="481"/>
      <c r="I134" s="477"/>
      <c r="J134" s="617"/>
      <c r="K134" s="1693">
        <f>SUM(E134,H134)</f>
        <v>0</v>
      </c>
      <c r="L134" s="481">
        <v>0</v>
      </c>
    </row>
    <row r="135" spans="1:14" x14ac:dyDescent="0.2">
      <c r="A135" s="1526" t="s">
        <v>721</v>
      </c>
      <c r="B135" s="615">
        <v>4140</v>
      </c>
      <c r="C135" s="617"/>
      <c r="D135" s="617"/>
      <c r="E135" s="467"/>
      <c r="F135" s="617"/>
      <c r="G135" s="617"/>
      <c r="H135" s="466"/>
      <c r="I135" s="477"/>
      <c r="J135" s="617"/>
      <c r="K135" s="1693">
        <f>SUM(E135,H135)</f>
        <v>0</v>
      </c>
      <c r="L135" s="466">
        <v>0</v>
      </c>
    </row>
    <row r="136" spans="1:14" x14ac:dyDescent="0.2">
      <c r="A136" s="1530"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v>0</v>
      </c>
    </row>
    <row r="143" spans="1:14" x14ac:dyDescent="0.2">
      <c r="A143" s="1526" t="s">
        <v>90</v>
      </c>
      <c r="B143" s="615">
        <v>5120</v>
      </c>
      <c r="C143" s="617"/>
      <c r="D143" s="617"/>
      <c r="E143" s="617"/>
      <c r="F143" s="617"/>
      <c r="G143" s="617"/>
      <c r="H143" s="466"/>
      <c r="I143" s="468"/>
      <c r="J143" s="617"/>
      <c r="K143" s="1693">
        <f>SUM(H143)</f>
        <v>0</v>
      </c>
      <c r="L143" s="466">
        <v>0</v>
      </c>
    </row>
    <row r="144" spans="1:14" ht="12.75" customHeight="1" x14ac:dyDescent="0.2">
      <c r="A144" s="1526" t="s">
        <v>1232</v>
      </c>
      <c r="B144" s="629" t="s">
        <v>638</v>
      </c>
      <c r="C144" s="617"/>
      <c r="D144" s="617"/>
      <c r="E144" s="617"/>
      <c r="F144" s="617"/>
      <c r="G144" s="617"/>
      <c r="H144" s="466"/>
      <c r="I144" s="468"/>
      <c r="J144" s="617"/>
      <c r="K144" s="1693">
        <f>SUM(H144)</f>
        <v>0</v>
      </c>
      <c r="L144" s="466">
        <v>0</v>
      </c>
    </row>
    <row r="145" spans="1:14" x14ac:dyDescent="0.2">
      <c r="A145" s="1526" t="s">
        <v>91</v>
      </c>
      <c r="B145" s="615" t="s">
        <v>610</v>
      </c>
      <c r="C145" s="617"/>
      <c r="D145" s="617"/>
      <c r="E145" s="617"/>
      <c r="F145" s="617"/>
      <c r="G145" s="617"/>
      <c r="H145" s="466"/>
      <c r="I145" s="468"/>
      <c r="J145" s="617"/>
      <c r="K145" s="1693">
        <f>SUM(H145)</f>
        <v>0</v>
      </c>
      <c r="L145" s="466">
        <v>0</v>
      </c>
    </row>
    <row r="146" spans="1:14" ht="12.75" customHeight="1" x14ac:dyDescent="0.2">
      <c r="A146" s="1526" t="s">
        <v>640</v>
      </c>
      <c r="B146" s="615" t="s">
        <v>639</v>
      </c>
      <c r="C146" s="617"/>
      <c r="D146" s="617"/>
      <c r="E146" s="617"/>
      <c r="F146" s="617"/>
      <c r="G146" s="617"/>
      <c r="H146" s="466"/>
      <c r="I146" s="468"/>
      <c r="J146" s="617"/>
      <c r="K146" s="1693">
        <f>SUM(H146)</f>
        <v>0</v>
      </c>
      <c r="L146" s="466">
        <v>0</v>
      </c>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7" t="s">
        <v>641</v>
      </c>
      <c r="B151" s="2169"/>
      <c r="C151" s="1691">
        <f>SUM(C129,C130,C139,C149,C150)</f>
        <v>566650</v>
      </c>
      <c r="D151" s="1691">
        <f t="shared" ref="D151:K151" si="16">SUM(D129,D130,D139,D149,D150)</f>
        <v>103345</v>
      </c>
      <c r="E151" s="1691">
        <f t="shared" si="16"/>
        <v>300724</v>
      </c>
      <c r="F151" s="1691">
        <f t="shared" si="16"/>
        <v>399735</v>
      </c>
      <c r="G151" s="1691">
        <f t="shared" si="16"/>
        <v>17144</v>
      </c>
      <c r="H151" s="1691">
        <f t="shared" si="16"/>
        <v>1236</v>
      </c>
      <c r="I151" s="1691">
        <f t="shared" si="16"/>
        <v>0</v>
      </c>
      <c r="J151" s="1691">
        <f t="shared" si="16"/>
        <v>0</v>
      </c>
      <c r="K151" s="1691">
        <f t="shared" si="16"/>
        <v>1388834</v>
      </c>
      <c r="L151" s="1691">
        <f>SUM(L129,L130,L139,L149,L150)</f>
        <v>1387713</v>
      </c>
    </row>
    <row r="152" spans="1:14" ht="12.75" customHeight="1" thickTop="1" x14ac:dyDescent="0.2">
      <c r="A152" s="2190" t="s">
        <v>1240</v>
      </c>
      <c r="B152" s="2191"/>
      <c r="C152" s="619"/>
      <c r="D152" s="619"/>
      <c r="E152" s="619"/>
      <c r="F152" s="619"/>
      <c r="G152" s="619"/>
      <c r="H152" s="619"/>
      <c r="I152" s="619"/>
      <c r="J152" s="617"/>
      <c r="K152" s="1705">
        <f>'Revenues 9-14'!D275-'Expenditures 15-22'!K151</f>
        <v>-160400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v>0</v>
      </c>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v>0</v>
      </c>
    </row>
    <row r="164" spans="1:14" x14ac:dyDescent="0.2">
      <c r="A164" s="1526" t="s">
        <v>90</v>
      </c>
      <c r="B164" s="615">
        <v>5120</v>
      </c>
      <c r="C164" s="617"/>
      <c r="D164" s="617"/>
      <c r="E164" s="617"/>
      <c r="F164" s="617"/>
      <c r="G164" s="617"/>
      <c r="H164" s="466"/>
      <c r="I164" s="617"/>
      <c r="J164" s="617"/>
      <c r="K164" s="1692">
        <f>SUM(C164:J164)</f>
        <v>0</v>
      </c>
      <c r="L164" s="466">
        <v>0</v>
      </c>
    </row>
    <row r="165" spans="1:14" ht="12.75" customHeight="1" x14ac:dyDescent="0.2">
      <c r="A165" s="1526" t="s">
        <v>1232</v>
      </c>
      <c r="B165" s="615" t="s">
        <v>638</v>
      </c>
      <c r="C165" s="617"/>
      <c r="D165" s="617"/>
      <c r="E165" s="617"/>
      <c r="F165" s="617"/>
      <c r="G165" s="617"/>
      <c r="H165" s="466"/>
      <c r="I165" s="617"/>
      <c r="J165" s="617"/>
      <c r="K165" s="1692">
        <f>SUM(C165:J165)</f>
        <v>0</v>
      </c>
      <c r="L165" s="466">
        <v>0</v>
      </c>
    </row>
    <row r="166" spans="1:14" x14ac:dyDescent="0.2">
      <c r="A166" s="1526" t="s">
        <v>91</v>
      </c>
      <c r="B166" s="629" t="s">
        <v>610</v>
      </c>
      <c r="C166" s="617"/>
      <c r="D166" s="617"/>
      <c r="E166" s="617"/>
      <c r="F166" s="617"/>
      <c r="G166" s="617"/>
      <c r="H166" s="466"/>
      <c r="I166" s="617"/>
      <c r="J166" s="617"/>
      <c r="K166" s="1692">
        <f>SUM(C166:J166)</f>
        <v>0</v>
      </c>
      <c r="L166" s="466">
        <v>0</v>
      </c>
    </row>
    <row r="167" spans="1:14" ht="12.75" customHeight="1" x14ac:dyDescent="0.2">
      <c r="A167" s="1526"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295119</v>
      </c>
      <c r="I169" s="617"/>
      <c r="J169" s="617"/>
      <c r="K169" s="1692">
        <f>SUM(C169:H169)</f>
        <v>295119</v>
      </c>
      <c r="L169" s="657">
        <v>67591</v>
      </c>
    </row>
    <row r="170" spans="1:14" ht="33.75" customHeight="1" x14ac:dyDescent="0.2">
      <c r="A170" s="670" t="s">
        <v>1769</v>
      </c>
      <c r="B170" s="672" t="s">
        <v>31</v>
      </c>
      <c r="C170" s="617"/>
      <c r="D170" s="617"/>
      <c r="E170" s="617"/>
      <c r="F170" s="617"/>
      <c r="G170" s="617"/>
      <c r="H170" s="569">
        <v>1159100</v>
      </c>
      <c r="I170" s="617"/>
      <c r="J170" s="617"/>
      <c r="K170" s="1692">
        <f>SUM(C170:J170)</f>
        <v>1159100</v>
      </c>
      <c r="L170" s="569">
        <v>1159100</v>
      </c>
    </row>
    <row r="171" spans="1:14" ht="15.75" customHeight="1" x14ac:dyDescent="0.2">
      <c r="A171" s="622" t="s">
        <v>790</v>
      </c>
      <c r="B171" s="673" t="s">
        <v>86</v>
      </c>
      <c r="C171" s="617"/>
      <c r="D171" s="617"/>
      <c r="E171" s="466"/>
      <c r="F171" s="617"/>
      <c r="G171" s="617"/>
      <c r="H171" s="569"/>
      <c r="I171" s="477"/>
      <c r="J171" s="617"/>
      <c r="K171" s="1692">
        <f>SUM(C171:J171)</f>
        <v>0</v>
      </c>
      <c r="L171" s="569">
        <v>227500</v>
      </c>
    </row>
    <row r="172" spans="1:14" ht="12.75" customHeight="1" thickBot="1" x14ac:dyDescent="0.25">
      <c r="A172" s="1689" t="s">
        <v>659</v>
      </c>
      <c r="B172" s="1690" t="s">
        <v>513</v>
      </c>
      <c r="C172" s="617"/>
      <c r="D172" s="617"/>
      <c r="E172" s="1698">
        <f>SUM(E168,E169,E170,E171)</f>
        <v>0</v>
      </c>
      <c r="F172" s="617"/>
      <c r="G172" s="617"/>
      <c r="H172" s="1698">
        <f>SUM(H168,H169,H170,H171)</f>
        <v>1454219</v>
      </c>
      <c r="I172" s="639"/>
      <c r="J172" s="617"/>
      <c r="K172" s="1698">
        <f>SUM(K168,K169,K170,K171)</f>
        <v>1454219</v>
      </c>
      <c r="L172" s="1698">
        <f>SUM(L168,L169,L170,L171)</f>
        <v>1454191</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1454219</v>
      </c>
      <c r="I174" s="639"/>
      <c r="J174" s="617"/>
      <c r="K174" s="1698">
        <f>SUM(K160,K172,K173)</f>
        <v>1454219</v>
      </c>
      <c r="L174" s="1698">
        <f>SUM(L160,L172,L173)</f>
        <v>1454191</v>
      </c>
    </row>
    <row r="175" spans="1:14" ht="13.5" thickTop="1" x14ac:dyDescent="0.2">
      <c r="A175" s="2197" t="s">
        <v>1053</v>
      </c>
      <c r="B175" s="2198"/>
      <c r="C175" s="617"/>
      <c r="D175" s="617"/>
      <c r="E175" s="617"/>
      <c r="F175" s="617"/>
      <c r="G175" s="617"/>
      <c r="H175" s="619"/>
      <c r="I175" s="617"/>
      <c r="J175" s="617"/>
      <c r="K175" s="1705">
        <f>'Revenues 9-14'!E275-'Expenditures 15-22'!K174</f>
        <v>-713969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333502</v>
      </c>
      <c r="D182" s="466">
        <v>26461</v>
      </c>
      <c r="E182" s="466">
        <v>25238</v>
      </c>
      <c r="F182" s="466">
        <v>70344</v>
      </c>
      <c r="G182" s="466">
        <v>2068014</v>
      </c>
      <c r="H182" s="466">
        <v>6661</v>
      </c>
      <c r="I182" s="467"/>
      <c r="J182" s="467"/>
      <c r="K182" s="1692">
        <f>SUM(C182:J182)</f>
        <v>2530220</v>
      </c>
      <c r="L182" s="466">
        <v>2531352</v>
      </c>
    </row>
    <row r="183" spans="1:14" ht="12.75" customHeight="1" thickBot="1" x14ac:dyDescent="0.25">
      <c r="A183" s="1531"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333502</v>
      </c>
      <c r="D184" s="1698">
        <f t="shared" ref="D184:J184" si="17">SUM(D180,D182,D183)</f>
        <v>26461</v>
      </c>
      <c r="E184" s="1698">
        <f t="shared" si="17"/>
        <v>25238</v>
      </c>
      <c r="F184" s="1698">
        <f t="shared" si="17"/>
        <v>70344</v>
      </c>
      <c r="G184" s="1698">
        <f t="shared" si="17"/>
        <v>2068014</v>
      </c>
      <c r="H184" s="1698">
        <f t="shared" si="17"/>
        <v>6661</v>
      </c>
      <c r="I184" s="1698">
        <f t="shared" si="17"/>
        <v>0</v>
      </c>
      <c r="J184" s="1698">
        <f t="shared" si="17"/>
        <v>0</v>
      </c>
      <c r="K184" s="1698">
        <f>SUM(K180,K182,K183)</f>
        <v>2530220</v>
      </c>
      <c r="L184" s="1698">
        <f>SUM(L180, L182:L183)</f>
        <v>2531352</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v>0</v>
      </c>
    </row>
    <row r="189" spans="1:14" x14ac:dyDescent="0.2">
      <c r="A189" s="1526" t="s">
        <v>322</v>
      </c>
      <c r="B189" s="615">
        <v>4120</v>
      </c>
      <c r="C189" s="617"/>
      <c r="D189" s="617"/>
      <c r="E189" s="466"/>
      <c r="F189" s="617"/>
      <c r="G189" s="617"/>
      <c r="H189" s="466"/>
      <c r="I189" s="477"/>
      <c r="J189" s="617"/>
      <c r="K189" s="1692">
        <f t="shared" si="18"/>
        <v>0</v>
      </c>
      <c r="L189" s="466">
        <v>0</v>
      </c>
    </row>
    <row r="190" spans="1:14" x14ac:dyDescent="0.2">
      <c r="A190" s="1526" t="s">
        <v>323</v>
      </c>
      <c r="B190" s="629">
        <v>4130</v>
      </c>
      <c r="C190" s="617"/>
      <c r="D190" s="617"/>
      <c r="E190" s="466"/>
      <c r="F190" s="617"/>
      <c r="G190" s="617"/>
      <c r="H190" s="466"/>
      <c r="I190" s="477"/>
      <c r="J190" s="617"/>
      <c r="K190" s="1692">
        <f t="shared" si="18"/>
        <v>0</v>
      </c>
      <c r="L190" s="466">
        <v>0</v>
      </c>
    </row>
    <row r="191" spans="1:14" x14ac:dyDescent="0.2">
      <c r="A191" s="1526" t="s">
        <v>721</v>
      </c>
      <c r="B191" s="615">
        <v>4140</v>
      </c>
      <c r="C191" s="617"/>
      <c r="D191" s="617"/>
      <c r="E191" s="466"/>
      <c r="F191" s="617"/>
      <c r="G191" s="617"/>
      <c r="H191" s="466"/>
      <c r="I191" s="477"/>
      <c r="J191" s="617"/>
      <c r="K191" s="1692">
        <f t="shared" si="18"/>
        <v>0</v>
      </c>
      <c r="L191" s="466">
        <v>0</v>
      </c>
    </row>
    <row r="192" spans="1:14" x14ac:dyDescent="0.2">
      <c r="A192" s="1526" t="s">
        <v>88</v>
      </c>
      <c r="B192" s="615">
        <v>4170</v>
      </c>
      <c r="C192" s="617"/>
      <c r="D192" s="617"/>
      <c r="E192" s="466"/>
      <c r="F192" s="617"/>
      <c r="G192" s="617"/>
      <c r="H192" s="466"/>
      <c r="I192" s="477"/>
      <c r="J192" s="617"/>
      <c r="K192" s="1692">
        <f t="shared" si="18"/>
        <v>0</v>
      </c>
      <c r="L192" s="466">
        <v>0</v>
      </c>
    </row>
    <row r="193" spans="1:14" x14ac:dyDescent="0.2">
      <c r="A193" s="1530"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v>0</v>
      </c>
    </row>
    <row r="200" spans="1:14" x14ac:dyDescent="0.2">
      <c r="A200" s="1526" t="s">
        <v>90</v>
      </c>
      <c r="B200" s="615">
        <v>5120</v>
      </c>
      <c r="C200" s="617"/>
      <c r="D200" s="617"/>
      <c r="E200" s="617"/>
      <c r="F200" s="617"/>
      <c r="G200" s="617"/>
      <c r="H200" s="466"/>
      <c r="I200" s="617"/>
      <c r="J200" s="617"/>
      <c r="K200" s="1692">
        <f>SUM(H200)</f>
        <v>0</v>
      </c>
      <c r="L200" s="466">
        <v>0</v>
      </c>
    </row>
    <row r="201" spans="1:14" ht="12.75" customHeight="1" x14ac:dyDescent="0.2">
      <c r="A201" s="1526" t="s">
        <v>1232</v>
      </c>
      <c r="B201" s="629" t="s">
        <v>638</v>
      </c>
      <c r="C201" s="617"/>
      <c r="D201" s="617"/>
      <c r="E201" s="617"/>
      <c r="F201" s="617"/>
      <c r="G201" s="617"/>
      <c r="H201" s="466"/>
      <c r="I201" s="617"/>
      <c r="J201" s="617"/>
      <c r="K201" s="1692">
        <f>SUM(H201)</f>
        <v>0</v>
      </c>
      <c r="L201" s="466">
        <v>0</v>
      </c>
    </row>
    <row r="202" spans="1:14" x14ac:dyDescent="0.2">
      <c r="A202" s="1526" t="s">
        <v>91</v>
      </c>
      <c r="B202" s="615" t="s">
        <v>610</v>
      </c>
      <c r="C202" s="617"/>
      <c r="D202" s="617"/>
      <c r="E202" s="617"/>
      <c r="F202" s="617"/>
      <c r="G202" s="617"/>
      <c r="H202" s="466"/>
      <c r="I202" s="617"/>
      <c r="J202" s="617"/>
      <c r="K202" s="1692">
        <f>SUM(H202)</f>
        <v>0</v>
      </c>
      <c r="L202" s="466">
        <v>0</v>
      </c>
    </row>
    <row r="203" spans="1:14" x14ac:dyDescent="0.2">
      <c r="A203" s="1538"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19756</v>
      </c>
      <c r="I205" s="617"/>
      <c r="J205" s="617"/>
      <c r="K205" s="1706">
        <f>SUM(H205)</f>
        <v>19756</v>
      </c>
      <c r="L205" s="535">
        <v>19755</v>
      </c>
    </row>
    <row r="206" spans="1:14" ht="30" customHeight="1" x14ac:dyDescent="0.2">
      <c r="A206" s="682" t="s">
        <v>1770</v>
      </c>
      <c r="B206" s="673" t="s">
        <v>31</v>
      </c>
      <c r="C206" s="617"/>
      <c r="D206" s="617"/>
      <c r="E206" s="617"/>
      <c r="F206" s="617"/>
      <c r="G206" s="617"/>
      <c r="H206" s="466">
        <v>246940</v>
      </c>
      <c r="I206" s="617"/>
      <c r="J206" s="617"/>
      <c r="K206" s="1692">
        <f>SUM(H206)</f>
        <v>246940</v>
      </c>
      <c r="L206" s="466">
        <v>246940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266696</v>
      </c>
      <c r="I208" s="617"/>
      <c r="J208" s="617"/>
      <c r="K208" s="1698">
        <f>SUM(K204,K205,K206,K207)</f>
        <v>266696</v>
      </c>
      <c r="L208" s="1698">
        <f>SUM(L204,L205,L206,L207)</f>
        <v>266695</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333502</v>
      </c>
      <c r="D210" s="1691">
        <f>SUM(D184,D185)</f>
        <v>26461</v>
      </c>
      <c r="E210" s="1691">
        <f>SUM(E184,E185,E196)</f>
        <v>25238</v>
      </c>
      <c r="F210" s="1691">
        <f>SUM(F184,F185)</f>
        <v>70344</v>
      </c>
      <c r="G210" s="1691">
        <f>SUM(G184,G185)</f>
        <v>2068014</v>
      </c>
      <c r="H210" s="1691">
        <f>SUM(H184,H185,H196,H208,H209)</f>
        <v>273357</v>
      </c>
      <c r="I210" s="1691">
        <f>SUM(I184,I185)</f>
        <v>0</v>
      </c>
      <c r="J210" s="1691">
        <f>SUM(J184,J185)</f>
        <v>0</v>
      </c>
      <c r="K210" s="1692">
        <f>SUM(K184,K185,K196,K208,K209)</f>
        <v>2796916</v>
      </c>
      <c r="L210" s="1691">
        <f>SUM(L184,L185,L196,L208,L209)</f>
        <v>2798047</v>
      </c>
    </row>
    <row r="211" spans="1:14" ht="13.5" thickTop="1" x14ac:dyDescent="0.2">
      <c r="A211" s="2197" t="s">
        <v>1053</v>
      </c>
      <c r="B211" s="2198"/>
      <c r="C211" s="619"/>
      <c r="D211" s="619"/>
      <c r="E211" s="619"/>
      <c r="F211" s="619"/>
      <c r="G211" s="619"/>
      <c r="H211" s="619"/>
      <c r="I211" s="617"/>
      <c r="J211" s="617"/>
      <c r="K211" s="1705">
        <f>'Revenues 9-14'!F275-'Expenditures 15-22'!K210</f>
        <v>-842600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96797</v>
      </c>
      <c r="E215" s="617"/>
      <c r="F215" s="617"/>
      <c r="G215" s="617"/>
      <c r="H215" s="617"/>
      <c r="I215" s="617"/>
      <c r="J215" s="617"/>
      <c r="K215" s="1692">
        <f>D215</f>
        <v>96797</v>
      </c>
      <c r="L215" s="466">
        <v>62055</v>
      </c>
    </row>
    <row r="216" spans="1:14" x14ac:dyDescent="0.2">
      <c r="A216" s="1526" t="s">
        <v>165</v>
      </c>
      <c r="B216" s="615" t="s">
        <v>1024</v>
      </c>
      <c r="C216" s="617"/>
      <c r="D216" s="467">
        <v>744</v>
      </c>
      <c r="E216" s="617"/>
      <c r="F216" s="617"/>
      <c r="G216" s="617"/>
      <c r="H216" s="617"/>
      <c r="I216" s="617"/>
      <c r="J216" s="617"/>
      <c r="K216" s="1692">
        <f t="shared" ref="K216:K228" si="19">D216</f>
        <v>744</v>
      </c>
      <c r="L216" s="466">
        <v>30859</v>
      </c>
    </row>
    <row r="217" spans="1:14" x14ac:dyDescent="0.2">
      <c r="A217" s="1526" t="s">
        <v>166</v>
      </c>
      <c r="B217" s="615">
        <v>1200</v>
      </c>
      <c r="C217" s="617"/>
      <c r="D217" s="466">
        <v>68621</v>
      </c>
      <c r="E217" s="617"/>
      <c r="F217" s="617"/>
      <c r="G217" s="617"/>
      <c r="H217" s="617"/>
      <c r="I217" s="617"/>
      <c r="J217" s="617"/>
      <c r="K217" s="1692">
        <f t="shared" si="19"/>
        <v>68621</v>
      </c>
      <c r="L217" s="466">
        <v>73250</v>
      </c>
    </row>
    <row r="218" spans="1:14" x14ac:dyDescent="0.2">
      <c r="A218" s="1526" t="s">
        <v>296</v>
      </c>
      <c r="B218" s="615" t="s">
        <v>1025</v>
      </c>
      <c r="C218" s="617"/>
      <c r="D218" s="467"/>
      <c r="E218" s="617"/>
      <c r="F218" s="617"/>
      <c r="G218" s="617"/>
      <c r="H218" s="617"/>
      <c r="I218" s="617"/>
      <c r="J218" s="617"/>
      <c r="K218" s="1692">
        <f t="shared" si="19"/>
        <v>0</v>
      </c>
      <c r="L218" s="466">
        <v>0</v>
      </c>
    </row>
    <row r="219" spans="1:14" x14ac:dyDescent="0.2">
      <c r="A219" s="1526" t="s">
        <v>297</v>
      </c>
      <c r="B219" s="615">
        <v>1250</v>
      </c>
      <c r="C219" s="617"/>
      <c r="D219" s="466"/>
      <c r="E219" s="617"/>
      <c r="F219" s="617"/>
      <c r="G219" s="617"/>
      <c r="H219" s="617"/>
      <c r="I219" s="617"/>
      <c r="J219" s="617"/>
      <c r="K219" s="1692">
        <f t="shared" si="19"/>
        <v>0</v>
      </c>
      <c r="L219" s="466">
        <v>0</v>
      </c>
    </row>
    <row r="220" spans="1:14" x14ac:dyDescent="0.2">
      <c r="A220" s="1526" t="s">
        <v>298</v>
      </c>
      <c r="B220" s="615" t="s">
        <v>163</v>
      </c>
      <c r="C220" s="617"/>
      <c r="D220" s="467"/>
      <c r="E220" s="617"/>
      <c r="F220" s="617"/>
      <c r="G220" s="617"/>
      <c r="H220" s="617"/>
      <c r="I220" s="617"/>
      <c r="J220" s="617"/>
      <c r="K220" s="1692">
        <f t="shared" si="19"/>
        <v>0</v>
      </c>
      <c r="L220" s="466">
        <v>0</v>
      </c>
    </row>
    <row r="221" spans="1:14" x14ac:dyDescent="0.2">
      <c r="A221" s="1526" t="s">
        <v>1019</v>
      </c>
      <c r="B221" s="615">
        <v>1300</v>
      </c>
      <c r="C221" s="617"/>
      <c r="D221" s="466"/>
      <c r="E221" s="617"/>
      <c r="F221" s="617"/>
      <c r="G221" s="617"/>
      <c r="H221" s="617"/>
      <c r="I221" s="617"/>
      <c r="J221" s="617"/>
      <c r="K221" s="1692">
        <f t="shared" si="19"/>
        <v>0</v>
      </c>
      <c r="L221" s="466">
        <v>0</v>
      </c>
    </row>
    <row r="222" spans="1:14" x14ac:dyDescent="0.2">
      <c r="A222" s="1526" t="s">
        <v>747</v>
      </c>
      <c r="B222" s="615">
        <v>1400</v>
      </c>
      <c r="C222" s="617"/>
      <c r="D222" s="466">
        <v>2237</v>
      </c>
      <c r="E222" s="617"/>
      <c r="F222" s="617"/>
      <c r="G222" s="617"/>
      <c r="H222" s="617"/>
      <c r="I222" s="617"/>
      <c r="J222" s="617"/>
      <c r="K222" s="1692">
        <f t="shared" si="19"/>
        <v>2237</v>
      </c>
      <c r="L222" s="466">
        <v>2237</v>
      </c>
    </row>
    <row r="223" spans="1:14" x14ac:dyDescent="0.2">
      <c r="A223" s="1526" t="s">
        <v>1020</v>
      </c>
      <c r="B223" s="615">
        <v>1500</v>
      </c>
      <c r="C223" s="617"/>
      <c r="D223" s="466">
        <v>18564</v>
      </c>
      <c r="E223" s="617"/>
      <c r="F223" s="617"/>
      <c r="G223" s="617"/>
      <c r="H223" s="617"/>
      <c r="I223" s="617"/>
      <c r="J223" s="617"/>
      <c r="K223" s="1692">
        <f t="shared" si="19"/>
        <v>18564</v>
      </c>
      <c r="L223" s="466">
        <v>18568</v>
      </c>
    </row>
    <row r="224" spans="1:14" x14ac:dyDescent="0.2">
      <c r="A224" s="1526" t="s">
        <v>1021</v>
      </c>
      <c r="B224" s="615">
        <v>1600</v>
      </c>
      <c r="C224" s="617"/>
      <c r="D224" s="466"/>
      <c r="E224" s="617"/>
      <c r="F224" s="617"/>
      <c r="G224" s="617"/>
      <c r="H224" s="617"/>
      <c r="I224" s="617"/>
      <c r="J224" s="617"/>
      <c r="K224" s="1692">
        <f t="shared" si="19"/>
        <v>0</v>
      </c>
      <c r="L224" s="466">
        <v>0</v>
      </c>
    </row>
    <row r="225" spans="1:12" x14ac:dyDescent="0.2">
      <c r="A225" s="1526" t="s">
        <v>1044</v>
      </c>
      <c r="B225" s="615">
        <v>1650</v>
      </c>
      <c r="C225" s="617"/>
      <c r="D225" s="466"/>
      <c r="E225" s="617"/>
      <c r="F225" s="617"/>
      <c r="G225" s="617"/>
      <c r="H225" s="617"/>
      <c r="I225" s="617"/>
      <c r="J225" s="617"/>
      <c r="K225" s="1692">
        <f t="shared" si="19"/>
        <v>0</v>
      </c>
      <c r="L225" s="466">
        <v>0</v>
      </c>
    </row>
    <row r="226" spans="1:12" x14ac:dyDescent="0.2">
      <c r="A226" s="1526" t="s">
        <v>748</v>
      </c>
      <c r="B226" s="615" t="s">
        <v>164</v>
      </c>
      <c r="C226" s="617"/>
      <c r="D226" s="467">
        <v>175</v>
      </c>
      <c r="E226" s="617"/>
      <c r="F226" s="617"/>
      <c r="G226" s="617"/>
      <c r="H226" s="617"/>
      <c r="I226" s="617"/>
      <c r="J226" s="617"/>
      <c r="K226" s="1692">
        <f t="shared" si="19"/>
        <v>175</v>
      </c>
      <c r="L226" s="466">
        <v>175</v>
      </c>
    </row>
    <row r="227" spans="1:12" x14ac:dyDescent="0.2">
      <c r="A227" s="1526" t="s">
        <v>1148</v>
      </c>
      <c r="B227" s="615">
        <v>1800</v>
      </c>
      <c r="C227" s="617"/>
      <c r="D227" s="466">
        <v>2757</v>
      </c>
      <c r="E227" s="617"/>
      <c r="F227" s="617"/>
      <c r="G227" s="617"/>
      <c r="H227" s="617"/>
      <c r="I227" s="617"/>
      <c r="J227" s="617"/>
      <c r="K227" s="1692">
        <f t="shared" si="19"/>
        <v>2757</v>
      </c>
      <c r="L227" s="466">
        <v>2758</v>
      </c>
    </row>
    <row r="228" spans="1:12" x14ac:dyDescent="0.2">
      <c r="A228" s="1526"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189895</v>
      </c>
      <c r="E229" s="617"/>
      <c r="F229" s="617"/>
      <c r="G229" s="617"/>
      <c r="H229" s="617"/>
      <c r="I229" s="617"/>
      <c r="J229" s="617"/>
      <c r="K229" s="1691">
        <f>SUM(K215:K228)</f>
        <v>189895</v>
      </c>
      <c r="L229" s="1691">
        <f>SUM(L215:L228)</f>
        <v>189902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2550</v>
      </c>
      <c r="E232" s="617"/>
      <c r="F232" s="617"/>
      <c r="G232" s="617"/>
      <c r="H232" s="617"/>
      <c r="I232" s="617"/>
      <c r="J232" s="617"/>
      <c r="K232" s="1692">
        <f t="shared" ref="K232:K237" si="20">D232</f>
        <v>2550</v>
      </c>
      <c r="L232" s="466">
        <v>2551</v>
      </c>
    </row>
    <row r="233" spans="1:12" x14ac:dyDescent="0.2">
      <c r="A233" s="1526" t="s">
        <v>1151</v>
      </c>
      <c r="B233" s="615">
        <v>2120</v>
      </c>
      <c r="C233" s="617"/>
      <c r="D233" s="466">
        <v>6618</v>
      </c>
      <c r="E233" s="617"/>
      <c r="F233" s="617"/>
      <c r="G233" s="617"/>
      <c r="H233" s="617"/>
      <c r="I233" s="617"/>
      <c r="J233" s="617"/>
      <c r="K233" s="1692">
        <f t="shared" si="20"/>
        <v>6618</v>
      </c>
      <c r="L233" s="466">
        <v>6618</v>
      </c>
    </row>
    <row r="234" spans="1:12" x14ac:dyDescent="0.2">
      <c r="A234" s="1526" t="s">
        <v>207</v>
      </c>
      <c r="B234" s="615">
        <v>2130</v>
      </c>
      <c r="C234" s="617"/>
      <c r="D234" s="466">
        <v>9140</v>
      </c>
      <c r="E234" s="617"/>
      <c r="F234" s="617"/>
      <c r="G234" s="617"/>
      <c r="H234" s="617"/>
      <c r="I234" s="617"/>
      <c r="J234" s="617"/>
      <c r="K234" s="1692">
        <f t="shared" si="20"/>
        <v>9140</v>
      </c>
      <c r="L234" s="466">
        <v>9140</v>
      </c>
    </row>
    <row r="235" spans="1:12" x14ac:dyDescent="0.2">
      <c r="A235" s="1526" t="s">
        <v>208</v>
      </c>
      <c r="B235" s="615">
        <v>2140</v>
      </c>
      <c r="C235" s="617"/>
      <c r="D235" s="466">
        <v>2505</v>
      </c>
      <c r="E235" s="617"/>
      <c r="F235" s="617"/>
      <c r="G235" s="617"/>
      <c r="H235" s="617"/>
      <c r="I235" s="617"/>
      <c r="J235" s="617"/>
      <c r="K235" s="1692">
        <f t="shared" si="20"/>
        <v>2505</v>
      </c>
      <c r="L235" s="466">
        <v>2505</v>
      </c>
    </row>
    <row r="236" spans="1:12" x14ac:dyDescent="0.2">
      <c r="A236" s="1526" t="s">
        <v>209</v>
      </c>
      <c r="B236" s="615">
        <v>2150</v>
      </c>
      <c r="C236" s="617"/>
      <c r="D236" s="466">
        <v>0</v>
      </c>
      <c r="E236" s="617"/>
      <c r="F236" s="617"/>
      <c r="G236" s="617"/>
      <c r="H236" s="617"/>
      <c r="I236" s="617"/>
      <c r="J236" s="617"/>
      <c r="K236" s="1692">
        <f t="shared" si="20"/>
        <v>0</v>
      </c>
      <c r="L236" s="466">
        <v>0</v>
      </c>
    </row>
    <row r="237" spans="1:12" x14ac:dyDescent="0.2">
      <c r="A237" s="1526" t="s">
        <v>167</v>
      </c>
      <c r="B237" s="615">
        <v>2190</v>
      </c>
      <c r="C237" s="617"/>
      <c r="D237" s="466">
        <v>10064</v>
      </c>
      <c r="E237" s="617"/>
      <c r="F237" s="617"/>
      <c r="G237" s="617"/>
      <c r="H237" s="617"/>
      <c r="I237" s="617"/>
      <c r="J237" s="617"/>
      <c r="K237" s="1692">
        <f t="shared" si="20"/>
        <v>10064</v>
      </c>
      <c r="L237" s="466">
        <v>10064</v>
      </c>
    </row>
    <row r="238" spans="1:12" ht="12.75" customHeight="1" thickBot="1" x14ac:dyDescent="0.25">
      <c r="A238" s="1689" t="s">
        <v>581</v>
      </c>
      <c r="B238" s="1696" t="s">
        <v>740</v>
      </c>
      <c r="C238" s="617"/>
      <c r="D238" s="1691">
        <f>SUM(D232:D237)</f>
        <v>30877</v>
      </c>
      <c r="E238" s="617"/>
      <c r="F238" s="617"/>
      <c r="G238" s="617"/>
      <c r="H238" s="617"/>
      <c r="I238" s="617"/>
      <c r="J238" s="617"/>
      <c r="K238" s="1691">
        <f>SUM(K232:K237)</f>
        <v>30877</v>
      </c>
      <c r="L238" s="1691">
        <f>SUM(L232:L237)</f>
        <v>30878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202</v>
      </c>
      <c r="E240" s="617"/>
      <c r="F240" s="617"/>
      <c r="G240" s="617"/>
      <c r="H240" s="617"/>
      <c r="I240" s="617"/>
      <c r="J240" s="617"/>
      <c r="K240" s="1693">
        <f>D240</f>
        <v>202</v>
      </c>
      <c r="L240" s="481">
        <v>202</v>
      </c>
    </row>
    <row r="241" spans="1:12" x14ac:dyDescent="0.2">
      <c r="A241" s="1526" t="s">
        <v>869</v>
      </c>
      <c r="B241" s="615">
        <v>2220</v>
      </c>
      <c r="C241" s="617"/>
      <c r="D241" s="466">
        <v>50599</v>
      </c>
      <c r="E241" s="617"/>
      <c r="F241" s="617"/>
      <c r="G241" s="617"/>
      <c r="H241" s="617"/>
      <c r="I241" s="617"/>
      <c r="J241" s="617"/>
      <c r="K241" s="1693">
        <f>D241</f>
        <v>50599</v>
      </c>
      <c r="L241" s="466">
        <v>50599</v>
      </c>
    </row>
    <row r="242" spans="1:12" x14ac:dyDescent="0.2">
      <c r="A242" s="1526"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50801</v>
      </c>
      <c r="E243" s="617"/>
      <c r="F243" s="617"/>
      <c r="G243" s="617"/>
      <c r="H243" s="617"/>
      <c r="I243" s="617"/>
      <c r="J243" s="617"/>
      <c r="K243" s="1691">
        <f>SUM(K240:K242)</f>
        <v>50801</v>
      </c>
      <c r="L243" s="1691">
        <f>SUM(L240:L242)</f>
        <v>50801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3">
        <f>D245</f>
        <v>0</v>
      </c>
      <c r="L245" s="481">
        <v>0</v>
      </c>
    </row>
    <row r="246" spans="1:12" x14ac:dyDescent="0.2">
      <c r="A246" s="1526" t="s">
        <v>872</v>
      </c>
      <c r="B246" s="615">
        <v>2320</v>
      </c>
      <c r="C246" s="617"/>
      <c r="D246" s="466">
        <v>9727</v>
      </c>
      <c r="E246" s="617"/>
      <c r="F246" s="617"/>
      <c r="G246" s="617"/>
      <c r="H246" s="617"/>
      <c r="I246" s="617"/>
      <c r="J246" s="617"/>
      <c r="K246" s="1693">
        <f t="shared" ref="K246:K256" si="21">D246</f>
        <v>9727</v>
      </c>
      <c r="L246" s="466">
        <v>9727</v>
      </c>
    </row>
    <row r="247" spans="1:12" x14ac:dyDescent="0.2">
      <c r="A247" s="1526" t="s">
        <v>873</v>
      </c>
      <c r="B247" s="615">
        <v>2330</v>
      </c>
      <c r="C247" s="617"/>
      <c r="D247" s="466"/>
      <c r="E247" s="617"/>
      <c r="F247" s="617"/>
      <c r="G247" s="617"/>
      <c r="H247" s="617"/>
      <c r="I247" s="617"/>
      <c r="J247" s="617"/>
      <c r="K247" s="1693">
        <f t="shared" si="21"/>
        <v>0</v>
      </c>
      <c r="L247" s="466">
        <v>0</v>
      </c>
    </row>
    <row r="248" spans="1:12" x14ac:dyDescent="0.2">
      <c r="A248" s="1527" t="s">
        <v>317</v>
      </c>
      <c r="B248" s="603" t="s">
        <v>299</v>
      </c>
      <c r="C248" s="617"/>
      <c r="D248" s="474"/>
      <c r="E248" s="617"/>
      <c r="F248" s="617"/>
      <c r="G248" s="617"/>
      <c r="H248" s="617"/>
      <c r="I248" s="617"/>
      <c r="J248" s="617"/>
      <c r="K248" s="1693">
        <f t="shared" si="21"/>
        <v>0</v>
      </c>
      <c r="L248" s="466">
        <v>0</v>
      </c>
    </row>
    <row r="249" spans="1:12" x14ac:dyDescent="0.2">
      <c r="A249" s="1528" t="s">
        <v>1908</v>
      </c>
      <c r="B249" s="684" t="s">
        <v>300</v>
      </c>
      <c r="C249" s="617"/>
      <c r="D249" s="474"/>
      <c r="E249" s="617"/>
      <c r="F249" s="617"/>
      <c r="G249" s="617"/>
      <c r="H249" s="617"/>
      <c r="I249" s="617"/>
      <c r="J249" s="617"/>
      <c r="K249" s="1693">
        <f t="shared" si="21"/>
        <v>0</v>
      </c>
      <c r="L249" s="466">
        <v>0</v>
      </c>
    </row>
    <row r="250" spans="1:12" x14ac:dyDescent="0.2">
      <c r="A250" s="1527" t="s">
        <v>1909</v>
      </c>
      <c r="B250" s="603" t="s">
        <v>301</v>
      </c>
      <c r="C250" s="617"/>
      <c r="D250" s="474"/>
      <c r="E250" s="617"/>
      <c r="F250" s="617"/>
      <c r="G250" s="617"/>
      <c r="H250" s="617"/>
      <c r="I250" s="617"/>
      <c r="J250" s="617"/>
      <c r="K250" s="1693">
        <f t="shared" si="21"/>
        <v>0</v>
      </c>
      <c r="L250" s="466">
        <v>0</v>
      </c>
    </row>
    <row r="251" spans="1:12" x14ac:dyDescent="0.2">
      <c r="A251" s="1527" t="s">
        <v>256</v>
      </c>
      <c r="B251" s="603" t="s">
        <v>302</v>
      </c>
      <c r="C251" s="617"/>
      <c r="D251" s="474"/>
      <c r="E251" s="617"/>
      <c r="F251" s="617"/>
      <c r="G251" s="617"/>
      <c r="H251" s="617"/>
      <c r="I251" s="617"/>
      <c r="J251" s="617"/>
      <c r="K251" s="1693">
        <f t="shared" si="21"/>
        <v>0</v>
      </c>
      <c r="L251" s="466">
        <v>0</v>
      </c>
    </row>
    <row r="252" spans="1:12" x14ac:dyDescent="0.2">
      <c r="A252" s="1527" t="s">
        <v>726</v>
      </c>
      <c r="B252" s="603" t="s">
        <v>303</v>
      </c>
      <c r="C252" s="617"/>
      <c r="D252" s="474"/>
      <c r="E252" s="617"/>
      <c r="F252" s="617"/>
      <c r="G252" s="617"/>
      <c r="H252" s="617"/>
      <c r="I252" s="617"/>
      <c r="J252" s="617"/>
      <c r="K252" s="1693">
        <f t="shared" si="21"/>
        <v>0</v>
      </c>
      <c r="L252" s="466">
        <v>0</v>
      </c>
    </row>
    <row r="253" spans="1:12" x14ac:dyDescent="0.2">
      <c r="A253" s="1527" t="s">
        <v>257</v>
      </c>
      <c r="B253" s="603" t="s">
        <v>304</v>
      </c>
      <c r="C253" s="617"/>
      <c r="D253" s="474"/>
      <c r="E253" s="617"/>
      <c r="F253" s="617"/>
      <c r="G253" s="617"/>
      <c r="H253" s="617"/>
      <c r="I253" s="617"/>
      <c r="J253" s="617"/>
      <c r="K253" s="1693">
        <f t="shared" si="21"/>
        <v>0</v>
      </c>
      <c r="L253" s="466">
        <v>0</v>
      </c>
    </row>
    <row r="254" spans="1:12" ht="22.5" x14ac:dyDescent="0.2">
      <c r="A254" s="1527" t="s">
        <v>1087</v>
      </c>
      <c r="B254" s="684" t="s">
        <v>305</v>
      </c>
      <c r="C254" s="617"/>
      <c r="D254" s="474"/>
      <c r="E254" s="617"/>
      <c r="F254" s="617"/>
      <c r="G254" s="617"/>
      <c r="H254" s="617"/>
      <c r="I254" s="617"/>
      <c r="J254" s="617"/>
      <c r="K254" s="1693">
        <f t="shared" si="21"/>
        <v>0</v>
      </c>
      <c r="L254" s="466">
        <v>0</v>
      </c>
    </row>
    <row r="255" spans="1:12" x14ac:dyDescent="0.2">
      <c r="A255" s="1527" t="s">
        <v>1088</v>
      </c>
      <c r="B255" s="603" t="s">
        <v>306</v>
      </c>
      <c r="C255" s="617"/>
      <c r="D255" s="474"/>
      <c r="E255" s="617"/>
      <c r="F255" s="617"/>
      <c r="G255" s="617"/>
      <c r="H255" s="617"/>
      <c r="I255" s="617"/>
      <c r="J255" s="617"/>
      <c r="K255" s="1693">
        <f t="shared" si="21"/>
        <v>0</v>
      </c>
      <c r="L255" s="466">
        <v>0</v>
      </c>
    </row>
    <row r="256" spans="1:12" x14ac:dyDescent="0.2">
      <c r="A256" s="1527"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9727</v>
      </c>
      <c r="E257" s="617"/>
      <c r="F257" s="617"/>
      <c r="G257" s="617"/>
      <c r="H257" s="617"/>
      <c r="I257" s="617"/>
      <c r="J257" s="617"/>
      <c r="K257" s="1691">
        <f>SUM(K245:K256)</f>
        <v>9727</v>
      </c>
      <c r="L257" s="1691">
        <f>SUM(L245:L256)</f>
        <v>9727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32105</v>
      </c>
      <c r="E259" s="617"/>
      <c r="F259" s="617"/>
      <c r="G259" s="617"/>
      <c r="H259" s="617"/>
      <c r="I259" s="617"/>
      <c r="J259" s="617"/>
      <c r="K259" s="1693">
        <f>D259</f>
        <v>32105</v>
      </c>
      <c r="L259" s="481">
        <v>32105</v>
      </c>
    </row>
    <row r="260" spans="1:14" s="598" customFormat="1" x14ac:dyDescent="0.2">
      <c r="A260" s="1544" t="s">
        <v>1907</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32105</v>
      </c>
      <c r="E261" s="617"/>
      <c r="F261" s="617"/>
      <c r="G261" s="617"/>
      <c r="H261" s="617"/>
      <c r="I261" s="617"/>
      <c r="J261" s="617"/>
      <c r="K261" s="1691">
        <f>SUM(K259:K260)</f>
        <v>32105</v>
      </c>
      <c r="L261" s="1691">
        <f>SUM(L259:L260)</f>
        <v>32105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v>0</v>
      </c>
    </row>
    <row r="264" spans="1:14" x14ac:dyDescent="0.2">
      <c r="A264" s="1526" t="s">
        <v>483</v>
      </c>
      <c r="B264" s="686">
        <v>2520</v>
      </c>
      <c r="C264" s="617"/>
      <c r="D264" s="466">
        <v>17590</v>
      </c>
      <c r="E264" s="617"/>
      <c r="F264" s="617"/>
      <c r="G264" s="617"/>
      <c r="H264" s="617"/>
      <c r="I264" s="617"/>
      <c r="J264" s="617"/>
      <c r="K264" s="1693">
        <f t="shared" ref="K264:K269" si="22">D264</f>
        <v>17590</v>
      </c>
      <c r="L264" s="466">
        <v>17590</v>
      </c>
    </row>
    <row r="265" spans="1:14" x14ac:dyDescent="0.2">
      <c r="A265" s="1526" t="s">
        <v>4</v>
      </c>
      <c r="B265" s="615">
        <v>2530</v>
      </c>
      <c r="C265" s="617"/>
      <c r="D265" s="466"/>
      <c r="E265" s="617"/>
      <c r="F265" s="617"/>
      <c r="G265" s="617"/>
      <c r="H265" s="617"/>
      <c r="I265" s="617"/>
      <c r="J265" s="617"/>
      <c r="K265" s="1693">
        <f t="shared" si="22"/>
        <v>0</v>
      </c>
      <c r="L265" s="466">
        <v>0</v>
      </c>
    </row>
    <row r="266" spans="1:14" x14ac:dyDescent="0.2">
      <c r="A266" s="1526" t="s">
        <v>206</v>
      </c>
      <c r="B266" s="615">
        <v>2540</v>
      </c>
      <c r="C266" s="617"/>
      <c r="D266" s="466">
        <v>96986</v>
      </c>
      <c r="E266" s="617"/>
      <c r="F266" s="617"/>
      <c r="G266" s="617"/>
      <c r="H266" s="617"/>
      <c r="I266" s="617"/>
      <c r="J266" s="617"/>
      <c r="K266" s="1693">
        <f t="shared" si="22"/>
        <v>96986</v>
      </c>
      <c r="L266" s="466">
        <v>96987</v>
      </c>
    </row>
    <row r="267" spans="1:14" x14ac:dyDescent="0.2">
      <c r="A267" s="1526" t="s">
        <v>1010</v>
      </c>
      <c r="B267" s="615">
        <v>2550</v>
      </c>
      <c r="C267" s="617"/>
      <c r="D267" s="466">
        <v>54828</v>
      </c>
      <c r="E267" s="617"/>
      <c r="F267" s="617"/>
      <c r="G267" s="617"/>
      <c r="H267" s="617"/>
      <c r="I267" s="617"/>
      <c r="J267" s="617"/>
      <c r="K267" s="1693">
        <f t="shared" si="22"/>
        <v>54828</v>
      </c>
      <c r="L267" s="466">
        <v>54828</v>
      </c>
    </row>
    <row r="268" spans="1:14" x14ac:dyDescent="0.2">
      <c r="A268" s="1526" t="s">
        <v>102</v>
      </c>
      <c r="B268" s="615">
        <v>2560</v>
      </c>
      <c r="C268" s="617"/>
      <c r="D268" s="466">
        <v>31864</v>
      </c>
      <c r="E268" s="617"/>
      <c r="F268" s="617"/>
      <c r="G268" s="617"/>
      <c r="H268" s="617"/>
      <c r="I268" s="617"/>
      <c r="J268" s="617"/>
      <c r="K268" s="1693">
        <f t="shared" si="22"/>
        <v>31864</v>
      </c>
      <c r="L268" s="466">
        <v>31865</v>
      </c>
    </row>
    <row r="269" spans="1:14" x14ac:dyDescent="0.2">
      <c r="A269" s="1526"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201268</v>
      </c>
      <c r="E270" s="617"/>
      <c r="F270" s="617"/>
      <c r="G270" s="617"/>
      <c r="H270" s="617"/>
      <c r="I270" s="617"/>
      <c r="J270" s="617"/>
      <c r="K270" s="1691">
        <f>SUM(K263:K269)</f>
        <v>201268</v>
      </c>
      <c r="L270" s="1691">
        <f>SUM(L263:L269)</f>
        <v>201270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v>0</v>
      </c>
    </row>
    <row r="273" spans="1:12" x14ac:dyDescent="0.2">
      <c r="A273" s="1526" t="s">
        <v>628</v>
      </c>
      <c r="B273" s="629">
        <v>2620</v>
      </c>
      <c r="C273" s="617"/>
      <c r="D273" s="466"/>
      <c r="E273" s="617"/>
      <c r="F273" s="617"/>
      <c r="G273" s="617"/>
      <c r="H273" s="617"/>
      <c r="I273" s="617"/>
      <c r="J273" s="617"/>
      <c r="K273" s="1693">
        <f>D273</f>
        <v>0</v>
      </c>
      <c r="L273" s="466">
        <v>0</v>
      </c>
    </row>
    <row r="274" spans="1:12" ht="12" customHeight="1" x14ac:dyDescent="0.2">
      <c r="A274" s="1526" t="s">
        <v>1121</v>
      </c>
      <c r="B274" s="615">
        <v>2630</v>
      </c>
      <c r="C274" s="617"/>
      <c r="D274" s="466">
        <v>194</v>
      </c>
      <c r="E274" s="617"/>
      <c r="F274" s="617"/>
      <c r="G274" s="617"/>
      <c r="H274" s="617"/>
      <c r="I274" s="617"/>
      <c r="J274" s="617"/>
      <c r="K274" s="1693">
        <f>D274</f>
        <v>194</v>
      </c>
      <c r="L274" s="466">
        <v>194</v>
      </c>
    </row>
    <row r="275" spans="1:12" x14ac:dyDescent="0.2">
      <c r="A275" s="1526" t="s">
        <v>423</v>
      </c>
      <c r="B275" s="615">
        <v>2640</v>
      </c>
      <c r="C275" s="617"/>
      <c r="D275" s="466"/>
      <c r="E275" s="617"/>
      <c r="F275" s="617"/>
      <c r="G275" s="617"/>
      <c r="H275" s="617"/>
      <c r="I275" s="617"/>
      <c r="J275" s="617"/>
      <c r="K275" s="1693">
        <f>D275</f>
        <v>0</v>
      </c>
      <c r="L275" s="466">
        <v>0</v>
      </c>
    </row>
    <row r="276" spans="1:12" x14ac:dyDescent="0.2">
      <c r="A276" s="1526"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194</v>
      </c>
      <c r="E277" s="617"/>
      <c r="F277" s="617"/>
      <c r="G277" s="617"/>
      <c r="H277" s="617"/>
      <c r="I277" s="617"/>
      <c r="J277" s="617"/>
      <c r="K277" s="1691">
        <f>SUM(K272:K276)</f>
        <v>194</v>
      </c>
      <c r="L277" s="1691">
        <f>SUM(L272:L276)</f>
        <v>194</v>
      </c>
    </row>
    <row r="278" spans="1:12" ht="13.5" customHeight="1" thickTop="1" x14ac:dyDescent="0.2">
      <c r="A278" s="1532"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324972</v>
      </c>
      <c r="E279" s="617"/>
      <c r="F279" s="617"/>
      <c r="G279" s="617"/>
      <c r="H279" s="617"/>
      <c r="I279" s="617"/>
      <c r="J279" s="617"/>
      <c r="K279" s="1698">
        <f>SUM(K238,K243,K257,K261,K270,K277,K278)</f>
        <v>324972</v>
      </c>
      <c r="L279" s="1698">
        <f>SUM(L238,L243,L257,L261,L270,L277,L278)</f>
        <v>324975</v>
      </c>
    </row>
    <row r="280" spans="1:12" ht="15.75" customHeight="1" thickTop="1" thickBot="1" x14ac:dyDescent="0.25">
      <c r="A280" s="1646" t="s">
        <v>930</v>
      </c>
      <c r="B280" s="1635">
        <v>3000</v>
      </c>
      <c r="C280" s="617"/>
      <c r="D280" s="576"/>
      <c r="E280" s="617"/>
      <c r="F280" s="617"/>
      <c r="G280" s="617"/>
      <c r="H280" s="617"/>
      <c r="I280" s="617"/>
      <c r="J280" s="617"/>
      <c r="K280" s="1700">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v>0</v>
      </c>
    </row>
    <row r="283" spans="1:12" x14ac:dyDescent="0.2">
      <c r="A283" s="1526" t="s">
        <v>322</v>
      </c>
      <c r="B283" s="615">
        <v>4120</v>
      </c>
      <c r="C283" s="617"/>
      <c r="D283" s="466"/>
      <c r="E283" s="617"/>
      <c r="F283" s="617"/>
      <c r="G283" s="617"/>
      <c r="H283" s="617"/>
      <c r="I283" s="617"/>
      <c r="J283" s="617"/>
      <c r="K283" s="1692">
        <f>D283</f>
        <v>0</v>
      </c>
      <c r="L283" s="466">
        <v>0</v>
      </c>
    </row>
    <row r="284" spans="1:12" x14ac:dyDescent="0.2">
      <c r="A284" s="1526"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v>0</v>
      </c>
    </row>
    <row r="289" spans="1:14" x14ac:dyDescent="0.2">
      <c r="A289" s="1526" t="s">
        <v>90</v>
      </c>
      <c r="B289" s="615">
        <v>5120</v>
      </c>
      <c r="C289" s="617"/>
      <c r="D289" s="617"/>
      <c r="E289" s="617"/>
      <c r="F289" s="617"/>
      <c r="G289" s="617"/>
      <c r="H289" s="466"/>
      <c r="I289" s="617"/>
      <c r="J289" s="617"/>
      <c r="K289" s="1692">
        <f>H289</f>
        <v>0</v>
      </c>
      <c r="L289" s="466">
        <v>0</v>
      </c>
    </row>
    <row r="290" spans="1:14" ht="12.75" customHeight="1" x14ac:dyDescent="0.2">
      <c r="A290" s="1526" t="s">
        <v>1232</v>
      </c>
      <c r="B290" s="629" t="s">
        <v>638</v>
      </c>
      <c r="C290" s="617"/>
      <c r="D290" s="617"/>
      <c r="E290" s="617"/>
      <c r="F290" s="617"/>
      <c r="G290" s="617"/>
      <c r="H290" s="466"/>
      <c r="I290" s="617"/>
      <c r="J290" s="617"/>
      <c r="K290" s="1692">
        <f>H290</f>
        <v>0</v>
      </c>
      <c r="L290" s="466">
        <v>0</v>
      </c>
    </row>
    <row r="291" spans="1:14" x14ac:dyDescent="0.2">
      <c r="A291" s="1526" t="s">
        <v>91</v>
      </c>
      <c r="B291" s="615" t="s">
        <v>610</v>
      </c>
      <c r="C291" s="617"/>
      <c r="D291" s="617"/>
      <c r="E291" s="617"/>
      <c r="F291" s="617"/>
      <c r="G291" s="617"/>
      <c r="H291" s="466"/>
      <c r="I291" s="617"/>
      <c r="J291" s="617"/>
      <c r="K291" s="1692">
        <f>H291</f>
        <v>0</v>
      </c>
      <c r="L291" s="466">
        <v>0</v>
      </c>
    </row>
    <row r="292" spans="1:14" x14ac:dyDescent="0.2">
      <c r="A292" s="1526"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91">
        <f>SUM(D229,D279,D280,D285)</f>
        <v>514867</v>
      </c>
      <c r="E295" s="617"/>
      <c r="F295" s="617"/>
      <c r="G295" s="617"/>
      <c r="H295" s="1691">
        <f>H293</f>
        <v>0</v>
      </c>
      <c r="I295" s="617"/>
      <c r="J295" s="617"/>
      <c r="K295" s="1691">
        <f>SUM(K229,K279,K280,K285,K293,K294)</f>
        <v>514867</v>
      </c>
      <c r="L295" s="1691">
        <f>SUM(L229,L279,L280,L285,L293,L294)</f>
        <v>514877</v>
      </c>
    </row>
    <row r="296" spans="1:14" ht="13.5" thickTop="1" x14ac:dyDescent="0.2">
      <c r="A296" s="2197" t="s">
        <v>1053</v>
      </c>
      <c r="B296" s="2198"/>
      <c r="C296" s="617"/>
      <c r="D296" s="619"/>
      <c r="E296" s="617"/>
      <c r="F296" s="617"/>
      <c r="G296" s="617"/>
      <c r="H296" s="688"/>
      <c r="I296" s="617"/>
      <c r="J296" s="617"/>
      <c r="K296" s="1705">
        <f>'Revenues 9-14'!G275-'Expenditures 15-22'!K295</f>
        <v>93800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1952160</v>
      </c>
      <c r="H301" s="466"/>
      <c r="I301" s="467"/>
      <c r="J301" s="467"/>
      <c r="K301" s="1692">
        <f>SUM(C301:J301)</f>
        <v>1952160</v>
      </c>
      <c r="L301" s="467">
        <v>1952160</v>
      </c>
    </row>
    <row r="302" spans="1:14" ht="13.5" customHeight="1" x14ac:dyDescent="0.2">
      <c r="A302" s="1539"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1952160</v>
      </c>
      <c r="H303" s="1698">
        <f t="shared" si="23"/>
        <v>0</v>
      </c>
      <c r="I303" s="1698">
        <f t="shared" si="23"/>
        <v>0</v>
      </c>
      <c r="J303" s="1698">
        <f t="shared" si="23"/>
        <v>0</v>
      </c>
      <c r="K303" s="1698">
        <f t="shared" si="23"/>
        <v>1952160</v>
      </c>
      <c r="L303" s="1698">
        <f t="shared" si="23"/>
        <v>1952160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v>0</v>
      </c>
    </row>
    <row r="307" spans="1:14" x14ac:dyDescent="0.2">
      <c r="A307" s="1526" t="s">
        <v>322</v>
      </c>
      <c r="B307" s="615">
        <v>4120</v>
      </c>
      <c r="C307" s="617"/>
      <c r="D307" s="617"/>
      <c r="E307" s="467"/>
      <c r="F307" s="617"/>
      <c r="G307" s="617"/>
      <c r="H307" s="467"/>
      <c r="I307" s="477"/>
      <c r="J307" s="617"/>
      <c r="K307" s="1692">
        <f>SUM(E307,H307)</f>
        <v>0</v>
      </c>
      <c r="L307" s="466">
        <v>0</v>
      </c>
    </row>
    <row r="308" spans="1:14" x14ac:dyDescent="0.2">
      <c r="A308" s="1526" t="s">
        <v>721</v>
      </c>
      <c r="B308" s="615">
        <v>4140</v>
      </c>
      <c r="C308" s="617"/>
      <c r="D308" s="617"/>
      <c r="E308" s="467"/>
      <c r="F308" s="617"/>
      <c r="G308" s="617"/>
      <c r="H308" s="467"/>
      <c r="I308" s="477"/>
      <c r="J308" s="617"/>
      <c r="K308" s="1692">
        <f>SUM(E308,H308)</f>
        <v>0</v>
      </c>
      <c r="L308" s="466">
        <v>0</v>
      </c>
    </row>
    <row r="309" spans="1:14" ht="12.75" customHeight="1" x14ac:dyDescent="0.2">
      <c r="A309" s="1530"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91">
        <f>SUM(C303)</f>
        <v>0</v>
      </c>
      <c r="D312" s="1691">
        <f>SUM(D303)</f>
        <v>0</v>
      </c>
      <c r="E312" s="1691">
        <f>SUM(E303,E310)</f>
        <v>0</v>
      </c>
      <c r="F312" s="1691">
        <f>SUM(F303)</f>
        <v>0</v>
      </c>
      <c r="G312" s="1691">
        <f>SUM(G303)</f>
        <v>1952160</v>
      </c>
      <c r="H312" s="1691">
        <f>SUM(H303,H310)</f>
        <v>0</v>
      </c>
      <c r="I312" s="1691">
        <f>SUM(I303)</f>
        <v>0</v>
      </c>
      <c r="J312" s="1691">
        <f>SUM(J303)</f>
        <v>0</v>
      </c>
      <c r="K312" s="1691">
        <f>SUM(K303,K310,K311)</f>
        <v>1952160</v>
      </c>
      <c r="L312" s="1691">
        <f>SUM(L303,L310,L311)</f>
        <v>1952160</v>
      </c>
      <c r="M312" s="666"/>
      <c r="N312" s="666"/>
    </row>
    <row r="313" spans="1:14" ht="13.5" thickTop="1" x14ac:dyDescent="0.2">
      <c r="A313" s="2181" t="s">
        <v>1053</v>
      </c>
      <c r="B313" s="2182"/>
      <c r="C313" s="627"/>
      <c r="D313" s="627"/>
      <c r="E313" s="627"/>
      <c r="F313" s="627"/>
      <c r="G313" s="627"/>
      <c r="H313" s="627"/>
      <c r="I313" s="627"/>
      <c r="J313" s="627"/>
      <c r="K313" s="1706">
        <f>'Revenues 9-14'!H275-'Expenditures 15-22'!K312</f>
        <v>-1947160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1" t="s">
        <v>256</v>
      </c>
      <c r="B322" s="698" t="s">
        <v>302</v>
      </c>
      <c r="C322" s="467"/>
      <c r="D322" s="467"/>
      <c r="E322" s="467">
        <v>0</v>
      </c>
      <c r="F322" s="467"/>
      <c r="G322" s="467"/>
      <c r="H322" s="467"/>
      <c r="I322" s="467"/>
      <c r="J322" s="467"/>
      <c r="K322" s="1692">
        <f t="shared" si="24"/>
        <v>0</v>
      </c>
      <c r="L322" s="467">
        <v>67834</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2" t="s">
        <v>492</v>
      </c>
      <c r="B328" s="691" t="s">
        <v>1194</v>
      </c>
      <c r="C328" s="474"/>
      <c r="D328" s="474"/>
      <c r="E328" s="474">
        <v>67834</v>
      </c>
      <c r="F328" s="474"/>
      <c r="G328" s="474"/>
      <c r="H328" s="474"/>
      <c r="I328" s="474"/>
      <c r="J328" s="474"/>
      <c r="K328" s="1720">
        <f>SUM(C328:J328)</f>
        <v>67834</v>
      </c>
      <c r="L328" s="474">
        <v>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67834</v>
      </c>
      <c r="F330" s="1691">
        <f t="shared" si="25"/>
        <v>0</v>
      </c>
      <c r="G330" s="1691">
        <f t="shared" si="25"/>
        <v>0</v>
      </c>
      <c r="H330" s="1691">
        <f t="shared" si="25"/>
        <v>0</v>
      </c>
      <c r="I330" s="1691">
        <f t="shared" si="25"/>
        <v>0</v>
      </c>
      <c r="J330" s="1691">
        <f t="shared" si="25"/>
        <v>0</v>
      </c>
      <c r="K330" s="1691">
        <f>SUM(K319:K329)</f>
        <v>67834</v>
      </c>
      <c r="L330" s="1691">
        <f>SUM(L319:L329)</f>
        <v>67834</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v>0</v>
      </c>
    </row>
    <row r="338" spans="1:14" ht="12.75" customHeight="1" x14ac:dyDescent="0.2">
      <c r="A338" s="1540" t="s">
        <v>1232</v>
      </c>
      <c r="B338" s="691" t="s">
        <v>638</v>
      </c>
      <c r="C338" s="639"/>
      <c r="D338" s="639"/>
      <c r="E338" s="639"/>
      <c r="F338" s="639"/>
      <c r="G338" s="639"/>
      <c r="H338" s="478"/>
      <c r="I338" s="639"/>
      <c r="J338" s="639"/>
      <c r="K338" s="1692">
        <f>H338</f>
        <v>0</v>
      </c>
      <c r="L338" s="478">
        <v>0</v>
      </c>
    </row>
    <row r="339" spans="1:14" x14ac:dyDescent="0.2">
      <c r="A339" s="1526"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67834</v>
      </c>
      <c r="F342" s="1691">
        <f>SUM(F330)</f>
        <v>0</v>
      </c>
      <c r="G342" s="1691">
        <f>SUM(G330)</f>
        <v>0</v>
      </c>
      <c r="H342" s="1691">
        <f>SUM(H330,H334,H340)</f>
        <v>0</v>
      </c>
      <c r="I342" s="1691">
        <f>SUM(I330)</f>
        <v>0</v>
      </c>
      <c r="J342" s="1691">
        <f>SUM(J330)</f>
        <v>0</v>
      </c>
      <c r="K342" s="1691">
        <f>SUM(K330,K334,K340)</f>
        <v>67834</v>
      </c>
      <c r="L342" s="1698">
        <f>SUM(L330,L340,L341)</f>
        <v>67834</v>
      </c>
    </row>
    <row r="343" spans="1:14" ht="12.75" customHeight="1" thickTop="1" x14ac:dyDescent="0.2">
      <c r="A343" s="2183" t="s">
        <v>1053</v>
      </c>
      <c r="B343" s="2184"/>
      <c r="C343" s="617"/>
      <c r="D343" s="617"/>
      <c r="E343" s="617"/>
      <c r="F343" s="617"/>
      <c r="G343" s="617"/>
      <c r="H343" s="617"/>
      <c r="I343" s="617"/>
      <c r="J343" s="617"/>
      <c r="K343" s="1705">
        <f>'Revenues 9-14'!J275-'Expenditures 15-22'!K342</f>
        <v>12091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750</v>
      </c>
      <c r="F348" s="466"/>
      <c r="G348" s="466">
        <v>1005591</v>
      </c>
      <c r="H348" s="466"/>
      <c r="I348" s="467"/>
      <c r="J348" s="467"/>
      <c r="K348" s="1692">
        <f>SUM(C348:J348)</f>
        <v>1006341</v>
      </c>
      <c r="L348" s="466">
        <v>1006341</v>
      </c>
    </row>
    <row r="349" spans="1:14" x14ac:dyDescent="0.2">
      <c r="A349" s="1526"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750</v>
      </c>
      <c r="F350" s="1691">
        <f t="shared" si="26"/>
        <v>0</v>
      </c>
      <c r="G350" s="1691">
        <f t="shared" si="26"/>
        <v>1005591</v>
      </c>
      <c r="H350" s="1691">
        <f t="shared" si="26"/>
        <v>0</v>
      </c>
      <c r="I350" s="1691">
        <f t="shared" si="26"/>
        <v>0</v>
      </c>
      <c r="J350" s="1691">
        <f t="shared" si="26"/>
        <v>0</v>
      </c>
      <c r="K350" s="1691">
        <f t="shared" si="26"/>
        <v>1006341</v>
      </c>
      <c r="L350" s="1691">
        <f t="shared" si="26"/>
        <v>1006341</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750</v>
      </c>
      <c r="F352" s="1691">
        <f t="shared" si="27"/>
        <v>0</v>
      </c>
      <c r="G352" s="1691">
        <f t="shared" si="27"/>
        <v>1005591</v>
      </c>
      <c r="H352" s="1691">
        <f t="shared" si="27"/>
        <v>0</v>
      </c>
      <c r="I352" s="1691">
        <f t="shared" si="27"/>
        <v>0</v>
      </c>
      <c r="J352" s="1691">
        <f t="shared" si="27"/>
        <v>0</v>
      </c>
      <c r="K352" s="1691">
        <f t="shared" si="27"/>
        <v>1006341</v>
      </c>
      <c r="L352" s="1691">
        <f t="shared" si="27"/>
        <v>1006341</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v>0</v>
      </c>
    </row>
    <row r="355" spans="1:14" ht="12.75" customHeight="1" x14ac:dyDescent="0.2">
      <c r="A355" s="1535" t="s">
        <v>1966</v>
      </c>
      <c r="B355" s="691" t="s">
        <v>1959</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v>0</v>
      </c>
    </row>
    <row r="361" spans="1:14" ht="12.75" customHeight="1" x14ac:dyDescent="0.2">
      <c r="A361" s="1527"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750</v>
      </c>
      <c r="F367" s="1691">
        <f t="shared" si="28"/>
        <v>0</v>
      </c>
      <c r="G367" s="1691">
        <f t="shared" si="28"/>
        <v>1005591</v>
      </c>
      <c r="H367" s="1691">
        <f t="shared" si="28"/>
        <v>0</v>
      </c>
      <c r="I367" s="1691">
        <f t="shared" si="28"/>
        <v>0</v>
      </c>
      <c r="J367" s="1691">
        <f t="shared" si="28"/>
        <v>0</v>
      </c>
      <c r="K367" s="1691">
        <f t="shared" si="28"/>
        <v>1006341</v>
      </c>
      <c r="L367" s="1691">
        <f t="shared" si="28"/>
        <v>1006341</v>
      </c>
    </row>
    <row r="368" spans="1:14" ht="13.5" thickTop="1" x14ac:dyDescent="0.2">
      <c r="A368" s="2197" t="s">
        <v>1053</v>
      </c>
      <c r="B368" s="2198"/>
      <c r="C368" s="655"/>
      <c r="D368" s="655"/>
      <c r="E368" s="627"/>
      <c r="F368" s="627"/>
      <c r="G368" s="627"/>
      <c r="H368" s="627"/>
      <c r="I368" s="627"/>
      <c r="J368" s="624"/>
      <c r="K368" s="1692">
        <f>'Revenues 9-14'!K275-'Expenditures 15-22'!K367</f>
        <v>-871395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&amp;C&amp;"Arial,Bold"&amp;9STATEMENT OF EXPENDITURES DISBURSED, BUDGET TO ACTUAL
FOR THE YEAR ENDING JUNE 30, 2018</oddHeader>
    <oddFooter>&amp;L&amp;8Print Date: &amp;D
&amp;F&amp;CSee Accompanying Notes to Financial Statements.
21</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Normal="100" workbookViewId="0"/>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0">
        <f>'Revenues 9-14'!C5</f>
        <v>6272827</v>
      </c>
      <c r="C4" s="1546">
        <v>3540018</v>
      </c>
      <c r="D4" s="1773">
        <f>B4-C4</f>
        <v>2732809</v>
      </c>
      <c r="E4" s="1546">
        <v>6373881</v>
      </c>
      <c r="F4" s="1773">
        <f>E4-C4</f>
        <v>2833863</v>
      </c>
    </row>
    <row r="5" spans="1:6" ht="13.7" customHeight="1" x14ac:dyDescent="0.2">
      <c r="A5" s="716" t="s">
        <v>925</v>
      </c>
      <c r="B5" s="1771">
        <f>'Revenues 9-14'!D5</f>
        <v>1135931</v>
      </c>
      <c r="C5" s="585">
        <v>632738</v>
      </c>
      <c r="D5" s="1774">
        <f t="shared" ref="D5:D18" si="0">B5-C5</f>
        <v>503193</v>
      </c>
      <c r="E5" s="585">
        <v>1141256</v>
      </c>
      <c r="F5" s="1774">
        <f>E5-C5</f>
        <v>508518</v>
      </c>
    </row>
    <row r="6" spans="1:6" ht="13.7" customHeight="1" x14ac:dyDescent="0.2">
      <c r="A6" s="716" t="s">
        <v>431</v>
      </c>
      <c r="B6" s="1771">
        <f>'Revenues 9-14'!E5</f>
        <v>737048</v>
      </c>
      <c r="C6" s="585">
        <v>179493</v>
      </c>
      <c r="D6" s="1774">
        <f t="shared" si="0"/>
        <v>557555</v>
      </c>
      <c r="E6" s="585">
        <f>161491+159946</f>
        <v>321437</v>
      </c>
      <c r="F6" s="1774">
        <f t="shared" ref="F6:F18" si="1">E6-C6</f>
        <v>141944</v>
      </c>
    </row>
    <row r="7" spans="1:6" ht="13.7" customHeight="1" x14ac:dyDescent="0.2">
      <c r="A7" s="716" t="s">
        <v>157</v>
      </c>
      <c r="B7" s="1771">
        <f>'Revenues 9-14'!F5</f>
        <v>1285261</v>
      </c>
      <c r="C7" s="585">
        <v>625464</v>
      </c>
      <c r="D7" s="1774">
        <f t="shared" si="0"/>
        <v>659797</v>
      </c>
      <c r="E7" s="585">
        <v>1128430</v>
      </c>
      <c r="F7" s="1774">
        <f t="shared" si="1"/>
        <v>502966</v>
      </c>
    </row>
    <row r="8" spans="1:6" ht="13.7" customHeight="1" x14ac:dyDescent="0.2">
      <c r="A8" s="716" t="s">
        <v>1241</v>
      </c>
      <c r="B8" s="1771">
        <f>'Revenues 9-14'!G5</f>
        <v>217299</v>
      </c>
      <c r="C8" s="585">
        <v>120308</v>
      </c>
      <c r="D8" s="1774">
        <f t="shared" si="0"/>
        <v>96991</v>
      </c>
      <c r="E8" s="585">
        <v>216815</v>
      </c>
      <c r="F8" s="1774">
        <f t="shared" si="1"/>
        <v>96507</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71421</v>
      </c>
      <c r="C10" s="585">
        <v>42307</v>
      </c>
      <c r="D10" s="1774">
        <f t="shared" si="0"/>
        <v>29114</v>
      </c>
      <c r="E10" s="585">
        <v>76187</v>
      </c>
      <c r="F10" s="1774">
        <f t="shared" si="1"/>
        <v>33880</v>
      </c>
    </row>
    <row r="11" spans="1:6" x14ac:dyDescent="0.2">
      <c r="A11" s="716" t="s">
        <v>429</v>
      </c>
      <c r="B11" s="1771">
        <f>'Revenues 9-14'!J5</f>
        <v>78745</v>
      </c>
      <c r="C11" s="585">
        <v>38739</v>
      </c>
      <c r="D11" s="1774">
        <f t="shared" si="0"/>
        <v>40006</v>
      </c>
      <c r="E11" s="585">
        <v>69078</v>
      </c>
      <c r="F11" s="1774">
        <f t="shared" si="1"/>
        <v>30339</v>
      </c>
    </row>
    <row r="12" spans="1:6" ht="13.7" customHeight="1" x14ac:dyDescent="0.2">
      <c r="A12" s="716" t="s">
        <v>159</v>
      </c>
      <c r="B12" s="1771">
        <f>'Revenues 9-14'!K5</f>
        <v>117595</v>
      </c>
      <c r="C12" s="585">
        <v>68349</v>
      </c>
      <c r="D12" s="1774">
        <f t="shared" si="0"/>
        <v>49246</v>
      </c>
      <c r="E12" s="585">
        <v>123166</v>
      </c>
      <c r="F12" s="1774">
        <f t="shared" si="1"/>
        <v>54817</v>
      </c>
    </row>
    <row r="13" spans="1:6" ht="13.7" customHeight="1" x14ac:dyDescent="0.2">
      <c r="A13" s="716" t="s">
        <v>993</v>
      </c>
      <c r="B13" s="1771">
        <f>SUM('Revenues 9-14'!C6:D6)</f>
        <v>73003</v>
      </c>
      <c r="C13" s="585">
        <v>42009</v>
      </c>
      <c r="D13" s="1774">
        <f t="shared" si="0"/>
        <v>30994</v>
      </c>
      <c r="E13" s="585">
        <v>75105</v>
      </c>
      <c r="F13" s="1774">
        <f t="shared" si="1"/>
        <v>33096</v>
      </c>
    </row>
    <row r="14" spans="1:6" ht="13.7" customHeight="1" x14ac:dyDescent="0.2">
      <c r="A14" s="716" t="s">
        <v>430</v>
      </c>
      <c r="B14" s="1771">
        <f>SUM('Revenues 9-14'!C7:D7,'Revenues 9-14'!F7:H7)</f>
        <v>457686</v>
      </c>
      <c r="C14" s="585">
        <v>279794</v>
      </c>
      <c r="D14" s="1774">
        <f t="shared" si="0"/>
        <v>177892</v>
      </c>
      <c r="E14" s="585">
        <v>502400</v>
      </c>
      <c r="F14" s="1774">
        <f t="shared" si="1"/>
        <v>222606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376571</v>
      </c>
      <c r="C16" s="585">
        <v>210770</v>
      </c>
      <c r="D16" s="1774">
        <f t="shared" si="0"/>
        <v>165801</v>
      </c>
      <c r="E16" s="585">
        <v>379234</v>
      </c>
      <c r="F16" s="1774">
        <f t="shared" si="1"/>
        <v>168464</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10823387</v>
      </c>
      <c r="C19" s="1772">
        <f>SUM(C4:C18)</f>
        <v>5779989</v>
      </c>
      <c r="D19" s="1772">
        <f>SUM(D4:D18)</f>
        <v>5043398</v>
      </c>
      <c r="E19" s="1772">
        <f>SUM(E4:E18)</f>
        <v>10406989</v>
      </c>
      <c r="F19" s="1772">
        <f>SUM(F4:F18)</f>
        <v>4627000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&amp;L&amp;8Print Date: &amp;D
&amp;F&amp;C68</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Normal="100" workbookViewId="0"/>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7" t="s">
        <v>2038</v>
      </c>
      <c r="D2" s="724" t="s">
        <v>2045</v>
      </c>
      <c r="E2" s="724" t="s">
        <v>2046</v>
      </c>
      <c r="F2" s="1907" t="s">
        <v>2039</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6">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3" t="s">
        <v>652</v>
      </c>
      <c r="B15" s="2204"/>
      <c r="C15" s="1776">
        <f>SUM(C6:C14)</f>
        <v>0</v>
      </c>
      <c r="D15" s="1776">
        <f>SUM(D6:D14)</f>
        <v>0</v>
      </c>
      <c r="E15" s="1776">
        <f>SUM(E6:E14)</f>
        <v>0</v>
      </c>
      <c r="F15" s="1776">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6">
        <f>SUM(C17+D17)-E17</f>
        <v>0</v>
      </c>
    </row>
    <row r="18" spans="1:11" ht="12.75" customHeight="1" thickTop="1" thickBot="1" x14ac:dyDescent="0.25">
      <c r="A18" s="2226" t="s">
        <v>6</v>
      </c>
      <c r="B18" s="2227"/>
      <c r="C18" s="727"/>
      <c r="D18" s="585"/>
      <c r="E18" s="727"/>
      <c r="F18" s="1776">
        <f>SUM(C18+D18)-E18</f>
        <v>0</v>
      </c>
    </row>
    <row r="19" spans="1:11" ht="12.75" customHeight="1" thickTop="1" thickBot="1" x14ac:dyDescent="0.25">
      <c r="A19" s="2226" t="s">
        <v>406</v>
      </c>
      <c r="B19" s="2227"/>
      <c r="C19" s="727"/>
      <c r="D19" s="585"/>
      <c r="E19" s="727"/>
      <c r="F19" s="1776">
        <f>SUM(C19+D19)-E19</f>
        <v>0</v>
      </c>
    </row>
    <row r="20" spans="1:11" ht="12.75" customHeight="1" thickTop="1" thickBot="1" x14ac:dyDescent="0.25">
      <c r="A20" s="2226" t="s">
        <v>468</v>
      </c>
      <c r="B20" s="2227"/>
      <c r="C20" s="727"/>
      <c r="D20" s="585"/>
      <c r="E20" s="727"/>
      <c r="F20" s="1776">
        <f>SUM(C20+D20)-E20</f>
        <v>0</v>
      </c>
    </row>
    <row r="21" spans="1:11" ht="14.25" thickTop="1" thickBot="1" x14ac:dyDescent="0.25">
      <c r="A21" s="2203" t="s">
        <v>653</v>
      </c>
      <c r="B21" s="2204"/>
      <c r="C21" s="1776">
        <f>SUM(C17:C20)</f>
        <v>0</v>
      </c>
      <c r="D21" s="1776">
        <f>SUM(D17:D20)</f>
        <v>0</v>
      </c>
      <c r="E21" s="1776">
        <f>SUM(E17:E20)</f>
        <v>0</v>
      </c>
      <c r="F21" s="1776">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6">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6">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6">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2094</v>
      </c>
      <c r="B31" s="734">
        <v>40674</v>
      </c>
      <c r="C31" s="735">
        <v>1750000</v>
      </c>
      <c r="D31" s="736">
        <v>4</v>
      </c>
      <c r="E31" s="735">
        <v>580000</v>
      </c>
      <c r="F31" s="735"/>
      <c r="G31" s="735"/>
      <c r="H31" s="735">
        <v>270000</v>
      </c>
      <c r="I31" s="1777">
        <f>((E31+F31)-H31)+G31</f>
        <v>310000</v>
      </c>
      <c r="J31" s="735"/>
      <c r="K31" s="737"/>
    </row>
    <row r="32" spans="1:11" ht="12" customHeight="1" x14ac:dyDescent="0.2">
      <c r="A32" s="733" t="s">
        <v>2095</v>
      </c>
      <c r="B32" s="734">
        <v>42383</v>
      </c>
      <c r="C32" s="735">
        <v>1795800</v>
      </c>
      <c r="D32" s="736">
        <v>1</v>
      </c>
      <c r="E32" s="735">
        <v>889100</v>
      </c>
      <c r="F32" s="735"/>
      <c r="G32" s="735"/>
      <c r="H32" s="735">
        <v>889100</v>
      </c>
      <c r="I32" s="1777">
        <f>((E32+F32)-H32)+G32</f>
        <v>0</v>
      </c>
      <c r="J32" s="735"/>
      <c r="K32" s="737"/>
    </row>
    <row r="33" spans="1:11" ht="12" customHeight="1" x14ac:dyDescent="0.2">
      <c r="A33" s="733" t="s">
        <v>2096</v>
      </c>
      <c r="B33" s="734">
        <v>41827</v>
      </c>
      <c r="C33" s="735">
        <v>800000</v>
      </c>
      <c r="D33" s="736">
        <v>8</v>
      </c>
      <c r="E33" s="735">
        <v>2239</v>
      </c>
      <c r="F33" s="735"/>
      <c r="G33" s="735"/>
      <c r="H33" s="735">
        <v>2239</v>
      </c>
      <c r="I33" s="1777">
        <f t="shared" ref="I33:I48" si="1">((E33+F33)-H33)+G33</f>
        <v>0</v>
      </c>
      <c r="J33" s="735"/>
      <c r="K33" s="737"/>
    </row>
    <row r="34" spans="1:11" ht="12" customHeight="1" x14ac:dyDescent="0.2">
      <c r="A34" s="733" t="s">
        <v>2097</v>
      </c>
      <c r="B34" s="734">
        <v>42908</v>
      </c>
      <c r="C34" s="735">
        <v>3390400</v>
      </c>
      <c r="D34" s="736">
        <v>7</v>
      </c>
      <c r="E34" s="735">
        <v>3390400</v>
      </c>
      <c r="F34" s="735"/>
      <c r="G34" s="735"/>
      <c r="H34" s="735"/>
      <c r="I34" s="1777">
        <f t="shared" si="1"/>
        <v>3390400</v>
      </c>
      <c r="J34" s="735">
        <v>3223375</v>
      </c>
      <c r="K34" s="738"/>
    </row>
    <row r="35" spans="1:11" ht="12" customHeight="1" x14ac:dyDescent="0.2">
      <c r="A35" s="733" t="s">
        <v>2098</v>
      </c>
      <c r="B35" s="734">
        <v>43250</v>
      </c>
      <c r="C35" s="739">
        <v>7500000</v>
      </c>
      <c r="D35" s="736">
        <v>6</v>
      </c>
      <c r="E35" s="739"/>
      <c r="F35" s="739">
        <v>7500000</v>
      </c>
      <c r="G35" s="739"/>
      <c r="H35" s="739"/>
      <c r="I35" s="1777">
        <f t="shared" si="1"/>
        <v>7500000</v>
      </c>
      <c r="J35" s="739">
        <v>7500000</v>
      </c>
      <c r="K35" s="738"/>
    </row>
    <row r="36" spans="1:11" ht="12" customHeight="1" x14ac:dyDescent="0.2">
      <c r="A36" s="733" t="s">
        <v>2096</v>
      </c>
      <c r="B36" s="734">
        <v>42921</v>
      </c>
      <c r="C36" s="735">
        <v>833780</v>
      </c>
      <c r="D36" s="736">
        <v>8</v>
      </c>
      <c r="E36" s="735"/>
      <c r="F36" s="735">
        <v>833780</v>
      </c>
      <c r="G36" s="735"/>
      <c r="H36" s="735">
        <v>246940</v>
      </c>
      <c r="I36" s="1777">
        <f t="shared" si="1"/>
        <v>586840</v>
      </c>
      <c r="J36" s="735">
        <v>586840</v>
      </c>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16069980</v>
      </c>
      <c r="D49" s="746"/>
      <c r="E49" s="1777">
        <f t="shared" ref="E49:J49" si="2">SUM(E31:E48)</f>
        <v>4861739</v>
      </c>
      <c r="F49" s="1777">
        <f t="shared" si="2"/>
        <v>8333780</v>
      </c>
      <c r="G49" s="1777">
        <f t="shared" si="2"/>
        <v>0</v>
      </c>
      <c r="H49" s="1777">
        <f t="shared" si="2"/>
        <v>1408279</v>
      </c>
      <c r="I49" s="1777">
        <f t="shared" si="2"/>
        <v>11787240</v>
      </c>
      <c r="J49" s="1777">
        <f t="shared" si="2"/>
        <v>11310215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t="s">
        <v>2112</v>
      </c>
      <c r="G52" s="2223"/>
      <c r="H52" s="737"/>
      <c r="I52" s="737"/>
      <c r="J52" s="747"/>
    </row>
    <row r="53" spans="1:11" ht="11.25" customHeight="1" x14ac:dyDescent="0.2">
      <c r="A53" s="751" t="s">
        <v>969</v>
      </c>
      <c r="B53" s="752" t="s">
        <v>1008</v>
      </c>
      <c r="C53" s="747"/>
      <c r="D53" s="738"/>
      <c r="E53" s="750" t="s">
        <v>518</v>
      </c>
      <c r="F53" s="2224" t="s">
        <v>2111</v>
      </c>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&amp;L&amp;8Print Date: &amp;D 
&amp;F&amp;C69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4" colorId="8" zoomScaleNormal="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f>'Revenues 9-14'!C7</f>
        <v>457686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22615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f>'Revenues 9-14'!C147</f>
        <v>15244</v>
      </c>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8"/>
      <c r="G12" s="1779">
        <f>SUM(G5:G11)</f>
        <v>0</v>
      </c>
      <c r="H12" s="1779">
        <f>SUM(H5:H11)</f>
        <v>457686</v>
      </c>
      <c r="I12" s="1779">
        <f>SUM(I5:I11)</f>
        <v>0</v>
      </c>
      <c r="J12" s="1779">
        <f>SUM(J5:J11)</f>
        <v>0</v>
      </c>
      <c r="K12" s="1779">
        <f>SUM(K5:K11)</f>
        <v>37859</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f>H12</f>
        <v>457686</v>
      </c>
      <c r="I14" s="772"/>
      <c r="J14" s="774"/>
      <c r="K14" s="766">
        <f>K12</f>
        <v>37859</v>
      </c>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0"/>
      <c r="G21" s="793"/>
      <c r="H21" s="797"/>
      <c r="I21" s="797"/>
      <c r="J21" s="1781">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2"/>
      <c r="G23" s="1779">
        <f>SUM(G14:G16,G21,G22)</f>
        <v>0</v>
      </c>
      <c r="H23" s="1779">
        <f>SUM(H14:H16,H21,H22)</f>
        <v>457686</v>
      </c>
      <c r="I23" s="1779">
        <f>SUM(I14:I16,I21,I22)</f>
        <v>0</v>
      </c>
      <c r="J23" s="1779">
        <f>SUM(J14:J16,J21,J22)</f>
        <v>0</v>
      </c>
      <c r="K23" s="1779">
        <f>SUM(K14:K16,K21,K22)</f>
        <v>37859</v>
      </c>
    </row>
    <row r="24" spans="1:11" ht="14.25" thickTop="1" thickBot="1" x14ac:dyDescent="0.25">
      <c r="A24" s="2251" t="s">
        <v>2026</v>
      </c>
      <c r="B24" s="2250"/>
      <c r="C24" s="2250"/>
      <c r="D24" s="2250"/>
      <c r="E24" s="2250"/>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&amp;F&amp;C70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88263</v>
      </c>
      <c r="D5" s="842"/>
      <c r="E5" s="842"/>
      <c r="F5" s="1781">
        <f>(C5+D5)-E5</f>
        <v>88263</v>
      </c>
      <c r="G5" s="838"/>
      <c r="H5" s="843"/>
      <c r="I5" s="843"/>
      <c r="J5" s="843"/>
      <c r="K5" s="794"/>
      <c r="L5" s="1790">
        <f>F5-K5</f>
        <v>88263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21757637</v>
      </c>
      <c r="D8" s="845">
        <v>2974895</v>
      </c>
      <c r="E8" s="845"/>
      <c r="F8" s="1781">
        <f>(C8+D8)-E8</f>
        <v>24732532</v>
      </c>
      <c r="G8" s="844">
        <v>50</v>
      </c>
      <c r="H8" s="766">
        <v>8689282</v>
      </c>
      <c r="I8" s="766">
        <v>494651</v>
      </c>
      <c r="J8" s="766"/>
      <c r="K8" s="1790">
        <f>(H8+I8)-J8</f>
        <v>9183933</v>
      </c>
      <c r="L8" s="1790">
        <f>F8-K8</f>
        <v>15548599</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174179</v>
      </c>
      <c r="D10" s="847"/>
      <c r="E10" s="847"/>
      <c r="F10" s="1785">
        <f>(C10+D10)-E10</f>
        <v>174179</v>
      </c>
      <c r="G10" s="844">
        <v>20</v>
      </c>
      <c r="H10" s="848">
        <v>163273</v>
      </c>
      <c r="I10" s="848">
        <v>8709</v>
      </c>
      <c r="J10" s="848"/>
      <c r="K10" s="1790">
        <f>(H10+I10)-J10</f>
        <v>171982</v>
      </c>
      <c r="L10" s="1790">
        <f>F10-K10</f>
        <v>2197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2505385</v>
      </c>
      <c r="D12" s="845">
        <v>239168</v>
      </c>
      <c r="E12" s="845">
        <v>209122</v>
      </c>
      <c r="F12" s="1781">
        <f>(C12+D12)-E12</f>
        <v>2535431</v>
      </c>
      <c r="G12" s="844">
        <v>10</v>
      </c>
      <c r="H12" s="766">
        <v>1572975</v>
      </c>
      <c r="I12" s="766">
        <v>254855</v>
      </c>
      <c r="J12" s="766">
        <v>209122</v>
      </c>
      <c r="K12" s="1790">
        <f>(H12+I12)-J12</f>
        <v>1618708</v>
      </c>
      <c r="L12" s="1790">
        <f>F12-K12</f>
        <v>916723</v>
      </c>
    </row>
    <row r="13" spans="1:14" ht="14.25" thickTop="1" thickBot="1" x14ac:dyDescent="0.25">
      <c r="A13" s="849" t="s">
        <v>1184</v>
      </c>
      <c r="B13" s="841">
        <v>252</v>
      </c>
      <c r="C13" s="845">
        <v>1851394</v>
      </c>
      <c r="D13" s="845">
        <v>2068014</v>
      </c>
      <c r="E13" s="845">
        <f>1851394+2068014-3281555</f>
        <v>637853</v>
      </c>
      <c r="F13" s="1781">
        <f>(C13+D13)-E13</f>
        <v>3281555</v>
      </c>
      <c r="G13" s="844">
        <v>5</v>
      </c>
      <c r="H13" s="766">
        <v>1108350</v>
      </c>
      <c r="I13" s="766">
        <v>332907</v>
      </c>
      <c r="J13" s="766">
        <f>1108350+332907-1440875</f>
        <v>382</v>
      </c>
      <c r="K13" s="1790">
        <f>(H13+I13)-J13</f>
        <v>1440875</v>
      </c>
      <c r="L13" s="1790">
        <f>F13-K13</f>
        <v>1840680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26376858</v>
      </c>
      <c r="D16" s="1781">
        <f>SUM(D3,D5:D6,D8:D10,D12:D15)</f>
        <v>5282077</v>
      </c>
      <c r="E16" s="1781">
        <f>SUM(E3,E5:E6,E8:E10,E12:E15)</f>
        <v>846975</v>
      </c>
      <c r="F16" s="1781">
        <f>SUM(F3,F5:F6,F8:F10,F12:F15)</f>
        <v>30811960</v>
      </c>
      <c r="G16" s="844"/>
      <c r="H16" s="1781">
        <f>SUM(H3,H6,H8:H10,H12:H14,)</f>
        <v>11533880</v>
      </c>
      <c r="I16" s="1781">
        <f>SUM(I3,I6,I8:I10,I12:I14,)</f>
        <v>1091122</v>
      </c>
      <c r="J16" s="1781">
        <f>SUM(J3,J6,J8:J10,J12:J14,)</f>
        <v>209504</v>
      </c>
      <c r="K16" s="1781">
        <f>(H16+I16)-J16</f>
        <v>12415498</v>
      </c>
      <c r="L16" s="1781">
        <f>F16-K16</f>
        <v>18396462</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1091122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&amp;F&amp;C71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70" colorId="8" zoomScaleNormal="100" workbookViewId="0"/>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12713580</v>
      </c>
      <c r="G8" s="866"/>
    </row>
    <row r="9" spans="1:7" x14ac:dyDescent="0.2">
      <c r="A9" s="870" t="s">
        <v>480</v>
      </c>
      <c r="B9" s="871" t="s">
        <v>1989</v>
      </c>
      <c r="C9" s="872"/>
      <c r="D9" s="870" t="s">
        <v>522</v>
      </c>
      <c r="E9" s="869"/>
      <c r="F9" s="1933">
        <f>'Expenditures 15-22'!K151</f>
        <v>1388834</v>
      </c>
      <c r="G9" s="873"/>
    </row>
    <row r="10" spans="1:7" x14ac:dyDescent="0.2">
      <c r="A10" s="870" t="s">
        <v>520</v>
      </c>
      <c r="B10" s="871" t="s">
        <v>1990</v>
      </c>
      <c r="C10" s="872"/>
      <c r="D10" s="870" t="s">
        <v>522</v>
      </c>
      <c r="E10" s="869"/>
      <c r="F10" s="1933">
        <f>'Expenditures 15-22'!K174</f>
        <v>1454219</v>
      </c>
      <c r="G10" s="873"/>
    </row>
    <row r="11" spans="1:7" x14ac:dyDescent="0.2">
      <c r="A11" s="870" t="s">
        <v>481</v>
      </c>
      <c r="B11" s="871" t="s">
        <v>1991</v>
      </c>
      <c r="C11" s="872"/>
      <c r="D11" s="870" t="s">
        <v>522</v>
      </c>
      <c r="E11" s="869"/>
      <c r="F11" s="1933">
        <f>'Expenditures 15-22'!K210</f>
        <v>2796916</v>
      </c>
      <c r="G11" s="873"/>
    </row>
    <row r="12" spans="1:7" x14ac:dyDescent="0.2">
      <c r="A12" s="870" t="s">
        <v>482</v>
      </c>
      <c r="B12" s="871" t="s">
        <v>1992</v>
      </c>
      <c r="C12" s="872"/>
      <c r="D12" s="870" t="s">
        <v>522</v>
      </c>
      <c r="E12" s="869"/>
      <c r="F12" s="1933">
        <f>'Expenditures 15-22'!K295</f>
        <v>514867</v>
      </c>
      <c r="G12" s="873"/>
    </row>
    <row r="13" spans="1:7" x14ac:dyDescent="0.2">
      <c r="A13" s="870" t="s">
        <v>108</v>
      </c>
      <c r="B13" s="871" t="s">
        <v>1993</v>
      </c>
      <c r="C13" s="872"/>
      <c r="D13" s="870" t="s">
        <v>522</v>
      </c>
      <c r="E13" s="869"/>
      <c r="F13" s="1933">
        <f>'Expenditures 15-22'!K342</f>
        <v>67834</v>
      </c>
      <c r="G13" s="874"/>
    </row>
    <row r="14" spans="1:7" ht="12" customHeight="1" thickBot="1" x14ac:dyDescent="0.25">
      <c r="A14" s="1791"/>
      <c r="B14" s="1792"/>
      <c r="C14" s="1793"/>
      <c r="D14" s="1794" t="s">
        <v>522</v>
      </c>
      <c r="E14" s="1795" t="s">
        <v>1015</v>
      </c>
      <c r="F14" s="1796">
        <f>SUM(F8:F13)</f>
        <v>18936250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68800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1024882</v>
      </c>
      <c r="G53" s="866"/>
    </row>
    <row r="54" spans="1:7" x14ac:dyDescent="0.2">
      <c r="A54" s="870" t="s">
        <v>479</v>
      </c>
      <c r="B54" s="870" t="s">
        <v>1552</v>
      </c>
      <c r="C54" s="890" t="s">
        <v>1039</v>
      </c>
      <c r="D54" s="886" t="s">
        <v>1157</v>
      </c>
      <c r="E54" s="869"/>
      <c r="F54" s="1937">
        <f>'Expenditures 15-22'!G114</f>
        <v>239168</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17144</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1159100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246940</v>
      </c>
      <c r="G64" s="866"/>
    </row>
    <row r="65" spans="1:8" x14ac:dyDescent="0.2">
      <c r="A65" s="870" t="s">
        <v>481</v>
      </c>
      <c r="B65" s="870" t="s">
        <v>2002</v>
      </c>
      <c r="C65" s="887" t="s">
        <v>1039</v>
      </c>
      <c r="D65" s="886" t="s">
        <v>1157</v>
      </c>
      <c r="E65" s="869"/>
      <c r="F65" s="1937">
        <f>'Expenditures 15-22'!G210</f>
        <v>2068014</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744</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4824792</v>
      </c>
      <c r="G76" s="866"/>
    </row>
    <row r="77" spans="1:8" s="894" customFormat="1" ht="12" customHeight="1" thickTop="1" thickBot="1" x14ac:dyDescent="0.25">
      <c r="A77" s="1800"/>
      <c r="B77" s="1797"/>
      <c r="C77" s="1793"/>
      <c r="D77" s="1798" t="s">
        <v>2012</v>
      </c>
      <c r="E77" s="1795"/>
      <c r="F77" s="1801">
        <f>(F14-F76)</f>
        <v>14111458</v>
      </c>
      <c r="G77" s="870"/>
    </row>
    <row r="78" spans="1:8" s="894" customFormat="1" ht="12" customHeight="1" thickTop="1" x14ac:dyDescent="0.2">
      <c r="A78" s="1802"/>
      <c r="B78" s="1797"/>
      <c r="C78" s="1793"/>
      <c r="D78" s="1798" t="s">
        <v>2059</v>
      </c>
      <c r="E78" s="1795"/>
      <c r="F78" s="899">
        <v>1158.25</v>
      </c>
      <c r="G78" s="900"/>
      <c r="H78" s="870"/>
    </row>
    <row r="79" spans="1:8" s="894" customFormat="1" ht="12" customHeight="1" thickBot="1" x14ac:dyDescent="0.25">
      <c r="A79" s="1803"/>
      <c r="B79" s="1797"/>
      <c r="C79" s="1793"/>
      <c r="D79" s="1798" t="s">
        <v>2013</v>
      </c>
      <c r="E79" s="1795" t="s">
        <v>1015</v>
      </c>
      <c r="F79" s="1804">
        <f>IF(F78&gt;0,F77/F78," Complete Line 78")</f>
        <v>12183.430174832722</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2100</v>
      </c>
      <c r="G84" s="913"/>
    </row>
    <row r="85" spans="1:7" x14ac:dyDescent="0.2">
      <c r="A85" s="909" t="s">
        <v>481</v>
      </c>
      <c r="B85" s="909" t="s">
        <v>192</v>
      </c>
      <c r="C85" s="914">
        <f>'Revenues 9-14'!B44</f>
        <v>1413</v>
      </c>
      <c r="D85" s="912" t="str">
        <f>'Revenues 9-14'!A44</f>
        <v>Regular - Transp Fees from Other Sources (In State)</v>
      </c>
      <c r="E85" s="907"/>
      <c r="F85" s="1810">
        <f>'Revenues 9-14'!F44</f>
        <v>2174</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327022</v>
      </c>
      <c r="G94" s="913"/>
    </row>
    <row r="95" spans="1:7" x14ac:dyDescent="0.2">
      <c r="A95" s="909" t="s">
        <v>142</v>
      </c>
      <c r="B95" s="909" t="s">
        <v>177</v>
      </c>
      <c r="C95" s="911">
        <v>1700</v>
      </c>
      <c r="D95" s="919" t="str">
        <f>'Revenues 9-14'!A82</f>
        <v>Total District/School Activity Income</v>
      </c>
      <c r="E95" s="907"/>
      <c r="F95" s="1810">
        <f>SUM('Revenues 9-14'!C82,'Revenues 9-14'!D82)</f>
        <v>263636</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79604</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257</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322784</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1963</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15244</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580208</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1874</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158336</v>
      </c>
      <c r="G129" s="931"/>
    </row>
    <row r="130" spans="1:7" x14ac:dyDescent="0.2">
      <c r="A130" s="928" t="s">
        <v>689</v>
      </c>
      <c r="B130" s="928" t="s">
        <v>804</v>
      </c>
      <c r="C130" s="933">
        <v>4300</v>
      </c>
      <c r="D130" s="934" t="str">
        <f>'Revenues 9-14'!A211</f>
        <v>Total Title I</v>
      </c>
      <c r="E130" s="907"/>
      <c r="F130" s="1810">
        <f>SUM('Revenues 9-14'!C211,'Revenues 9-14'!D211,'Revenues 9-14'!F211,'Revenues 9-14'!G211)</f>
        <v>187918</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237208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426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102800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2283554</v>
      </c>
    </row>
    <row r="179" spans="1:7" ht="12" customHeight="1" x14ac:dyDescent="0.2">
      <c r="A179" s="1791"/>
      <c r="B179" s="1805"/>
      <c r="C179" s="1806"/>
      <c r="D179" s="1807" t="s">
        <v>2015</v>
      </c>
      <c r="E179" s="1808"/>
      <c r="F179" s="1810">
        <f>'PCTC-OEPP 27-28'!F77-F178</f>
        <v>11827904</v>
      </c>
    </row>
    <row r="180" spans="1:7" ht="12" customHeight="1" x14ac:dyDescent="0.2">
      <c r="A180" s="1791"/>
      <c r="B180" s="1805"/>
      <c r="C180" s="1806"/>
      <c r="D180" s="1807" t="s">
        <v>1924</v>
      </c>
      <c r="E180" s="1808"/>
      <c r="F180" s="1810">
        <f>'Cap Outlay Deprec 26'!I18</f>
        <v>1091122</v>
      </c>
    </row>
    <row r="181" spans="1:7" ht="12" customHeight="1" x14ac:dyDescent="0.2">
      <c r="A181" s="1791"/>
      <c r="B181" s="1805"/>
      <c r="C181" s="1806"/>
      <c r="D181" s="1807" t="s">
        <v>2016</v>
      </c>
      <c r="E181" s="1808"/>
      <c r="F181" s="1810">
        <f>F179+F180</f>
        <v>12919026</v>
      </c>
    </row>
    <row r="182" spans="1:7" ht="12" customHeight="1" x14ac:dyDescent="0.2">
      <c r="A182" s="1791"/>
      <c r="B182" s="1811"/>
      <c r="C182" s="1806"/>
      <c r="D182" s="1807" t="str">
        <f>D78</f>
        <v>9 Month ADA from District Average Daily Attendance/Prior General State Aid Inquiry 2017-2018</v>
      </c>
      <c r="E182" s="1808"/>
      <c r="F182" s="1812">
        <f>'PCTC-OEPP 27-28'!F78</f>
        <v>1158.25</v>
      </c>
      <c r="G182" s="931"/>
    </row>
    <row r="183" spans="1:7" ht="12" customHeight="1" thickBot="1" x14ac:dyDescent="0.25">
      <c r="A183" s="1791"/>
      <c r="B183" s="1811"/>
      <c r="C183" s="1806"/>
      <c r="D183" s="1807" t="s">
        <v>2017</v>
      </c>
      <c r="E183" s="1808" t="s">
        <v>1626</v>
      </c>
      <c r="F183" s="1813">
        <f>F181/F182</f>
        <v>11153.918411396504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differentFirst="1" alignWithMargins="0">
    <oddHeader xml:space="preserve">&amp;C </oddHeader>
    <oddFooter>&amp;L&amp;8Print Date: &amp;D
&amp;F&amp;C73</oddFooter>
    <firstFooter>&amp;C72</first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2104</v>
      </c>
      <c r="B17" s="1954"/>
      <c r="C17" s="1955"/>
      <c r="D17" s="1865">
        <v>0.01</v>
      </c>
      <c r="E17" s="1562">
        <f t="shared" ref="E17:E39" si="1">IF(D17&lt;=25000,D17,IF(D17&gt;25000,25000,0))</f>
        <v>0.01</v>
      </c>
      <c r="F17" s="1814">
        <f t="shared" si="0"/>
        <v>0</v>
      </c>
      <c r="G17" s="1815">
        <f>IF(F17=0,0,D17-F17)</f>
        <v>0</v>
      </c>
      <c r="H17" s="1669"/>
    </row>
    <row r="18" spans="1:8" x14ac:dyDescent="0.25">
      <c r="A18" s="1675"/>
      <c r="B18" s="1866"/>
      <c r="C18" s="1677"/>
      <c r="D18" s="1865"/>
      <c r="E18" s="1562">
        <f t="shared" ref="E18:E38" si="2">IF(D18&lt;=25000,D18,IF(D18&gt;25000,25000,0))</f>
        <v>0</v>
      </c>
      <c r="F18" s="1814">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8" si="4">IF(F18=0,0,D18-F18)</f>
        <v>0</v>
      </c>
    </row>
    <row r="19" spans="1:8" x14ac:dyDescent="0.25">
      <c r="A19" s="1675"/>
      <c r="B19" s="1867"/>
      <c r="C19" s="1677"/>
      <c r="D19" s="1865"/>
      <c r="E19" s="1562">
        <f t="shared" si="2"/>
        <v>0</v>
      </c>
      <c r="F19" s="1814">
        <f t="shared" si="3"/>
        <v>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867"/>
      <c r="C27" s="1676"/>
      <c r="D27" s="1865"/>
      <c r="E27" s="1562">
        <f t="shared" si="2"/>
        <v>0</v>
      </c>
      <c r="F27" s="1814">
        <f t="shared" si="3"/>
        <v>0</v>
      </c>
      <c r="G27" s="1815">
        <f t="shared" si="4"/>
        <v>0</v>
      </c>
    </row>
    <row r="28" spans="1:8" x14ac:dyDescent="0.25">
      <c r="A28" s="1675"/>
      <c r="B28" s="1867"/>
      <c r="C28" s="1676"/>
      <c r="D28" s="1865"/>
      <c r="E28" s="1562">
        <f t="shared" si="2"/>
        <v>0</v>
      </c>
      <c r="F28" s="1814">
        <f t="shared" si="3"/>
        <v>0</v>
      </c>
      <c r="G28" s="1815">
        <f t="shared" si="4"/>
        <v>0</v>
      </c>
    </row>
    <row r="29" spans="1:8" x14ac:dyDescent="0.25">
      <c r="A29" s="1675"/>
      <c r="B29" s="1867"/>
      <c r="C29" s="1676"/>
      <c r="D29" s="1865"/>
      <c r="E29" s="1562">
        <f t="shared" si="2"/>
        <v>0</v>
      </c>
      <c r="F29" s="1814">
        <f t="shared" si="3"/>
        <v>0</v>
      </c>
      <c r="G29" s="1815">
        <f t="shared" si="4"/>
        <v>0</v>
      </c>
    </row>
    <row r="30" spans="1:8" x14ac:dyDescent="0.25">
      <c r="A30" s="1675"/>
      <c r="B30" s="1867"/>
      <c r="C30" s="1676"/>
      <c r="D30" s="1865"/>
      <c r="E30" s="1562">
        <f t="shared" si="2"/>
        <v>0</v>
      </c>
      <c r="F30" s="1814">
        <f t="shared" si="3"/>
        <v>0</v>
      </c>
      <c r="G30" s="1815">
        <f t="shared" si="4"/>
        <v>0</v>
      </c>
    </row>
    <row r="31" spans="1:8" x14ac:dyDescent="0.25">
      <c r="A31" s="1675"/>
      <c r="B31" s="1867"/>
      <c r="C31" s="1676"/>
      <c r="D31" s="1865"/>
      <c r="E31" s="1562">
        <f t="shared" si="2"/>
        <v>0</v>
      </c>
      <c r="F31" s="1814">
        <f t="shared" si="3"/>
        <v>0</v>
      </c>
      <c r="G31" s="1815">
        <f t="shared" si="4"/>
        <v>0</v>
      </c>
    </row>
    <row r="32" spans="1:8" x14ac:dyDescent="0.25">
      <c r="A32" s="1675"/>
      <c r="B32" s="1688"/>
      <c r="C32" s="1676"/>
      <c r="D32" s="1865"/>
      <c r="E32" s="1562">
        <f t="shared" si="2"/>
        <v>0</v>
      </c>
      <c r="F32" s="1814">
        <f t="shared" si="3"/>
        <v>0</v>
      </c>
      <c r="G32" s="1815">
        <f t="shared" si="4"/>
        <v>0</v>
      </c>
    </row>
    <row r="33" spans="1:7" x14ac:dyDescent="0.25">
      <c r="A33" s="1675"/>
      <c r="B33" s="1688"/>
      <c r="C33" s="1676"/>
      <c r="D33" s="1865"/>
      <c r="E33" s="1562">
        <f t="shared" si="2"/>
        <v>0</v>
      </c>
      <c r="F33" s="1814">
        <f t="shared" si="3"/>
        <v>0</v>
      </c>
      <c r="G33" s="1815">
        <f t="shared" si="4"/>
        <v>0</v>
      </c>
    </row>
    <row r="34" spans="1:7" x14ac:dyDescent="0.25">
      <c r="A34" s="1675"/>
      <c r="B34" s="1688"/>
      <c r="C34" s="1676"/>
      <c r="D34" s="1865"/>
      <c r="E34" s="1562">
        <f t="shared" ref="E34:E36" si="5">IF(D34&lt;=25000,D34,IF(D34&gt;25000,25000,0))</f>
        <v>0</v>
      </c>
      <c r="F34" s="1814">
        <f t="shared" ref="F34:F36" si="6">IF(OR(B34="10-1000-100",B34="10-1000-200",B34="10-1000-300",B34="10-1000-400",B34="10-1000-600",B34="10-1000-800",B34="50-1000-200",B34="10-2100-100",B34="10-2100-200",B34="10-2100-300",B34="10-2100-400",B34="10-2100-600",B34="10-2100-800",B34="20-2100-200",B34="20-2190-100",B34="20-2190-200",B34="20-2190-300",B34="20-2190-400",B34="20-2190-600",B34="20-2190-800",B34="40-2190-100",B34="40-2190-200",B34="40-2190-300",B34="40-2190-400",B34="40-2190-600",B34="40-2190-800",B34="50-2190-200",B34="10-2200-100",B34="10-2200-200",B34="10-2200-300",B34="10-2200-400",B34="10-2200-600",B34="10-2200-800",B34="50-2200-200",B34="10-2300-100",B34="10-2300-200",B34="10-2300-300",B34="10-2300-400",B34="10-2300-600",B34="10-2300-800",B34="50-2300-200",B34="80-2300-100",B34="80-2300-200",B34="80-2300-300",B34="80-2300-400",B34="80-2300-600",B34="80-2300-800",B34="10-2400-100",B34="10-2400-200",B34="10-2400-300",B34="10-2400-400",B34="10-2400-600",B34="10-2400-800",B34="50-2400-200",B34="10-2510-100",B34="10-2510-200",B34="10-2510-300",B34="10-2510-400",B34="10-2510-600",B34="10-2510-800",B34="20-2510-100",B34="20-2510-200",B34="20-2510-300",B34="20-2510-400",B34="20-2510-600",B34="20-2510-800",B34="50-2510-200",B34="10-2520-100",B34="10-2520-200",B34="10-2520-300",B34="10-2520-400",B34="10-2520-600",B34="10-2520-800",B34="50-2520-200",B34="10-2540-100",B34="10-2540-200",B34="10-2540-300",B34="10-2540-400",B34="10-2540-600",B34="20-2540-800",B34="20-2540-100",B34="20-2540-200",B34="20-2540-300",B34="20-2540-400",B34="20-2540-600",B34="50-2540-200",B34="90-2540-100",B34="90-2540-200",B34="90-2540-300",B34="90-2540-400",B34="90-2540-600",B34="90-2540-800",B34="90-2540-800",B34="10-2550-100",B34="10-2550-200",B34="10-2550-300",B34="10-2550-400",B34="10-2550-600",B34="10-2550-800",B34="20-2550-100",B34="20-2550-200",B34="20-2550-300",B34="20-2550-400",B34="20-2550-600",B34="20-2550-800",B34="40-2550-100",B34="40-2550-200",B34="40-2550-300",B34="40-2550-400",B34="40-2550-600",B34="40-2550-800",B34="50-2550-200",B34="10-2560-100",B34="10-2560-200",B34="10-2560-300",B34="10-2560-400",B34="10-2560-600",B34="10-2560-800",B34="20-2560-100",B34="20-2560-200",B34="20-2560-300",B34="20-2560-400",B34="20-2560-600",B34="20-2560-800",B34="50-2560-200",B34="10-2570-100",B34="10-2570-200",B34="10-2570-300",B34="10-2570-400",B34="10-2570-600",B34="10-2570-800",B34="50-2570-200",B34="10-2610-100",B34="10-2610-200",B34="10-2610-300",B34="10-2610-400",B34="10-2610-600",B34="10-2610-800",B34="50-2610-200",B34="10-2620-100",B34="10-2620-200",B34="10-2620-300",B34="10-2620-400",B34="10-2620-600",B34="10-2620-800",B34="50-2620-200",B34="10-2630-100",B34="10-2630-200",B34="10-2630-300",B34="10-2630-400",B34="10-2630-600",B34="10-2630-800",B34="50-2630-200",B34="10-2640-100",B34="10-2640-200",B34="10-2640-300",B34="10-2640-400",B34="10-2640-600",B34="10-2640-800",B34="50-2640-200",B34="10-2660-100",B34="10-2660-200",B34="10-2660-300",B34="10-2660-400",B34="10-2660-600",B34="10-2660-800",B34="50-2660-200",B34="10-2900-100",B34="10-2900-200",B34="10-2900-300",B34="10-2900-400",B34="10-2900-600",B34="10-2900-800",B34="20-2900-100",B34="20-2900-200",B34="20-2900-300",B34="20-2900-400",B34="20-2900-600",B34="20-2900-800",B34="40-2900-100",B34="40-2900-200",B34="40-2900-300",B34="40-2900-400",B34="40-2900-600",B34="40-2900-800",B34="50-2900-200",B34="60-2900-100",B34="60-2900-200",B34="60-2900-300",B34="60-2900-400",B34="60-2900-600",B34="60-2900-800",B34="90-2900-100",B34="90-2900-200",B34="90-2900-300",B34="90-2900-400",B34="90-2900-600",B34="90-2900-800",B34="10-3000-100",B34="10-3000-200",B34="10-3000-300",B34="10-3000-400",B34="10-3000-600",B34="10-3000-800",B34="20-3000-100",B34="20-3000-200",B34="20-3000-300",B34="20-3000-400",B34="20-3000-600",B34="20-3000-800",B34="40-3000-100",B34="40-3000-200",B34="40-3000-300",B34="40-3000-400",B34="40-3000-600",B34="40-3000-800",B34="50-3000-200"),E34,0)</f>
        <v>0</v>
      </c>
      <c r="G34" s="1815">
        <f t="shared" ref="G34:G36" si="7">IF(F34=0,0,D34-F34)</f>
        <v>0</v>
      </c>
    </row>
    <row r="35" spans="1:7" x14ac:dyDescent="0.25">
      <c r="A35" s="1675"/>
      <c r="B35" s="1688"/>
      <c r="C35" s="1676"/>
      <c r="D35" s="1865"/>
      <c r="E35" s="1562">
        <f t="shared" si="5"/>
        <v>0</v>
      </c>
      <c r="F35" s="1814">
        <f t="shared" si="6"/>
        <v>0</v>
      </c>
      <c r="G35" s="1815">
        <f t="shared" si="7"/>
        <v>0</v>
      </c>
    </row>
    <row r="36" spans="1:7" x14ac:dyDescent="0.25">
      <c r="A36" s="1675"/>
      <c r="B36" s="1688"/>
      <c r="C36" s="1676"/>
      <c r="D36" s="1865"/>
      <c r="E36" s="1562">
        <f t="shared" si="5"/>
        <v>0</v>
      </c>
      <c r="F36" s="1814">
        <f t="shared" si="6"/>
        <v>0</v>
      </c>
      <c r="G36" s="1815">
        <f t="shared" si="7"/>
        <v>0</v>
      </c>
    </row>
    <row r="37" spans="1:7" x14ac:dyDescent="0.25">
      <c r="A37" s="1675"/>
      <c r="B37" s="1688"/>
      <c r="C37" s="1676"/>
      <c r="D37" s="1865"/>
      <c r="E37" s="1562">
        <f t="shared" si="2"/>
        <v>0</v>
      </c>
      <c r="F37" s="1814">
        <f t="shared" si="3"/>
        <v>0</v>
      </c>
      <c r="G37" s="1815">
        <f t="shared" si="4"/>
        <v>0</v>
      </c>
    </row>
    <row r="38" spans="1:7" x14ac:dyDescent="0.25">
      <c r="A38" s="1675"/>
      <c r="B38" s="1687"/>
      <c r="C38" s="1676"/>
      <c r="D38" s="1865"/>
      <c r="E38" s="1562">
        <f t="shared" si="2"/>
        <v>0</v>
      </c>
      <c r="F38" s="1814">
        <f t="shared" si="3"/>
        <v>0</v>
      </c>
      <c r="G38" s="1815">
        <f t="shared" si="4"/>
        <v>0</v>
      </c>
    </row>
    <row r="39" spans="1:7" x14ac:dyDescent="0.25">
      <c r="A39" s="1818" t="s">
        <v>158</v>
      </c>
      <c r="B39" s="1819"/>
      <c r="C39" s="1820"/>
      <c r="D39" s="1816">
        <f>SUM(D17:D38)</f>
        <v>0.01</v>
      </c>
      <c r="E39" s="1563">
        <f t="shared" si="1"/>
        <v>0.01</v>
      </c>
      <c r="F39" s="1816">
        <f>SUM(F17:F38)</f>
        <v>0</v>
      </c>
      <c r="G39" s="1817">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4" colorId="8" zoomScaleNormal="10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v>34855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8220776</v>
      </c>
      <c r="F19" s="1821"/>
      <c r="G19" s="1823">
        <f>'Expenditures 15-22'!K33-SUM('Expenditures 15-22'!G33,'Expenditures 15-22'!I33)+'Expenditures 15-22'!D229</f>
        <v>8220776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846876</v>
      </c>
      <c r="F21" s="1824"/>
      <c r="G21" s="1827">
        <f>'Expenditures 15-22'!K42-SUM('Expenditures 15-22'!G42,'Expenditures 15-22'!I42)+'Expenditures 15-22'!K120-SUM('Expenditures 15-22'!G120,'Expenditures 15-22'!I120)+'Expenditures 15-22'!K180-SUM('Expenditures 15-22'!G180,'Expenditures 15-22'!I180)+'Expenditures 15-22'!D238</f>
        <v>846876</v>
      </c>
      <c r="H21" s="988"/>
      <c r="I21" s="162"/>
    </row>
    <row r="22" spans="1:9" s="669" customFormat="1" ht="12" customHeight="1" x14ac:dyDescent="0.2">
      <c r="A22" s="995" t="s">
        <v>585</v>
      </c>
      <c r="B22" s="996"/>
      <c r="C22" s="994">
        <v>2200</v>
      </c>
      <c r="D22" s="1824"/>
      <c r="E22" s="1826">
        <f>'Expenditures 15-22'!K47-SUM('Expenditures 15-22'!G47,'Expenditures 15-22'!I47)+'Expenditures 15-22'!D243</f>
        <v>790082</v>
      </c>
      <c r="F22" s="1824"/>
      <c r="G22" s="1827">
        <f>'Expenditures 15-22'!K47-SUM('Expenditures 15-22'!G47,'Expenditures 15-22'!I47)+'Expenditures 15-22'!D243</f>
        <v>790082</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473985</v>
      </c>
      <c r="F23" s="1824"/>
      <c r="G23" s="1826">
        <f>'Expenditures 15-22'!K53-SUM('Expenditures 15-22'!G53,'Expenditures 15-22'!I53)+'Expenditures 15-22'!D257+'Expenditures 15-22'!K330-SUM('Expenditures 15-22'!G330,'Expenditures 15-22'!I330)</f>
        <v>473985</v>
      </c>
      <c r="H23" s="988"/>
      <c r="I23" s="162"/>
    </row>
    <row r="24" spans="1:9" s="669" customFormat="1" ht="12" customHeight="1" x14ac:dyDescent="0.2">
      <c r="A24" s="995" t="s">
        <v>587</v>
      </c>
      <c r="B24" s="996"/>
      <c r="C24" s="994">
        <v>2400</v>
      </c>
      <c r="D24" s="1824"/>
      <c r="E24" s="1826">
        <f>'Expenditures 15-22'!K57-SUM('Expenditures 15-22'!G57,'Expenditures 15-22'!I57)+'Expenditures 15-22'!D261</f>
        <v>804343</v>
      </c>
      <c r="F24" s="1824"/>
      <c r="G24" s="1827">
        <f>'Expenditures 15-22'!K57-SUM('Expenditures 15-22'!G57,'Expenditures 15-22'!I57)+'Expenditures 15-22'!D261</f>
        <v>804343</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172486</v>
      </c>
      <c r="E27" s="1826">
        <f>E8</f>
        <v>0</v>
      </c>
      <c r="F27" s="1826">
        <f>'Expenditures 15-22'!K60-SUM('Expenditures 15-22'!G60,'Expenditures 15-22'!I60)+'Expenditures 15-22'!D264-E8</f>
        <v>172486</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1456243</v>
      </c>
      <c r="F28" s="1828">
        <f>'Expenditures 15-22'!K61-SUM('Expenditures 15-22'!G61,'Expenditures 15-22'!I61)+'Expenditures 15-22'!K124-SUM('Expenditures 15-22'!G124,'Expenditures 15-22'!I124)+'Expenditures 15-22'!D266-E9</f>
        <v>1456243</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517034</v>
      </c>
      <c r="F29" s="1824"/>
      <c r="G29" s="1827">
        <f>'Expenditures 15-22'!K62-SUM('Expenditures 15-22'!G62,'Expenditures 15-22'!I62)+'Expenditures 15-22'!K125-SUM('Expenditures 15-22'!G125,'Expenditures 15-22'!I125)+'Expenditures 15-22'!K182-SUM('Expenditures 15-22'!G182,'Expenditures 15-22'!I182)+'Expenditures 15-22'!D267</f>
        <v>517034</v>
      </c>
      <c r="H29" s="986"/>
    </row>
    <row r="30" spans="1:9" ht="12" customHeight="1" x14ac:dyDescent="0.2">
      <c r="A30" s="995" t="s">
        <v>102</v>
      </c>
      <c r="B30" s="998"/>
      <c r="C30" s="994">
        <v>2560</v>
      </c>
      <c r="D30" s="1824"/>
      <c r="E30" s="1826">
        <f>'Expenditures 15-22'!K63-SUM('Expenditures 15-22'!G63,'Expenditures 15-22'!I63)+'Expenditures 15-22'!D268-E10</f>
        <v>473303</v>
      </c>
      <c r="F30" s="1824"/>
      <c r="G30" s="1826">
        <f>'Expenditures 15-22'!K63-SUM('Expenditures 15-22'!G63,'Expenditures 15-22'!I63)+'Expenditures 15-22'!D268-E10</f>
        <v>473303</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2793</v>
      </c>
      <c r="F35" s="1824"/>
      <c r="G35" s="1826">
        <f>'Expenditures 15-22'!K69-SUM('Expenditures 15-22'!G69,'Expenditures 15-22'!I69)+'Expenditures 15-22'!D274</f>
        <v>2793</v>
      </c>
    </row>
    <row r="36" spans="1:7" ht="12" customHeight="1" x14ac:dyDescent="0.2">
      <c r="A36" s="995" t="s">
        <v>423</v>
      </c>
      <c r="B36" s="998"/>
      <c r="C36" s="994">
        <v>2640</v>
      </c>
      <c r="D36" s="1826">
        <f>'Expenditures 15-22'!K70-SUM('Expenditures 15-22'!G70,'Expenditures 15-22'!I70)+'Expenditures 15-22'!D275-E13</f>
        <v>100</v>
      </c>
      <c r="E36" s="1826">
        <f>E13</f>
        <v>0</v>
      </c>
      <c r="F36" s="1826">
        <f>'Expenditures 15-22'!K70-SUM('Expenditures 15-22'!G70,'Expenditures 15-22'!I70)+'Expenditures 15-22'!D275-E13</f>
        <v>100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95673</v>
      </c>
      <c r="F38" s="1824"/>
      <c r="G38" s="1826">
        <f>'Expenditures 15-22'!K73-SUM('Expenditures 15-22'!G73,'Expenditures 15-22'!I73)+'Expenditures 15-22'!K128-SUM('Expenditures 15-22'!G128,'Expenditures 15-22'!I128)+'Expenditures 15-22'!K183-SUM('Expenditures 15-22'!G183,'Expenditures 15-22'!I183)+'Expenditures 15-22'!D278</f>
        <v>95673</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29'!G39</f>
        <v>0</v>
      </c>
      <c r="F40" s="1824"/>
      <c r="G40" s="1828">
        <f>-'Contracts Paid in CY 29'!G39</f>
        <v>0</v>
      </c>
    </row>
    <row r="41" spans="1:7" ht="12" customHeight="1" x14ac:dyDescent="0.2">
      <c r="A41" s="999" t="s">
        <v>158</v>
      </c>
      <c r="B41" s="1000"/>
      <c r="C41" s="1001"/>
      <c r="D41" s="1828">
        <f>SUM(D19:D39)</f>
        <v>172586</v>
      </c>
      <c r="E41" s="1828">
        <f>SUM(E19:E40)</f>
        <v>13681108</v>
      </c>
      <c r="F41" s="1828">
        <f>SUM(F19:F39)</f>
        <v>1628829</v>
      </c>
      <c r="G41" s="1828">
        <f>SUM(G19:G40)</f>
        <v>12224865</v>
      </c>
    </row>
    <row r="42" spans="1:7" x14ac:dyDescent="0.2">
      <c r="A42" s="988"/>
      <c r="B42" s="162"/>
      <c r="C42" s="1002"/>
      <c r="D42" s="2301" t="s">
        <v>543</v>
      </c>
      <c r="E42" s="2302"/>
      <c r="F42" s="1003" t="s">
        <v>544</v>
      </c>
      <c r="G42" s="1004"/>
    </row>
    <row r="43" spans="1:7" ht="12" customHeight="1" x14ac:dyDescent="0.2">
      <c r="A43" s="988"/>
      <c r="B43" s="162"/>
      <c r="C43" s="1002"/>
      <c r="D43" s="1829" t="s">
        <v>493</v>
      </c>
      <c r="E43" s="1830">
        <f>D41</f>
        <v>172586</v>
      </c>
      <c r="F43" s="1829" t="s">
        <v>495</v>
      </c>
      <c r="G43" s="1830">
        <f>F41</f>
        <v>1628829</v>
      </c>
    </row>
    <row r="44" spans="1:7" ht="12" customHeight="1" x14ac:dyDescent="0.2">
      <c r="A44" s="988"/>
      <c r="B44" s="162"/>
      <c r="C44" s="1002"/>
      <c r="D44" s="1829" t="s">
        <v>494</v>
      </c>
      <c r="E44" s="1830">
        <f>E41</f>
        <v>13681108</v>
      </c>
      <c r="F44" s="1829" t="s">
        <v>494</v>
      </c>
      <c r="G44" s="1830">
        <f>G41</f>
        <v>12224865</v>
      </c>
    </row>
    <row r="45" spans="1:7" ht="12" customHeight="1" x14ac:dyDescent="0.2">
      <c r="A45" s="988"/>
      <c r="B45" s="162"/>
      <c r="C45" s="162"/>
      <c r="D45" s="1831" t="s">
        <v>1063</v>
      </c>
      <c r="E45" s="1832">
        <f>(E43/E44)</f>
        <v>1.2614913938257047E-2</v>
      </c>
      <c r="F45" s="1831" t="s">
        <v>1063</v>
      </c>
      <c r="G45" s="1832">
        <f>(G43/G44)</f>
        <v>0.13323901736338192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&amp;F&amp;C75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selection sqref="A1:F1"/>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9" t="s">
        <v>1446</v>
      </c>
      <c r="B1" s="2309"/>
      <c r="C1" s="2309"/>
      <c r="D1" s="2309"/>
      <c r="E1" s="2309"/>
      <c r="F1" s="2309"/>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0" t="s">
        <v>1627</v>
      </c>
      <c r="B5" s="2311"/>
      <c r="C5" s="2312"/>
      <c r="D5" s="2312"/>
      <c r="E5" s="2312"/>
      <c r="F5" s="2312"/>
    </row>
    <row r="6" spans="1:10" ht="12" customHeight="1" x14ac:dyDescent="0.25">
      <c r="A6" s="1873"/>
      <c r="B6" s="1874"/>
      <c r="C6" s="2313" t="str">
        <f>COVER!A17</f>
        <v>Winnebago CUSD 323</v>
      </c>
      <c r="D6" s="2313"/>
      <c r="E6" s="2313"/>
      <c r="F6" s="1875"/>
    </row>
    <row r="7" spans="1:10" ht="11.25" customHeight="1" thickBot="1" x14ac:dyDescent="0.3">
      <c r="A7" s="1873"/>
      <c r="B7" s="1874"/>
      <c r="C7" s="2314">
        <f>COVER!A13</f>
        <v>4101323026</v>
      </c>
      <c r="D7" s="2314"/>
      <c r="E7" s="2314"/>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2077</v>
      </c>
      <c r="D13" s="1888" t="s">
        <v>2077</v>
      </c>
      <c r="E13" s="1891"/>
      <c r="F13" s="1890" t="s">
        <v>2099</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2077</v>
      </c>
      <c r="D26" s="1888" t="s">
        <v>2077</v>
      </c>
      <c r="E26" s="1891"/>
      <c r="F26" s="1890" t="s">
        <v>2100</v>
      </c>
      <c r="H26" s="1901">
        <f t="shared" si="0"/>
        <v>5</v>
      </c>
      <c r="I26" s="1901">
        <f t="shared" si="1"/>
        <v>5</v>
      </c>
      <c r="J26" s="1901">
        <f t="shared" si="2"/>
        <v>0</v>
      </c>
    </row>
    <row r="27" spans="1:12" ht="18.75" x14ac:dyDescent="0.2">
      <c r="A27" s="1886" t="s">
        <v>1616</v>
      </c>
      <c r="B27" s="1887"/>
      <c r="C27" s="1888" t="s">
        <v>2077</v>
      </c>
      <c r="D27" s="1888" t="s">
        <v>2077</v>
      </c>
      <c r="E27" s="1891"/>
      <c r="F27" s="1890" t="s">
        <v>2101</v>
      </c>
      <c r="H27" s="1901">
        <f t="shared" si="0"/>
        <v>5</v>
      </c>
      <c r="I27" s="1901">
        <f t="shared" si="1"/>
        <v>5</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2077</v>
      </c>
      <c r="D31" s="1888" t="s">
        <v>2077</v>
      </c>
      <c r="E31" s="1891"/>
      <c r="F31" s="1890" t="s">
        <v>2102</v>
      </c>
      <c r="H31" s="1901">
        <f t="shared" si="0"/>
        <v>5</v>
      </c>
      <c r="I31" s="1901">
        <f t="shared" si="1"/>
        <v>5</v>
      </c>
      <c r="J31" s="1901">
        <f t="shared" si="2"/>
        <v>0</v>
      </c>
      <c r="L31" s="1892"/>
    </row>
    <row r="32" spans="1:12" ht="12" customHeight="1" x14ac:dyDescent="0.2">
      <c r="A32" s="1886" t="s">
        <v>1621</v>
      </c>
      <c r="B32" s="1887"/>
      <c r="C32" s="1888" t="s">
        <v>2077</v>
      </c>
      <c r="D32" s="1888" t="s">
        <v>2077</v>
      </c>
      <c r="E32" s="1891"/>
      <c r="F32" s="1890" t="s">
        <v>2103</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25</v>
      </c>
      <c r="I34" s="1901">
        <f>SUM(I11:I32)</f>
        <v>25</v>
      </c>
      <c r="J34" s="1901">
        <f>SUM(J11:J32)</f>
        <v>0</v>
      </c>
      <c r="K34" s="1901">
        <f>SUM(H34:J34)</f>
        <v>50</v>
      </c>
    </row>
    <row r="35" spans="1:11" ht="12" customHeight="1" x14ac:dyDescent="0.2">
      <c r="A35" s="1894" t="s">
        <v>1459</v>
      </c>
      <c r="B35" s="1895"/>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1458</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7"/>
      <c r="B43" s="2318"/>
      <c r="C43" s="2318"/>
      <c r="D43" s="2318"/>
      <c r="E43" s="2318"/>
      <c r="F43" s="2319"/>
      <c r="H43" s="1902"/>
      <c r="I43" s="1902"/>
      <c r="J43" s="1902"/>
      <c r="K43" s="1902"/>
    </row>
    <row r="44" spans="1:11" s="1893" customFormat="1" ht="12" hidden="1" customHeight="1" x14ac:dyDescent="0.25">
      <c r="A44" s="2317"/>
      <c r="B44" s="2318"/>
      <c r="C44" s="2318"/>
      <c r="D44" s="2318"/>
      <c r="E44" s="2318"/>
      <c r="F44" s="231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&amp;C76</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Normal="10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3" t="str">
        <f>COVER!A17</f>
        <v>Winnebago CUSD 323</v>
      </c>
      <c r="J6" s="2334"/>
      <c r="Q6" s="1685"/>
    </row>
    <row r="7" spans="1:17" x14ac:dyDescent="0.2">
      <c r="A7" s="2335" t="s">
        <v>924</v>
      </c>
      <c r="B7" s="2336"/>
      <c r="C7" s="2336"/>
      <c r="D7" s="2336"/>
      <c r="E7" s="2337"/>
      <c r="F7" s="1018"/>
      <c r="G7" s="1010"/>
      <c r="H7" s="1017" t="s">
        <v>390</v>
      </c>
      <c r="I7" s="2338">
        <f>COVER!A13</f>
        <v>4101323026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190232</v>
      </c>
      <c r="F12" s="1040"/>
      <c r="G12" s="1833">
        <f t="shared" ref="G12:G18" si="0">SUM(E12:F12)</f>
        <v>190232</v>
      </c>
      <c r="H12" s="1041">
        <v>197171</v>
      </c>
      <c r="I12" s="1040"/>
      <c r="J12" s="1833">
        <f t="shared" ref="J12:J18" si="1">SUM(H12:I12)</f>
        <v>197171</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190232</v>
      </c>
      <c r="F19" s="1835">
        <f t="shared" si="2"/>
        <v>0</v>
      </c>
      <c r="G19" s="1835">
        <f t="shared" si="2"/>
        <v>190232</v>
      </c>
      <c r="H19" s="1835">
        <f t="shared" si="2"/>
        <v>197171</v>
      </c>
      <c r="I19" s="1835">
        <f t="shared" si="2"/>
        <v>0</v>
      </c>
      <c r="J19" s="1835">
        <f t="shared" si="2"/>
        <v>197171</v>
      </c>
    </row>
    <row r="20" spans="1:10" ht="13.5" thickTop="1" x14ac:dyDescent="0.2">
      <c r="A20" s="1036">
        <v>9</v>
      </c>
      <c r="B20" s="2345" t="s">
        <v>1703</v>
      </c>
      <c r="C20" s="2345"/>
      <c r="D20" s="2346"/>
      <c r="E20" s="1047"/>
      <c r="F20" s="1047"/>
      <c r="G20" s="1047"/>
      <c r="H20" s="1047"/>
      <c r="I20" s="1047"/>
      <c r="J20" s="1836">
        <f>IF(AND(G19&gt;0,J19&gt;0),(((J19-G19)/G19)),"Enter Budget Data")</f>
        <v>3.6476512889524373E-2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c r="B6" s="329" t="s">
        <v>2108</v>
      </c>
    </row>
    <row r="7" spans="1:2" x14ac:dyDescent="0.2">
      <c r="A7" s="1069">
        <v>3</v>
      </c>
      <c r="B7" s="329" t="s">
        <v>2106</v>
      </c>
    </row>
    <row r="8" spans="1:2" x14ac:dyDescent="0.2">
      <c r="A8" s="1069">
        <v>4</v>
      </c>
      <c r="B8" s="329" t="s">
        <v>2107</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Winnebago CUSD 323</v>
      </c>
    </row>
    <row r="65" spans="2:2" x14ac:dyDescent="0.2">
      <c r="B65" s="1071">
        <f>COVER!A13</f>
        <v>4101323026</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&amp;C78</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13124761</v>
      </c>
      <c r="C8" s="1837">
        <f>'Acct Summary 7-8'!D8</f>
        <v>1228434</v>
      </c>
      <c r="D8" s="1837">
        <f>'Acct Summary 7-8'!F8</f>
        <v>1954316</v>
      </c>
      <c r="E8" s="1837">
        <f>'Acct Summary 7-8'!I8</f>
        <v>83475</v>
      </c>
      <c r="F8" s="1837">
        <f>SUM(B8:E8)</f>
        <v>16390986</v>
      </c>
    </row>
    <row r="9" spans="1:8" s="1080" customFormat="1" ht="14.25" customHeight="1" thickBot="1" x14ac:dyDescent="0.25">
      <c r="A9" s="1079" t="s">
        <v>1436</v>
      </c>
      <c r="B9" s="1838">
        <f>'Acct Summary 7-8'!C17</f>
        <v>12713580</v>
      </c>
      <c r="C9" s="1838">
        <f>'Acct Summary 7-8'!D17</f>
        <v>1388834</v>
      </c>
      <c r="D9" s="1838">
        <f>'Acct Summary 7-8'!F17</f>
        <v>2796916</v>
      </c>
      <c r="E9" s="1837"/>
      <c r="F9" s="1837">
        <f>SUM(B9:E9)</f>
        <v>16899330</v>
      </c>
    </row>
    <row r="10" spans="1:8" s="1080" customFormat="1" ht="14.25" thickTop="1" thickBot="1" x14ac:dyDescent="0.25">
      <c r="A10" s="1081" t="s">
        <v>1437</v>
      </c>
      <c r="B10" s="1839">
        <f>(B8-B9)</f>
        <v>411181</v>
      </c>
      <c r="C10" s="1839">
        <f>(C8-C9)</f>
        <v>-160400</v>
      </c>
      <c r="D10" s="1839">
        <f>(D8-D9)</f>
        <v>-842600</v>
      </c>
      <c r="E10" s="1838">
        <f>(E8-E9)</f>
        <v>83475</v>
      </c>
      <c r="F10" s="1840">
        <f>SUM(F8-F9)</f>
        <v>-508344</v>
      </c>
    </row>
    <row r="11" spans="1:8" s="1080" customFormat="1" ht="14.25" thickTop="1" thickBot="1" x14ac:dyDescent="0.25">
      <c r="A11" s="1082" t="s">
        <v>1785</v>
      </c>
      <c r="B11" s="1841">
        <f>'Acct Summary 7-8'!C81</f>
        <v>4562466</v>
      </c>
      <c r="C11" s="1841">
        <f>'Acct Summary 7-8'!D81</f>
        <v>1249767</v>
      </c>
      <c r="D11" s="1841">
        <f>'Acct Summary 7-8'!F81</f>
        <v>4895437</v>
      </c>
      <c r="E11" s="1841">
        <f>'Acct Summary 7-8'!I81</f>
        <v>974919</v>
      </c>
      <c r="F11" s="1842">
        <f>SUM(B11:E11)</f>
        <v>11682589</v>
      </c>
    </row>
    <row r="12" spans="1:8" ht="16.5" customHeight="1" thickTop="1" x14ac:dyDescent="0.2">
      <c r="A12" s="1083"/>
      <c r="B12" s="1084"/>
      <c r="C12" s="2357" t="str">
        <f>IF(AND(F10&lt;0,F11&gt;=0,ABS(F10*3)&gt;ABS(F11)),A16,IF(AND(F10&lt;0,F11&gt;0,ABS(F10*3)&lt;=ABS(F11)),A17,IF(AND(F10&lt;0,F11&lt;0),A16,IF(F11=0,A19,A18))))</f>
        <v>Unbalanced -  however, a deficit reduction plan is not required at this time.</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4101323026</v>
      </c>
    </row>
    <row r="3" spans="1:2" x14ac:dyDescent="0.2">
      <c r="A3" t="s">
        <v>1013</v>
      </c>
      <c r="B3" s="138" t="str">
        <f>COVER!A15</f>
        <v>WINNEBAGO</v>
      </c>
    </row>
    <row r="4" spans="1:2" x14ac:dyDescent="0.2">
      <c r="A4" t="s">
        <v>1064</v>
      </c>
      <c r="B4" s="138" t="str">
        <f>COVER!A17</f>
        <v>Winnebago CUSD 323</v>
      </c>
    </row>
    <row r="5" spans="1:2" x14ac:dyDescent="0.2">
      <c r="A5" t="s">
        <v>728</v>
      </c>
      <c r="B5" s="138" t="str">
        <f>COVER!A38</f>
        <v>JOHN SCHWUCHOW</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J. Schueler</v>
      </c>
    </row>
    <row r="18" spans="1:2" x14ac:dyDescent="0.2">
      <c r="A18" t="s">
        <v>1212</v>
      </c>
      <c r="B18" s="138" t="str">
        <f>COVER!T17</f>
        <v>403 East 3rd Street</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35521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4594508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32042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32042</v>
      </c>
      <c r="C91" s="2" t="s">
        <v>594</v>
      </c>
      <c r="D91" s="2" t="str">
        <f t="shared" si="0"/>
        <v>Error?</v>
      </c>
    </row>
    <row r="92" spans="1:4" x14ac:dyDescent="0.2">
      <c r="A92" s="5">
        <v>31</v>
      </c>
      <c r="B92" s="138">
        <f>'Assets-Liab 5-6'!C39</f>
        <v>4562466</v>
      </c>
      <c r="D92" s="2" t="str">
        <f t="shared" si="0"/>
        <v>Error?</v>
      </c>
    </row>
    <row r="93" spans="1:4" x14ac:dyDescent="0.2">
      <c r="A93" s="5">
        <v>32</v>
      </c>
      <c r="B93" s="138">
        <f>'Assets-Liab 5-6'!C41</f>
        <v>4594508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1249767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1249767</v>
      </c>
      <c r="D123" s="2" t="str">
        <f t="shared" si="0"/>
        <v>Error?</v>
      </c>
    </row>
    <row r="124" spans="1:4" x14ac:dyDescent="0.2">
      <c r="A124" s="5">
        <v>63</v>
      </c>
      <c r="B124" s="138">
        <f>'Assets-Liab 5-6'!D41</f>
        <v>1249767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477025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477025</v>
      </c>
      <c r="D140" s="2" t="str">
        <f t="shared" si="1"/>
        <v>Error?</v>
      </c>
    </row>
    <row r="141" spans="1:4" x14ac:dyDescent="0.2">
      <c r="A141" s="5">
        <v>80</v>
      </c>
      <c r="B141" s="138">
        <f>'Assets-Liab 5-6'!E41</f>
        <v>477025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4895437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4895437</v>
      </c>
      <c r="D170" s="2" t="str">
        <f t="shared" si="1"/>
        <v>Error?</v>
      </c>
    </row>
    <row r="171" spans="1:4" x14ac:dyDescent="0.2">
      <c r="A171" s="5">
        <v>110</v>
      </c>
      <c r="B171" s="138">
        <f>'Assets-Liab 5-6'!F41</f>
        <v>4895437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430680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430680</v>
      </c>
      <c r="D189" s="2" t="str">
        <f t="shared" si="1"/>
        <v>Error?</v>
      </c>
    </row>
    <row r="190" spans="1:4" x14ac:dyDescent="0.2">
      <c r="A190" s="5">
        <v>129</v>
      </c>
      <c r="B190" s="138">
        <f>'Assets-Liab 5-6'!G41</f>
        <v>430680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5552840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5552840</v>
      </c>
      <c r="D212" s="2" t="str">
        <f t="shared" si="2"/>
        <v>Error?</v>
      </c>
    </row>
    <row r="213" spans="1:4" x14ac:dyDescent="0.2">
      <c r="A213" s="12">
        <v>152</v>
      </c>
      <c r="B213" s="138">
        <f>'Assets-Liab 5-6'!H41</f>
        <v>5552840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88263</v>
      </c>
      <c r="D273" s="2" t="str">
        <f t="shared" si="3"/>
        <v>Error?</v>
      </c>
    </row>
    <row r="274" spans="1:4" x14ac:dyDescent="0.2">
      <c r="A274" s="5">
        <v>213</v>
      </c>
      <c r="B274" s="138">
        <f>'Assets-Liab 5-6'!M17</f>
        <v>24732532</v>
      </c>
      <c r="D274" s="2" t="str">
        <f t="shared" si="3"/>
        <v>Error?</v>
      </c>
    </row>
    <row r="275" spans="1:4" x14ac:dyDescent="0.2">
      <c r="A275" s="5">
        <v>214</v>
      </c>
      <c r="B275" s="138">
        <f>'Assets-Liab 5-6'!M18</f>
        <v>174179</v>
      </c>
      <c r="D275" s="2" t="str">
        <f t="shared" si="3"/>
        <v>Error?</v>
      </c>
    </row>
    <row r="276" spans="1:4" x14ac:dyDescent="0.2">
      <c r="A276" s="5">
        <v>215</v>
      </c>
      <c r="B276" s="138">
        <f>'Assets-Liab 5-6'!M19</f>
        <v>5816986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30811960</v>
      </c>
      <c r="C279" s="2" t="s">
        <v>594</v>
      </c>
      <c r="D279" s="2" t="str">
        <f t="shared" si="3"/>
        <v>Error?</v>
      </c>
    </row>
    <row r="280" spans="1:4" x14ac:dyDescent="0.2">
      <c r="A280" s="5">
        <v>219</v>
      </c>
      <c r="B280" s="138">
        <f>'Assets-Liab 5-6'!M40</f>
        <v>30811960</v>
      </c>
      <c r="D280" s="2" t="str">
        <f t="shared" si="3"/>
        <v>Error?</v>
      </c>
    </row>
    <row r="281" spans="1:4" x14ac:dyDescent="0.2">
      <c r="A281" s="5">
        <v>220</v>
      </c>
      <c r="B281" s="138">
        <f>'Assets-Liab 5-6'!M41</f>
        <v>30811960</v>
      </c>
      <c r="C281" s="2" t="s">
        <v>594</v>
      </c>
      <c r="D281" s="2" t="str">
        <f t="shared" si="3"/>
        <v>Error?</v>
      </c>
    </row>
    <row r="282" spans="1:4" x14ac:dyDescent="0.2">
      <c r="A282" s="5">
        <v>221</v>
      </c>
      <c r="B282" s="138">
        <f>'Assets-Liab 5-6'!N21</f>
        <v>477025</v>
      </c>
      <c r="D282" s="2" t="str">
        <f t="shared" si="3"/>
        <v>Error?</v>
      </c>
    </row>
    <row r="283" spans="1:4" x14ac:dyDescent="0.2">
      <c r="A283" s="5">
        <v>222</v>
      </c>
      <c r="B283" s="138">
        <f>'Assets-Liab 5-6'!N22</f>
        <v>11310215</v>
      </c>
      <c r="D283" s="2" t="str">
        <f t="shared" si="3"/>
        <v>Error?</v>
      </c>
    </row>
    <row r="284" spans="1:4" x14ac:dyDescent="0.2">
      <c r="A284" s="5">
        <v>223</v>
      </c>
      <c r="B284" s="138">
        <f>'Assets-Liab 5-6'!N23</f>
        <v>11787240</v>
      </c>
      <c r="C284" s="2" t="s">
        <v>594</v>
      </c>
      <c r="D284" s="2" t="str">
        <f t="shared" si="3"/>
        <v>Error?</v>
      </c>
    </row>
    <row r="285" spans="1:4" x14ac:dyDescent="0.2">
      <c r="A285" s="5">
        <v>224</v>
      </c>
      <c r="B285" s="138">
        <f>'Assets-Liab 5-6'!N36</f>
        <v>11787240</v>
      </c>
      <c r="D285" s="2" t="str">
        <f t="shared" si="3"/>
        <v>Error?</v>
      </c>
    </row>
    <row r="286" spans="1:4" x14ac:dyDescent="0.2">
      <c r="A286" s="10">
        <v>225</v>
      </c>
      <c r="D286" s="2" t="str">
        <f t="shared" si="3"/>
        <v>OK</v>
      </c>
    </row>
    <row r="287" spans="1:4" x14ac:dyDescent="0.2">
      <c r="A287" s="5">
        <v>226</v>
      </c>
      <c r="B287" s="138">
        <f>'Assets-Liab 5-6'!N37</f>
        <v>11787240</v>
      </c>
      <c r="C287" s="2" t="s">
        <v>594</v>
      </c>
      <c r="D287" s="2" t="str">
        <f t="shared" si="3"/>
        <v>Error?</v>
      </c>
    </row>
    <row r="288" spans="1:4" x14ac:dyDescent="0.2">
      <c r="A288" s="5">
        <v>227</v>
      </c>
      <c r="B288" s="138">
        <f>'Assets-Liab 5-6'!N41</f>
        <v>11787240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540757</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7500000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4706821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15644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165197</v>
      </c>
      <c r="D717" s="2" t="str">
        <f t="shared" si="10"/>
        <v>Error?</v>
      </c>
    </row>
    <row r="718" spans="1:4" x14ac:dyDescent="0.2">
      <c r="A718" s="5">
        <v>657</v>
      </c>
      <c r="B718" s="138">
        <f>'Expenditures 15-22'!C14</f>
        <v>292519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6605223</v>
      </c>
      <c r="C720" s="2" t="s">
        <v>594</v>
      </c>
      <c r="D720" s="2" t="str">
        <f t="shared" si="10"/>
        <v>Error?</v>
      </c>
    </row>
    <row r="721" spans="1:4" x14ac:dyDescent="0.2">
      <c r="A721" s="5">
        <v>660</v>
      </c>
      <c r="B721" s="138">
        <f>'Expenditures 15-22'!C36</f>
        <v>171344</v>
      </c>
      <c r="D721" s="2" t="str">
        <f t="shared" si="10"/>
        <v>Error?</v>
      </c>
    </row>
    <row r="722" spans="1:4" x14ac:dyDescent="0.2">
      <c r="A722" s="5">
        <v>661</v>
      </c>
      <c r="B722" s="138">
        <f>'Expenditures 15-22'!C37</f>
        <v>235356</v>
      </c>
      <c r="D722" s="2" t="str">
        <f t="shared" si="10"/>
        <v>Error?</v>
      </c>
    </row>
    <row r="723" spans="1:4" x14ac:dyDescent="0.2">
      <c r="A723" s="5">
        <v>662</v>
      </c>
      <c r="B723" s="138">
        <f>'Expenditures 15-22'!C38</f>
        <v>120449</v>
      </c>
      <c r="D723" s="2" t="str">
        <f t="shared" si="10"/>
        <v>Error?</v>
      </c>
    </row>
    <row r="724" spans="1:4" x14ac:dyDescent="0.2">
      <c r="A724" s="5">
        <v>663</v>
      </c>
      <c r="B724" s="138">
        <f>'Expenditures 15-22'!C39</f>
        <v>104377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74032</v>
      </c>
      <c r="D726" s="2" t="str">
        <f t="shared" si="10"/>
        <v>Error?</v>
      </c>
    </row>
    <row r="727" spans="1:4" x14ac:dyDescent="0.2">
      <c r="A727" s="5">
        <v>666</v>
      </c>
      <c r="B727" s="138">
        <f>'Expenditures 15-22'!C42</f>
        <v>705558</v>
      </c>
      <c r="C727" s="2" t="s">
        <v>594</v>
      </c>
      <c r="D727" s="2" t="str">
        <f t="shared" si="10"/>
        <v>Error?</v>
      </c>
    </row>
    <row r="728" spans="1:4" x14ac:dyDescent="0.2">
      <c r="A728" s="5">
        <v>667</v>
      </c>
      <c r="B728" s="138">
        <f>'Expenditures 15-22'!C44</f>
        <v>16116</v>
      </c>
      <c r="D728" s="2" t="str">
        <f t="shared" si="10"/>
        <v>Error?</v>
      </c>
    </row>
    <row r="729" spans="1:4" x14ac:dyDescent="0.2">
      <c r="A729" s="5">
        <v>668</v>
      </c>
      <c r="B729" s="138">
        <f>'Expenditures 15-22'!C45</f>
        <v>351727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367843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159612</v>
      </c>
      <c r="D733" s="2" t="str">
        <f t="shared" si="10"/>
        <v>Error?</v>
      </c>
    </row>
    <row r="734" spans="1:4" x14ac:dyDescent="0.2">
      <c r="A734" s="5">
        <v>673</v>
      </c>
      <c r="B734" s="138">
        <f>'Expenditures 15-22'!C53</f>
        <v>231216</v>
      </c>
      <c r="C734" s="2" t="s">
        <v>594</v>
      </c>
      <c r="D734" s="2" t="str">
        <f t="shared" si="10"/>
        <v>Error?</v>
      </c>
    </row>
    <row r="735" spans="1:4" x14ac:dyDescent="0.2">
      <c r="A735" s="5">
        <v>674</v>
      </c>
      <c r="B735" s="138">
        <f>'Expenditures 15-22'!C55</f>
        <v>595643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595643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102661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191330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293991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2529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2529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2196780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8802003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755646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9667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21329</v>
      </c>
      <c r="D775" s="2" t="str">
        <f t="shared" si="11"/>
        <v>Error?</v>
      </c>
    </row>
    <row r="776" spans="1:4" x14ac:dyDescent="0.2">
      <c r="A776" s="5">
        <v>715</v>
      </c>
      <c r="B776" s="138">
        <f>'Expenditures 15-22'!D14</f>
        <v>24939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1024603</v>
      </c>
      <c r="C778" s="2" t="s">
        <v>594</v>
      </c>
      <c r="D778" s="2" t="str">
        <f t="shared" si="11"/>
        <v>Error?</v>
      </c>
    </row>
    <row r="779" spans="1:4" x14ac:dyDescent="0.2">
      <c r="A779" s="5">
        <v>718</v>
      </c>
      <c r="B779" s="138">
        <f>'Expenditures 15-22'!D36</f>
        <v>30177</v>
      </c>
      <c r="D779" s="2" t="str">
        <f t="shared" si="11"/>
        <v>Error?</v>
      </c>
    </row>
    <row r="780" spans="1:4" x14ac:dyDescent="0.2">
      <c r="A780" s="5">
        <v>719</v>
      </c>
      <c r="B780" s="138">
        <f>'Expenditures 15-22'!D37</f>
        <v>22188</v>
      </c>
      <c r="D780" s="2" t="str">
        <f t="shared" si="11"/>
        <v>Error?</v>
      </c>
    </row>
    <row r="781" spans="1:4" x14ac:dyDescent="0.2">
      <c r="A781" s="5">
        <v>720</v>
      </c>
      <c r="B781" s="138">
        <f>'Expenditures 15-22'!D38</f>
        <v>8531</v>
      </c>
      <c r="D781" s="2" t="str">
        <f t="shared" si="11"/>
        <v>Error?</v>
      </c>
    </row>
    <row r="782" spans="1:4" x14ac:dyDescent="0.2">
      <c r="A782" s="5">
        <v>721</v>
      </c>
      <c r="B782" s="138">
        <f>'Expenditures 15-22'!D39</f>
        <v>10665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17940</v>
      </c>
      <c r="D784" s="2" t="str">
        <f t="shared" si="11"/>
        <v>Error?</v>
      </c>
    </row>
    <row r="785" spans="1:4" x14ac:dyDescent="0.2">
      <c r="A785" s="5">
        <v>724</v>
      </c>
      <c r="B785" s="138">
        <f>'Expenditures 15-22'!D42</f>
        <v>89501</v>
      </c>
      <c r="C785" s="2" t="s">
        <v>594</v>
      </c>
      <c r="D785" s="2" t="str">
        <f t="shared" si="11"/>
        <v>Error?</v>
      </c>
    </row>
    <row r="786" spans="1:4" x14ac:dyDescent="0.2">
      <c r="A786" s="5">
        <v>725</v>
      </c>
      <c r="B786" s="138">
        <f>'Expenditures 15-22'!D44</f>
        <v>7096</v>
      </c>
      <c r="D786" s="2" t="str">
        <f t="shared" si="11"/>
        <v>Error?</v>
      </c>
    </row>
    <row r="787" spans="1:4" x14ac:dyDescent="0.2">
      <c r="A787" s="5">
        <v>726</v>
      </c>
      <c r="B787" s="138">
        <f>'Expenditures 15-22'!D45</f>
        <v>88585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95681</v>
      </c>
      <c r="C789" s="2" t="s">
        <v>594</v>
      </c>
      <c r="D789" s="2" t="str">
        <f t="shared" si="11"/>
        <v>Error?</v>
      </c>
    </row>
    <row r="790" spans="1:4" x14ac:dyDescent="0.2">
      <c r="A790" s="5">
        <v>729</v>
      </c>
      <c r="B790" s="138">
        <f>'Expenditures 15-22'!D49</f>
        <v>3404</v>
      </c>
      <c r="D790" s="2" t="str">
        <f t="shared" si="11"/>
        <v>Error?</v>
      </c>
    </row>
    <row r="791" spans="1:4" x14ac:dyDescent="0.2">
      <c r="A791" s="5">
        <v>730</v>
      </c>
      <c r="B791" s="138">
        <f>'Expenditures 15-22'!D50</f>
        <v>26807</v>
      </c>
      <c r="D791" s="2" t="str">
        <f t="shared" si="11"/>
        <v>Error?</v>
      </c>
    </row>
    <row r="792" spans="1:4" x14ac:dyDescent="0.2">
      <c r="A792" s="5">
        <v>731</v>
      </c>
      <c r="B792" s="138">
        <f>'Expenditures 15-22'!D53</f>
        <v>30897</v>
      </c>
      <c r="C792" s="2" t="s">
        <v>594</v>
      </c>
      <c r="D792" s="2" t="str">
        <f t="shared" si="11"/>
        <v>Error?</v>
      </c>
    </row>
    <row r="793" spans="1:4" x14ac:dyDescent="0.2">
      <c r="A793" s="5">
        <v>732</v>
      </c>
      <c r="B793" s="138">
        <f>'Expenditures 15-22'!D55</f>
        <v>172968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172968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15327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22570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37897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426944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1451547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58924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5854</v>
      </c>
      <c r="D833" s="2" t="str">
        <f t="shared" si="12"/>
        <v>Error?</v>
      </c>
    </row>
    <row r="834" spans="1:4" x14ac:dyDescent="0.2">
      <c r="A834" s="5">
        <v>773</v>
      </c>
      <c r="B834" s="138">
        <f>'Expenditures 15-22'!E14</f>
        <v>85100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155429</v>
      </c>
      <c r="C836" s="2" t="s">
        <v>594</v>
      </c>
      <c r="D836" s="2" t="str">
        <f t="shared" si="12"/>
        <v>Error?</v>
      </c>
    </row>
    <row r="837" spans="1:4" x14ac:dyDescent="0.2">
      <c r="A837" s="5">
        <v>776</v>
      </c>
      <c r="B837" s="138">
        <f>'Expenditures 15-22'!E36</f>
        <v>2263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69</v>
      </c>
      <c r="D839" s="2" t="str">
        <f t="shared" si="12"/>
        <v>Error?</v>
      </c>
    </row>
    <row r="840" spans="1:4" x14ac:dyDescent="0.2">
      <c r="A840" s="5">
        <v>779</v>
      </c>
      <c r="B840" s="138">
        <f>'Expenditures 15-22'!E39</f>
        <v>484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2220</v>
      </c>
      <c r="D842" s="2" t="str">
        <f t="shared" si="12"/>
        <v>Error?</v>
      </c>
    </row>
    <row r="843" spans="1:4" x14ac:dyDescent="0.2">
      <c r="A843" s="5">
        <v>782</v>
      </c>
      <c r="B843" s="138">
        <f>'Expenditures 15-22'!E42</f>
        <v>5036</v>
      </c>
      <c r="C843" s="2" t="s">
        <v>594</v>
      </c>
      <c r="D843" s="2" t="str">
        <f t="shared" si="12"/>
        <v>Error?</v>
      </c>
    </row>
    <row r="844" spans="1:4" x14ac:dyDescent="0.2">
      <c r="A844" s="5">
        <v>783</v>
      </c>
      <c r="B844" s="138">
        <f>'Expenditures 15-22'!E44</f>
        <v>10884</v>
      </c>
      <c r="D844" s="2" t="str">
        <f t="shared" si="12"/>
        <v>Error?</v>
      </c>
    </row>
    <row r="845" spans="1:4" x14ac:dyDescent="0.2">
      <c r="A845" s="5">
        <v>784</v>
      </c>
      <c r="B845" s="138">
        <f>'Expenditures 15-22'!E45</f>
        <v>155393</v>
      </c>
      <c r="D845" s="2" t="str">
        <f t="shared" si="12"/>
        <v>Error?</v>
      </c>
    </row>
    <row r="846" spans="1:4" x14ac:dyDescent="0.2">
      <c r="A846" s="5">
        <v>785</v>
      </c>
      <c r="B846" s="138">
        <f>'Expenditures 15-22'!E46</f>
        <v>18033</v>
      </c>
      <c r="D846" s="2" t="str">
        <f t="shared" si="12"/>
        <v>Error?</v>
      </c>
    </row>
    <row r="847" spans="1:4" x14ac:dyDescent="0.2">
      <c r="A847" s="5">
        <v>786</v>
      </c>
      <c r="B847" s="138">
        <f>'Expenditures 15-22'!E47</f>
        <v>184310</v>
      </c>
      <c r="C847" s="2" t="s">
        <v>594</v>
      </c>
      <c r="D847" s="2" t="str">
        <f t="shared" si="12"/>
        <v>Error?</v>
      </c>
    </row>
    <row r="848" spans="1:4" x14ac:dyDescent="0.2">
      <c r="A848" s="5">
        <v>787</v>
      </c>
      <c r="B848" s="138">
        <f>'Expenditures 15-22'!E49</f>
        <v>126095</v>
      </c>
      <c r="D848" s="2" t="str">
        <f t="shared" si="12"/>
        <v>Error?</v>
      </c>
    </row>
    <row r="849" spans="1:4" x14ac:dyDescent="0.2">
      <c r="A849" s="5">
        <v>788</v>
      </c>
      <c r="B849" s="138">
        <f>'Expenditures 15-22'!E50</f>
        <v>2618</v>
      </c>
      <c r="D849" s="2" t="str">
        <f t="shared" si="12"/>
        <v>Error?</v>
      </c>
    </row>
    <row r="850" spans="1:4" x14ac:dyDescent="0.2">
      <c r="A850" s="5">
        <v>789</v>
      </c>
      <c r="B850" s="138">
        <f>'Expenditures 15-22'!E53</f>
        <v>128713</v>
      </c>
      <c r="C850" s="2" t="s">
        <v>594</v>
      </c>
      <c r="D850" s="2" t="str">
        <f t="shared" si="12"/>
        <v>Error?</v>
      </c>
    </row>
    <row r="851" spans="1:4" x14ac:dyDescent="0.2">
      <c r="A851" s="5">
        <v>790</v>
      </c>
      <c r="B851" s="138">
        <f>'Expenditures 15-22'!E55</f>
        <v>746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34253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5846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40099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v>
      </c>
      <c r="C869" s="2" t="s">
        <v>594</v>
      </c>
      <c r="D869" s="2" t="str">
        <f t="shared" si="12"/>
        <v>Error?</v>
      </c>
    </row>
    <row r="870" spans="1:4" x14ac:dyDescent="0.2">
      <c r="A870" s="5">
        <v>809</v>
      </c>
      <c r="B870" s="138">
        <f>'Expenditures 15-22'!E73</f>
        <v>95673</v>
      </c>
      <c r="D870" s="2" t="str">
        <f t="shared" si="12"/>
        <v>Error?</v>
      </c>
    </row>
    <row r="871" spans="1:4" x14ac:dyDescent="0.2">
      <c r="A871" s="5">
        <v>810</v>
      </c>
      <c r="B871" s="138">
        <f>'Expenditures 15-22'!E74</f>
        <v>454677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610106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160775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13120</v>
      </c>
      <c r="D891" s="2" t="str">
        <f t="shared" si="12"/>
        <v>Error?</v>
      </c>
    </row>
    <row r="892" spans="1:4" x14ac:dyDescent="0.2">
      <c r="A892" s="5">
        <v>831</v>
      </c>
      <c r="B892" s="138">
        <f>'Expenditures 15-22'!F14</f>
        <v>20128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222121</v>
      </c>
      <c r="C894" s="2" t="s">
        <v>594</v>
      </c>
      <c r="D894" s="2" t="str">
        <f t="shared" si="12"/>
        <v>Error?</v>
      </c>
    </row>
    <row r="895" spans="1:4" x14ac:dyDescent="0.2">
      <c r="A895" s="5">
        <v>834</v>
      </c>
      <c r="B895" s="138">
        <f>'Expenditures 15-22'!F36</f>
        <v>4649</v>
      </c>
      <c r="D895" s="2" t="str">
        <f t="shared" ref="D895:D958" si="13">IF(ISBLANK(B895),"OK",IF(A895-B895=0,"OK","Error?"))</f>
        <v>Error?</v>
      </c>
    </row>
    <row r="896" spans="1:4" x14ac:dyDescent="0.2">
      <c r="A896" s="5">
        <v>835</v>
      </c>
      <c r="B896" s="138">
        <f>'Expenditures 15-22'!F37</f>
        <v>218</v>
      </c>
      <c r="D896" s="2" t="str">
        <f t="shared" si="13"/>
        <v>Error?</v>
      </c>
    </row>
    <row r="897" spans="1:4" x14ac:dyDescent="0.2">
      <c r="A897" s="5">
        <v>836</v>
      </c>
      <c r="B897" s="138">
        <f>'Expenditures 15-22'!F38</f>
        <v>4633</v>
      </c>
      <c r="D897" s="2" t="str">
        <f t="shared" si="13"/>
        <v>Error?</v>
      </c>
    </row>
    <row r="898" spans="1:4" x14ac:dyDescent="0.2">
      <c r="A898" s="5">
        <v>837</v>
      </c>
      <c r="B898" s="138">
        <f>'Expenditures 15-22'!F39</f>
        <v>2225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4179</v>
      </c>
      <c r="D900" s="2" t="str">
        <f t="shared" si="13"/>
        <v>Error?</v>
      </c>
    </row>
    <row r="901" spans="1:4" x14ac:dyDescent="0.2">
      <c r="A901" s="5">
        <v>840</v>
      </c>
      <c r="B901" s="138">
        <f>'Expenditures 15-22'!F42</f>
        <v>15904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91447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91447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712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2655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217584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220239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328372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550493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10013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14528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24541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214203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214203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214627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239168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19730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23505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4403</v>
      </c>
      <c r="D1022" s="2" t="str">
        <f t="shared" si="14"/>
        <v>Error?</v>
      </c>
    </row>
    <row r="1023" spans="1:4" x14ac:dyDescent="0.2">
      <c r="A1023" s="5">
        <v>962</v>
      </c>
      <c r="B1023" s="138">
        <f>'Expenditures 15-22'!H50</f>
        <v>1195</v>
      </c>
      <c r="D1023" s="2" t="str">
        <f t="shared" ref="D1023:D1086" si="15">IF(ISBLANK(B1023),"OK",IF(A1023-B1023=0,"OK","Error?"))</f>
        <v>Error?</v>
      </c>
    </row>
    <row r="1024" spans="1:4" x14ac:dyDescent="0.2">
      <c r="A1024" s="5">
        <v>963</v>
      </c>
      <c r="B1024" s="138">
        <f>'Expenditures 15-22'!H53</f>
        <v>5598</v>
      </c>
      <c r="C1024" s="2" t="s">
        <v>594</v>
      </c>
      <c r="D1024" s="2" t="str">
        <f t="shared" si="15"/>
        <v>Error?</v>
      </c>
    </row>
    <row r="1025" spans="1:4" x14ac:dyDescent="0.2">
      <c r="A1025" s="5">
        <v>964</v>
      </c>
      <c r="B1025" s="138">
        <f>'Expenditures 15-22'!H55</f>
        <v>2169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2169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4109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4109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11876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1024882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1060263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5692179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25311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205500</v>
      </c>
      <c r="C1105" s="2" t="s">
        <v>594</v>
      </c>
      <c r="D1105" s="2" t="str">
        <f t="shared" si="16"/>
        <v>Error?</v>
      </c>
    </row>
    <row r="1106" spans="1:4" x14ac:dyDescent="0.2">
      <c r="A1106" s="5">
        <v>1045</v>
      </c>
      <c r="B1106" s="138">
        <f>'Expenditures 15-22'!K14</f>
        <v>456944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8055422</v>
      </c>
      <c r="C1108" s="2" t="s">
        <v>594</v>
      </c>
      <c r="D1108" s="2" t="str">
        <f t="shared" si="16"/>
        <v>Error?</v>
      </c>
    </row>
    <row r="1109" spans="1:4" x14ac:dyDescent="0.2">
      <c r="A1109" s="5">
        <v>1048</v>
      </c>
      <c r="B1109" s="138">
        <f>'Expenditures 15-22'!K36</f>
        <v>208433</v>
      </c>
      <c r="C1109" s="2" t="s">
        <v>594</v>
      </c>
      <c r="D1109" s="2" t="str">
        <f t="shared" si="16"/>
        <v>Error?</v>
      </c>
    </row>
    <row r="1110" spans="1:4" x14ac:dyDescent="0.2">
      <c r="A1110" s="5">
        <v>1049</v>
      </c>
      <c r="B1110" s="138">
        <f>'Expenditures 15-22'!K37</f>
        <v>257762</v>
      </c>
      <c r="C1110" s="2" t="s">
        <v>594</v>
      </c>
      <c r="D1110" s="2" t="str">
        <f t="shared" si="16"/>
        <v>Error?</v>
      </c>
    </row>
    <row r="1111" spans="1:4" x14ac:dyDescent="0.2">
      <c r="A1111" s="5">
        <v>1050</v>
      </c>
      <c r="B1111" s="138">
        <f>'Expenditures 15-22'!K38</f>
        <v>133682</v>
      </c>
      <c r="C1111" s="2" t="s">
        <v>594</v>
      </c>
      <c r="D1111" s="2" t="str">
        <f t="shared" si="16"/>
        <v>Error?</v>
      </c>
    </row>
    <row r="1112" spans="1:4" x14ac:dyDescent="0.2">
      <c r="A1112" s="5">
        <v>1051</v>
      </c>
      <c r="B1112" s="138">
        <f>'Expenditures 15-22'!K39</f>
        <v>117751</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98371</v>
      </c>
      <c r="C1114" s="2" t="s">
        <v>594</v>
      </c>
      <c r="D1114" s="2" t="str">
        <f t="shared" si="16"/>
        <v>Error?</v>
      </c>
    </row>
    <row r="1115" spans="1:4" x14ac:dyDescent="0.2">
      <c r="A1115" s="5">
        <v>1054</v>
      </c>
      <c r="B1115" s="138">
        <f>'Expenditures 15-22'!K42</f>
        <v>815999</v>
      </c>
      <c r="C1115" s="2" t="s">
        <v>594</v>
      </c>
      <c r="D1115" s="2" t="str">
        <f t="shared" si="16"/>
        <v>Error?</v>
      </c>
    </row>
    <row r="1116" spans="1:4" x14ac:dyDescent="0.2">
      <c r="A1116" s="5">
        <v>1055</v>
      </c>
      <c r="B1116" s="138">
        <f>'Expenditures 15-22'!K44</f>
        <v>34096</v>
      </c>
      <c r="C1116" s="2" t="s">
        <v>594</v>
      </c>
      <c r="D1116" s="2" t="str">
        <f t="shared" si="16"/>
        <v>Error?</v>
      </c>
    </row>
    <row r="1117" spans="1:4" x14ac:dyDescent="0.2">
      <c r="A1117" s="5">
        <v>1056</v>
      </c>
      <c r="B1117" s="138">
        <f>'Expenditures 15-22'!K45</f>
        <v>901355</v>
      </c>
      <c r="C1117" s="2" t="s">
        <v>594</v>
      </c>
      <c r="D1117" s="2" t="str">
        <f t="shared" si="16"/>
        <v>Error?</v>
      </c>
    </row>
    <row r="1118" spans="1:4" x14ac:dyDescent="0.2">
      <c r="A1118" s="5">
        <v>1057</v>
      </c>
      <c r="B1118" s="138">
        <f>'Expenditures 15-22'!K46</f>
        <v>18033</v>
      </c>
      <c r="C1118" s="2" t="s">
        <v>594</v>
      </c>
      <c r="D1118" s="2" t="str">
        <f t="shared" si="16"/>
        <v>Error?</v>
      </c>
    </row>
    <row r="1119" spans="1:4" x14ac:dyDescent="0.2">
      <c r="A1119" s="5">
        <v>1058</v>
      </c>
      <c r="B1119" s="138">
        <f>'Expenditures 15-22'!K47</f>
        <v>953484</v>
      </c>
      <c r="C1119" s="2" t="s">
        <v>594</v>
      </c>
      <c r="D1119" s="2" t="str">
        <f t="shared" si="16"/>
        <v>Error?</v>
      </c>
    </row>
    <row r="1120" spans="1:4" x14ac:dyDescent="0.2">
      <c r="A1120" s="5">
        <v>1059</v>
      </c>
      <c r="B1120" s="138">
        <f>'Expenditures 15-22'!K49</f>
        <v>133902</v>
      </c>
      <c r="C1120" s="2" t="s">
        <v>594</v>
      </c>
      <c r="D1120" s="2" t="str">
        <f t="shared" si="16"/>
        <v>Error?</v>
      </c>
    </row>
    <row r="1121" spans="1:4" x14ac:dyDescent="0.2">
      <c r="A1121" s="5">
        <v>1060</v>
      </c>
      <c r="B1121" s="138">
        <f>'Expenditures 15-22'!K50</f>
        <v>190232</v>
      </c>
      <c r="C1121" s="2" t="s">
        <v>594</v>
      </c>
      <c r="D1121" s="2" t="str">
        <f t="shared" si="16"/>
        <v>Error?</v>
      </c>
    </row>
    <row r="1122" spans="1:4" x14ac:dyDescent="0.2">
      <c r="A1122" s="5">
        <v>1061</v>
      </c>
      <c r="B1122" s="138">
        <f>'Expenditures 15-22'!K53</f>
        <v>396424</v>
      </c>
      <c r="C1122" s="2" t="s">
        <v>594</v>
      </c>
      <c r="D1122" s="2" t="str">
        <f t="shared" si="16"/>
        <v>Error?</v>
      </c>
    </row>
    <row r="1123" spans="1:4" x14ac:dyDescent="0.2">
      <c r="A1123" s="5">
        <v>1062</v>
      </c>
      <c r="B1123" s="138">
        <f>'Expenditures 15-22'!K55</f>
        <v>772238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772238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154896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441863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596759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2599</v>
      </c>
      <c r="C1136" s="2" t="s">
        <v>594</v>
      </c>
      <c r="D1136" s="2" t="str">
        <f t="shared" si="16"/>
        <v>Error?</v>
      </c>
    </row>
    <row r="1137" spans="1:4" x14ac:dyDescent="0.2">
      <c r="A1137" s="5">
        <v>1076</v>
      </c>
      <c r="B1137" s="138">
        <f>'Expenditures 15-22'!K70</f>
        <v>100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2699</v>
      </c>
      <c r="C1141" s="2" t="s">
        <v>594</v>
      </c>
      <c r="D1141" s="2" t="str">
        <f t="shared" si="16"/>
        <v>Error?</v>
      </c>
    </row>
    <row r="1142" spans="1:4" x14ac:dyDescent="0.2">
      <c r="A1142" s="5">
        <v>1081</v>
      </c>
      <c r="B1142" s="138">
        <f>'Expenditures 15-22'!K73</f>
        <v>95673</v>
      </c>
      <c r="C1142" s="2" t="s">
        <v>594</v>
      </c>
      <c r="D1142" s="2" t="str">
        <f t="shared" si="16"/>
        <v>Error?</v>
      </c>
    </row>
    <row r="1143" spans="1:4" x14ac:dyDescent="0.2">
      <c r="A1143" s="5">
        <v>1082</v>
      </c>
      <c r="B1143" s="138">
        <f>'Expenditures 15-22'!K74</f>
        <v>3633276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1024882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12713580</v>
      </c>
      <c r="C1152" s="2" t="s">
        <v>594</v>
      </c>
      <c r="D1152" s="2" t="str">
        <f t="shared" si="17"/>
        <v>Error?</v>
      </c>
    </row>
    <row r="1153" spans="1:4" x14ac:dyDescent="0.2">
      <c r="A1153" s="5">
        <v>1092</v>
      </c>
      <c r="B1153" s="138">
        <f>'Expenditures 15-22'!K115</f>
        <v>411181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1025</v>
      </c>
      <c r="D1220" s="2" t="str">
        <f t="shared" si="18"/>
        <v>Error?</v>
      </c>
    </row>
    <row r="1221" spans="1:4" x14ac:dyDescent="0.2">
      <c r="A1221" s="5">
        <v>1160</v>
      </c>
      <c r="B1221" s="138">
        <f>'Expenditures 15-22'!C124</f>
        <v>565625</v>
      </c>
      <c r="D1221" s="2" t="str">
        <f t="shared" si="18"/>
        <v>Error?</v>
      </c>
    </row>
    <row r="1222" spans="1:4" x14ac:dyDescent="0.2">
      <c r="A1222" s="10">
        <v>1161</v>
      </c>
      <c r="D1222" s="2" t="str">
        <f t="shared" si="18"/>
        <v>OK</v>
      </c>
    </row>
    <row r="1223" spans="1:4" x14ac:dyDescent="0.2">
      <c r="A1223" s="5">
        <v>1162</v>
      </c>
      <c r="B1223" s="138">
        <f>'Expenditures 15-22'!C127</f>
        <v>566650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566650</v>
      </c>
      <c r="C1225" s="2" t="s">
        <v>594</v>
      </c>
      <c r="D1225" s="2" t="str">
        <f t="shared" si="18"/>
        <v>Error?</v>
      </c>
    </row>
    <row r="1226" spans="1:4" x14ac:dyDescent="0.2">
      <c r="A1226" s="5">
        <v>1165</v>
      </c>
      <c r="B1226" s="138">
        <f>'Expenditures 15-22'!C151</f>
        <v>566650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186</v>
      </c>
      <c r="D1228" s="2" t="str">
        <f t="shared" si="18"/>
        <v>Error?</v>
      </c>
    </row>
    <row r="1229" spans="1:4" x14ac:dyDescent="0.2">
      <c r="A1229" s="5">
        <v>1168</v>
      </c>
      <c r="B1229" s="138">
        <f>'Expenditures 15-22'!D124</f>
        <v>103159</v>
      </c>
      <c r="D1229" s="2" t="str">
        <f t="shared" si="18"/>
        <v>Error?</v>
      </c>
    </row>
    <row r="1230" spans="1:4" x14ac:dyDescent="0.2">
      <c r="A1230" s="10">
        <v>1169</v>
      </c>
      <c r="D1230" s="2" t="str">
        <f t="shared" si="18"/>
        <v>OK</v>
      </c>
    </row>
    <row r="1231" spans="1:4" x14ac:dyDescent="0.2">
      <c r="A1231" s="5">
        <v>1170</v>
      </c>
      <c r="B1231" s="138">
        <f>'Expenditures 15-22'!D127</f>
        <v>103345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103345</v>
      </c>
      <c r="C1233" s="2" t="s">
        <v>594</v>
      </c>
      <c r="D1233" s="2" t="str">
        <f t="shared" si="18"/>
        <v>Error?</v>
      </c>
    </row>
    <row r="1234" spans="1:4" x14ac:dyDescent="0.2">
      <c r="A1234" s="5">
        <v>1173</v>
      </c>
      <c r="B1234" s="138">
        <f>'Expenditures 15-22'!D151</f>
        <v>103345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10145</v>
      </c>
      <c r="D1236" s="2" t="str">
        <f t="shared" si="18"/>
        <v>Error?</v>
      </c>
    </row>
    <row r="1237" spans="1:4" x14ac:dyDescent="0.2">
      <c r="A1237" s="5">
        <v>1176</v>
      </c>
      <c r="B1237" s="138">
        <f>'Expenditures 15-22'!E124</f>
        <v>290579</v>
      </c>
      <c r="D1237" s="2" t="str">
        <f t="shared" si="18"/>
        <v>Error?</v>
      </c>
    </row>
    <row r="1238" spans="1:4" x14ac:dyDescent="0.2">
      <c r="A1238" s="10">
        <v>1177</v>
      </c>
      <c r="D1238" s="2" t="str">
        <f t="shared" si="18"/>
        <v>OK</v>
      </c>
    </row>
    <row r="1239" spans="1:4" x14ac:dyDescent="0.2">
      <c r="A1239" s="5">
        <v>1178</v>
      </c>
      <c r="B1239" s="138">
        <f>'Expenditures 15-22'!E127</f>
        <v>300724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300724</v>
      </c>
      <c r="C1241" s="2" t="s">
        <v>594</v>
      </c>
      <c r="D1241" s="2" t="str">
        <f t="shared" si="18"/>
        <v>Error?</v>
      </c>
    </row>
    <row r="1242" spans="1:4" x14ac:dyDescent="0.2">
      <c r="A1242" s="5">
        <v>1181</v>
      </c>
      <c r="B1242" s="138">
        <f>'Expenditures 15-22'!E151</f>
        <v>300724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1077</v>
      </c>
      <c r="D1244" s="2" t="str">
        <f t="shared" si="18"/>
        <v>Error?</v>
      </c>
    </row>
    <row r="1245" spans="1:4" x14ac:dyDescent="0.2">
      <c r="A1245" s="5">
        <v>1184</v>
      </c>
      <c r="B1245" s="138">
        <f>'Expenditures 15-22'!F124</f>
        <v>398658</v>
      </c>
      <c r="D1245" s="2" t="str">
        <f t="shared" si="18"/>
        <v>Error?</v>
      </c>
    </row>
    <row r="1246" spans="1:4" x14ac:dyDescent="0.2">
      <c r="A1246" s="10">
        <v>1185</v>
      </c>
      <c r="D1246" s="2" t="str">
        <f t="shared" si="18"/>
        <v>OK</v>
      </c>
    </row>
    <row r="1247" spans="1:4" x14ac:dyDescent="0.2">
      <c r="A1247" s="5">
        <v>1186</v>
      </c>
      <c r="B1247" s="138">
        <f>'Expenditures 15-22'!F127</f>
        <v>399735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399735</v>
      </c>
      <c r="C1249" s="2" t="s">
        <v>594</v>
      </c>
      <c r="D1249" s="2" t="str">
        <f t="shared" si="18"/>
        <v>Error?</v>
      </c>
    </row>
    <row r="1250" spans="1:4" x14ac:dyDescent="0.2">
      <c r="A1250" s="5">
        <v>1189</v>
      </c>
      <c r="B1250" s="138">
        <f>'Expenditures 15-22'!F151</f>
        <v>399735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7588</v>
      </c>
      <c r="D1252" s="2" t="str">
        <f t="shared" si="18"/>
        <v>Error?</v>
      </c>
    </row>
    <row r="1253" spans="1:4" x14ac:dyDescent="0.2">
      <c r="A1253" s="5">
        <v>1192</v>
      </c>
      <c r="B1253" s="138">
        <f>'Expenditures 15-22'!G124</f>
        <v>9556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17144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17144</v>
      </c>
      <c r="C1258" s="2" t="s">
        <v>594</v>
      </c>
      <c r="D1258" s="2" t="str">
        <f t="shared" si="18"/>
        <v>Error?</v>
      </c>
    </row>
    <row r="1259" spans="1:4" x14ac:dyDescent="0.2">
      <c r="A1259" s="5">
        <v>1198</v>
      </c>
      <c r="B1259" s="138">
        <f>'Expenditures 15-22'!G151</f>
        <v>17144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1236</v>
      </c>
      <c r="D1262" s="2" t="str">
        <f t="shared" si="18"/>
        <v>Error?</v>
      </c>
    </row>
    <row r="1263" spans="1:4" x14ac:dyDescent="0.2">
      <c r="A1263" s="10">
        <v>1202</v>
      </c>
      <c r="D1263" s="2" t="str">
        <f t="shared" si="18"/>
        <v>OK</v>
      </c>
    </row>
    <row r="1264" spans="1:4" x14ac:dyDescent="0.2">
      <c r="A1264" s="5">
        <v>1203</v>
      </c>
      <c r="B1264" s="138">
        <f>'Expenditures 15-22'!H127</f>
        <v>1236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1236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1236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20021</v>
      </c>
      <c r="C1275" s="2" t="s">
        <v>594</v>
      </c>
      <c r="D1275" s="2" t="str">
        <f t="shared" si="18"/>
        <v>Error?</v>
      </c>
    </row>
    <row r="1276" spans="1:4" x14ac:dyDescent="0.2">
      <c r="A1276" s="5">
        <v>1215</v>
      </c>
      <c r="B1276" s="138">
        <f>'Expenditures 15-22'!K124</f>
        <v>1368813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1388834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1388834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1388834</v>
      </c>
      <c r="C1288" s="2" t="s">
        <v>594</v>
      </c>
      <c r="D1288" s="2" t="str">
        <f t="shared" si="19"/>
        <v>Error?</v>
      </c>
    </row>
    <row r="1289" spans="1:4" x14ac:dyDescent="0.2">
      <c r="A1289" s="5">
        <v>1228</v>
      </c>
      <c r="B1289" s="138">
        <f>'Expenditures 15-22'!K152</f>
        <v>-160400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295119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1159100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1454219</v>
      </c>
      <c r="C1317" s="2" t="s">
        <v>594</v>
      </c>
      <c r="D1317" s="2" t="str">
        <f t="shared" si="19"/>
        <v>Error?</v>
      </c>
    </row>
    <row r="1318" spans="1:4" x14ac:dyDescent="0.2">
      <c r="A1318" s="5">
        <v>1257</v>
      </c>
      <c r="B1318" s="138">
        <f>'Expenditures 15-22'!H174</f>
        <v>1454219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295119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1159100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1454219</v>
      </c>
      <c r="C1331" s="2" t="s">
        <v>594</v>
      </c>
      <c r="D1331" s="2" t="str">
        <f t="shared" si="19"/>
        <v>Error?</v>
      </c>
    </row>
    <row r="1332" spans="1:4" x14ac:dyDescent="0.2">
      <c r="A1332" s="5">
        <v>1271</v>
      </c>
      <c r="B1332" s="138">
        <f>'Expenditures 15-22'!K174</f>
        <v>1454219</v>
      </c>
      <c r="C1332" s="2" t="s">
        <v>594</v>
      </c>
      <c r="D1332" s="2" t="str">
        <f t="shared" si="19"/>
        <v>Error?</v>
      </c>
    </row>
    <row r="1333" spans="1:4" x14ac:dyDescent="0.2">
      <c r="A1333" s="5">
        <v>1272</v>
      </c>
      <c r="B1333" s="138">
        <f>'Expenditures 15-22'!K175</f>
        <v>-713969</v>
      </c>
      <c r="C1333" s="2" t="s">
        <v>594</v>
      </c>
      <c r="D1333" s="2" t="str">
        <f t="shared" si="19"/>
        <v>Error?</v>
      </c>
    </row>
    <row r="1334" spans="1:4" x14ac:dyDescent="0.2">
      <c r="A1334" s="10">
        <v>1273</v>
      </c>
      <c r="D1334" s="2" t="str">
        <f t="shared" si="19"/>
        <v>OK</v>
      </c>
    </row>
    <row r="1335" spans="1:4" x14ac:dyDescent="0.2">
      <c r="A1335" s="5">
        <v>1274</v>
      </c>
      <c r="B1335" s="138">
        <f>'Expenditures 15-22'!C182</f>
        <v>333502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333502</v>
      </c>
      <c r="C1339" s="2" t="s">
        <v>594</v>
      </c>
      <c r="D1339" s="2" t="str">
        <f t="shared" si="19"/>
        <v>Error?</v>
      </c>
    </row>
    <row r="1340" spans="1:4" x14ac:dyDescent="0.2">
      <c r="A1340" s="5">
        <v>1279</v>
      </c>
      <c r="B1340" s="138">
        <f>'Expenditures 15-22'!C210</f>
        <v>333502</v>
      </c>
      <c r="C1340" s="2" t="s">
        <v>594</v>
      </c>
      <c r="D1340" s="2" t="str">
        <f t="shared" si="19"/>
        <v>Error?</v>
      </c>
    </row>
    <row r="1341" spans="1:4" x14ac:dyDescent="0.2">
      <c r="A1341" s="5">
        <v>1280</v>
      </c>
      <c r="B1341" s="138">
        <f>'Expenditures 15-22'!D182</f>
        <v>26461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26461</v>
      </c>
      <c r="C1345" s="2" t="s">
        <v>594</v>
      </c>
      <c r="D1345" s="2" t="str">
        <f t="shared" si="20"/>
        <v>Error?</v>
      </c>
    </row>
    <row r="1346" spans="1:4" x14ac:dyDescent="0.2">
      <c r="A1346" s="5">
        <v>1285</v>
      </c>
      <c r="B1346" s="138">
        <f>'Expenditures 15-22'!D210</f>
        <v>26461</v>
      </c>
      <c r="C1346" s="2" t="s">
        <v>594</v>
      </c>
      <c r="D1346" s="2" t="str">
        <f t="shared" si="20"/>
        <v>Error?</v>
      </c>
    </row>
    <row r="1347" spans="1:4" x14ac:dyDescent="0.2">
      <c r="A1347" s="5">
        <v>1286</v>
      </c>
      <c r="B1347" s="138">
        <f>'Expenditures 15-22'!E182</f>
        <v>25238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25238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25238</v>
      </c>
      <c r="C1353" s="2" t="s">
        <v>594</v>
      </c>
      <c r="D1353" s="2" t="str">
        <f t="shared" si="20"/>
        <v>Error?</v>
      </c>
    </row>
    <row r="1354" spans="1:4" x14ac:dyDescent="0.2">
      <c r="A1354" s="5">
        <v>1293</v>
      </c>
      <c r="B1354" s="138">
        <f>'Expenditures 15-22'!F182</f>
        <v>70344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70344</v>
      </c>
      <c r="C1358" s="2" t="s">
        <v>594</v>
      </c>
      <c r="D1358" s="2" t="str">
        <f t="shared" si="20"/>
        <v>Error?</v>
      </c>
    </row>
    <row r="1359" spans="1:4" x14ac:dyDescent="0.2">
      <c r="A1359" s="5">
        <v>1298</v>
      </c>
      <c r="B1359" s="138">
        <f>'Expenditures 15-22'!F210</f>
        <v>70344</v>
      </c>
      <c r="C1359" s="2" t="s">
        <v>594</v>
      </c>
      <c r="D1359" s="2" t="str">
        <f t="shared" si="20"/>
        <v>Error?</v>
      </c>
    </row>
    <row r="1360" spans="1:4" x14ac:dyDescent="0.2">
      <c r="A1360" s="5">
        <v>1299</v>
      </c>
      <c r="B1360" s="138">
        <f>'Expenditures 15-22'!G182</f>
        <v>2068014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2068014</v>
      </c>
      <c r="C1364" s="2" t="s">
        <v>594</v>
      </c>
      <c r="D1364" s="2" t="str">
        <f t="shared" si="20"/>
        <v>Error?</v>
      </c>
    </row>
    <row r="1365" spans="1:4" x14ac:dyDescent="0.2">
      <c r="A1365" s="5">
        <v>1304</v>
      </c>
      <c r="B1365" s="138">
        <f>'Expenditures 15-22'!G210</f>
        <v>2068014</v>
      </c>
      <c r="C1365" s="2" t="s">
        <v>594</v>
      </c>
      <c r="D1365" s="2" t="str">
        <f t="shared" si="20"/>
        <v>Error?</v>
      </c>
    </row>
    <row r="1366" spans="1:4" x14ac:dyDescent="0.2">
      <c r="A1366" s="5">
        <v>1305</v>
      </c>
      <c r="B1366" s="138">
        <f>'Expenditures 15-22'!H182</f>
        <v>6661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6661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266696</v>
      </c>
      <c r="C1375" s="2" t="s">
        <v>594</v>
      </c>
      <c r="D1375" s="2" t="str">
        <f t="shared" si="20"/>
        <v>Error?</v>
      </c>
    </row>
    <row r="1376" spans="1:4" x14ac:dyDescent="0.2">
      <c r="A1376" s="5">
        <v>1315</v>
      </c>
      <c r="B1376" s="138">
        <f>'Expenditures 15-22'!H210</f>
        <v>273357</v>
      </c>
      <c r="C1376" s="2" t="s">
        <v>594</v>
      </c>
      <c r="D1376" s="2" t="str">
        <f t="shared" si="20"/>
        <v>Error?</v>
      </c>
    </row>
    <row r="1377" spans="1:4" x14ac:dyDescent="0.2">
      <c r="A1377" s="5">
        <v>1316</v>
      </c>
      <c r="B1377" s="138">
        <f>'Expenditures 15-22'!K182</f>
        <v>2530220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2530220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266696</v>
      </c>
      <c r="C1387" s="2" t="s">
        <v>594</v>
      </c>
      <c r="D1387" s="2" t="str">
        <f t="shared" si="20"/>
        <v>Error?</v>
      </c>
    </row>
    <row r="1388" spans="1:4" x14ac:dyDescent="0.2">
      <c r="A1388" s="5">
        <v>1327</v>
      </c>
      <c r="B1388" s="138">
        <f>'Expenditures 15-22'!K210</f>
        <v>2796916</v>
      </c>
      <c r="C1388" s="2" t="s">
        <v>594</v>
      </c>
      <c r="D1388" s="2" t="str">
        <f t="shared" si="20"/>
        <v>Error?</v>
      </c>
    </row>
    <row r="1389" spans="1:4" x14ac:dyDescent="0.2">
      <c r="A1389" s="5">
        <v>1328</v>
      </c>
      <c r="B1389" s="138">
        <f>'Expenditures 15-22'!K211</f>
        <v>-842600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2757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2237</v>
      </c>
      <c r="D1407" s="2" t="str">
        <f t="shared" ref="D1407:D1470" si="21">IF(ISBLANK(B1407),"OK",IF(A1407-B1407=0,"OK","Error?"))</f>
        <v>Error?</v>
      </c>
    </row>
    <row r="1408" spans="1:4" x14ac:dyDescent="0.2">
      <c r="A1408" s="5">
        <v>1347</v>
      </c>
      <c r="B1408" s="138">
        <f>'Expenditures 15-22'!D223</f>
        <v>18564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189895</v>
      </c>
      <c r="C1410" s="2" t="s">
        <v>594</v>
      </c>
      <c r="D1410" s="2" t="str">
        <f t="shared" si="21"/>
        <v>Error?</v>
      </c>
    </row>
    <row r="1411" spans="1:4" x14ac:dyDescent="0.2">
      <c r="A1411" s="5">
        <v>1350</v>
      </c>
      <c r="B1411" s="138">
        <f>'Expenditures 15-22'!D232</f>
        <v>2550</v>
      </c>
      <c r="D1411" s="2" t="str">
        <f t="shared" si="21"/>
        <v>Error?</v>
      </c>
    </row>
    <row r="1412" spans="1:4" x14ac:dyDescent="0.2">
      <c r="A1412" s="5">
        <v>1351</v>
      </c>
      <c r="B1412" s="138">
        <f>'Expenditures 15-22'!D233</f>
        <v>6618</v>
      </c>
      <c r="D1412" s="2" t="str">
        <f t="shared" si="21"/>
        <v>Error?</v>
      </c>
    </row>
    <row r="1413" spans="1:4" x14ac:dyDescent="0.2">
      <c r="A1413" s="5">
        <v>1352</v>
      </c>
      <c r="B1413" s="138">
        <f>'Expenditures 15-22'!D234</f>
        <v>9140</v>
      </c>
      <c r="D1413" s="2" t="str">
        <f t="shared" si="21"/>
        <v>Error?</v>
      </c>
    </row>
    <row r="1414" spans="1:4" x14ac:dyDescent="0.2">
      <c r="A1414" s="5">
        <v>1353</v>
      </c>
      <c r="B1414" s="138">
        <f>'Expenditures 15-22'!D235</f>
        <v>2505</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10064</v>
      </c>
      <c r="D1416" s="2" t="str">
        <f t="shared" si="21"/>
        <v>Error?</v>
      </c>
    </row>
    <row r="1417" spans="1:4" x14ac:dyDescent="0.2">
      <c r="A1417" s="5">
        <v>1356</v>
      </c>
      <c r="B1417" s="138">
        <f>'Expenditures 15-22'!D238</f>
        <v>30877</v>
      </c>
      <c r="C1417" s="2" t="s">
        <v>594</v>
      </c>
      <c r="D1417" s="2" t="str">
        <f t="shared" si="21"/>
        <v>Error?</v>
      </c>
    </row>
    <row r="1418" spans="1:4" x14ac:dyDescent="0.2">
      <c r="A1418" s="5">
        <v>1357</v>
      </c>
      <c r="B1418" s="138">
        <f>'Expenditures 15-22'!D240</f>
        <v>202</v>
      </c>
      <c r="D1418" s="2" t="str">
        <f t="shared" si="21"/>
        <v>Error?</v>
      </c>
    </row>
    <row r="1419" spans="1:4" x14ac:dyDescent="0.2">
      <c r="A1419" s="5">
        <v>1358</v>
      </c>
      <c r="B1419" s="138">
        <f>'Expenditures 15-22'!D241</f>
        <v>50599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50801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9727</v>
      </c>
      <c r="D1423" s="2" t="str">
        <f t="shared" si="21"/>
        <v>Error?</v>
      </c>
    </row>
    <row r="1424" spans="1:4" x14ac:dyDescent="0.2">
      <c r="A1424" s="5">
        <v>1363</v>
      </c>
      <c r="B1424" s="138">
        <f>'Expenditures 15-22'!D257</f>
        <v>9727</v>
      </c>
      <c r="C1424" s="2" t="s">
        <v>594</v>
      </c>
      <c r="D1424" s="2" t="str">
        <f t="shared" si="21"/>
        <v>Error?</v>
      </c>
    </row>
    <row r="1425" spans="1:4" x14ac:dyDescent="0.2">
      <c r="A1425" s="5">
        <v>1364</v>
      </c>
      <c r="B1425" s="138">
        <f>'Expenditures 15-22'!D259</f>
        <v>32105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32105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17590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96986</v>
      </c>
      <c r="D1431" s="2" t="str">
        <f t="shared" si="21"/>
        <v>Error?</v>
      </c>
    </row>
    <row r="1432" spans="1:4" x14ac:dyDescent="0.2">
      <c r="A1432" s="5">
        <v>1371</v>
      </c>
      <c r="B1432" s="138">
        <f>'Expenditures 15-22'!D267</f>
        <v>54828</v>
      </c>
      <c r="D1432" s="2" t="str">
        <f t="shared" si="21"/>
        <v>Error?</v>
      </c>
    </row>
    <row r="1433" spans="1:4" x14ac:dyDescent="0.2">
      <c r="A1433" s="5">
        <v>1372</v>
      </c>
      <c r="B1433" s="138">
        <f>'Expenditures 15-22'!D268</f>
        <v>31864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201268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194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324972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514867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2757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2237</v>
      </c>
      <c r="C1471" s="2" t="s">
        <v>594</v>
      </c>
      <c r="D1471" s="2" t="str">
        <f t="shared" ref="D1471:D1534" si="22">IF(ISBLANK(B1471),"OK",IF(A1471-B1471=0,"OK","Error?"))</f>
        <v>Error?</v>
      </c>
    </row>
    <row r="1472" spans="1:4" x14ac:dyDescent="0.2">
      <c r="A1472" s="5">
        <v>1411</v>
      </c>
      <c r="B1472" s="138">
        <f>'Expenditures 15-22'!K223</f>
        <v>18564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189895</v>
      </c>
      <c r="C1474" s="2" t="s">
        <v>594</v>
      </c>
      <c r="D1474" s="2" t="str">
        <f t="shared" si="22"/>
        <v>Error?</v>
      </c>
    </row>
    <row r="1475" spans="1:4" x14ac:dyDescent="0.2">
      <c r="A1475" s="5">
        <v>1414</v>
      </c>
      <c r="B1475" s="138">
        <f>'Expenditures 15-22'!K232</f>
        <v>2550</v>
      </c>
      <c r="C1475" s="2" t="s">
        <v>594</v>
      </c>
      <c r="D1475" s="2" t="str">
        <f t="shared" si="22"/>
        <v>Error?</v>
      </c>
    </row>
    <row r="1476" spans="1:4" x14ac:dyDescent="0.2">
      <c r="A1476" s="5">
        <v>1415</v>
      </c>
      <c r="B1476" s="138">
        <f>'Expenditures 15-22'!K233</f>
        <v>6618</v>
      </c>
      <c r="C1476" s="2" t="s">
        <v>594</v>
      </c>
      <c r="D1476" s="2" t="str">
        <f t="shared" si="22"/>
        <v>Error?</v>
      </c>
    </row>
    <row r="1477" spans="1:4" x14ac:dyDescent="0.2">
      <c r="A1477" s="5">
        <v>1416</v>
      </c>
      <c r="B1477" s="138">
        <f>'Expenditures 15-22'!K234</f>
        <v>9140</v>
      </c>
      <c r="C1477" s="2" t="s">
        <v>594</v>
      </c>
      <c r="D1477" s="2" t="str">
        <f t="shared" si="22"/>
        <v>Error?</v>
      </c>
    </row>
    <row r="1478" spans="1:4" x14ac:dyDescent="0.2">
      <c r="A1478" s="5">
        <v>1417</v>
      </c>
      <c r="B1478" s="138">
        <f>'Expenditures 15-22'!K235</f>
        <v>2505</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10064</v>
      </c>
      <c r="C1480" s="2" t="s">
        <v>594</v>
      </c>
      <c r="D1480" s="2" t="str">
        <f t="shared" si="22"/>
        <v>Error?</v>
      </c>
    </row>
    <row r="1481" spans="1:4" x14ac:dyDescent="0.2">
      <c r="A1481" s="5">
        <v>1420</v>
      </c>
      <c r="B1481" s="138">
        <f>'Expenditures 15-22'!K238</f>
        <v>30877</v>
      </c>
      <c r="C1481" s="2" t="s">
        <v>594</v>
      </c>
      <c r="D1481" s="2" t="str">
        <f t="shared" si="22"/>
        <v>Error?</v>
      </c>
    </row>
    <row r="1482" spans="1:4" x14ac:dyDescent="0.2">
      <c r="A1482" s="5">
        <v>1421</v>
      </c>
      <c r="B1482" s="138">
        <f>'Expenditures 15-22'!K240</f>
        <v>202</v>
      </c>
      <c r="C1482" s="2" t="s">
        <v>594</v>
      </c>
      <c r="D1482" s="2" t="str">
        <f t="shared" si="22"/>
        <v>Error?</v>
      </c>
    </row>
    <row r="1483" spans="1:4" x14ac:dyDescent="0.2">
      <c r="A1483" s="5">
        <v>1422</v>
      </c>
      <c r="B1483" s="138">
        <f>'Expenditures 15-22'!K241</f>
        <v>50599</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50801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9727</v>
      </c>
      <c r="C1487" s="2" t="s">
        <v>594</v>
      </c>
      <c r="D1487" s="2" t="str">
        <f t="shared" si="22"/>
        <v>Error?</v>
      </c>
    </row>
    <row r="1488" spans="1:4" x14ac:dyDescent="0.2">
      <c r="A1488" s="5">
        <v>1427</v>
      </c>
      <c r="B1488" s="138">
        <f>'Expenditures 15-22'!K257</f>
        <v>9727</v>
      </c>
      <c r="C1488" s="2" t="s">
        <v>594</v>
      </c>
      <c r="D1488" s="2" t="str">
        <f t="shared" si="22"/>
        <v>Error?</v>
      </c>
    </row>
    <row r="1489" spans="1:4" x14ac:dyDescent="0.2">
      <c r="A1489" s="5">
        <v>1428</v>
      </c>
      <c r="B1489" s="138">
        <f>'Expenditures 15-22'!K259</f>
        <v>32105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32105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17590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96986</v>
      </c>
      <c r="C1495" s="2" t="s">
        <v>594</v>
      </c>
      <c r="D1495" s="2" t="str">
        <f t="shared" si="22"/>
        <v>Error?</v>
      </c>
    </row>
    <row r="1496" spans="1:4" x14ac:dyDescent="0.2">
      <c r="A1496" s="5">
        <v>1435</v>
      </c>
      <c r="B1496" s="138">
        <f>'Expenditures 15-22'!K267</f>
        <v>54828</v>
      </c>
      <c r="C1496" s="2" t="s">
        <v>594</v>
      </c>
      <c r="D1496" s="2" t="str">
        <f t="shared" si="22"/>
        <v>Error?</v>
      </c>
    </row>
    <row r="1497" spans="1:4" x14ac:dyDescent="0.2">
      <c r="A1497" s="5">
        <v>1436</v>
      </c>
      <c r="B1497" s="138">
        <f>'Expenditures 15-22'!K268</f>
        <v>31864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201268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194</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194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324972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514867</v>
      </c>
      <c r="C1517" s="2" t="s">
        <v>594</v>
      </c>
      <c r="D1517" s="2" t="str">
        <f t="shared" si="22"/>
        <v>Error?</v>
      </c>
    </row>
    <row r="1518" spans="1:4" x14ac:dyDescent="0.2">
      <c r="A1518" s="5">
        <v>1457</v>
      </c>
      <c r="B1518" s="138">
        <f>'Expenditures 15-22'!K296</f>
        <v>93800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1952160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1952160</v>
      </c>
      <c r="C1547" s="2" t="s">
        <v>594</v>
      </c>
      <c r="D1547" s="2" t="str">
        <f t="shared" si="23"/>
        <v>Error?</v>
      </c>
    </row>
    <row r="1548" spans="1:4" x14ac:dyDescent="0.2">
      <c r="A1548" s="5">
        <v>1487</v>
      </c>
      <c r="B1548" s="138">
        <f>'Expenditures 15-22'!G312</f>
        <v>1952160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1952160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1952160</v>
      </c>
      <c r="C1559" s="2" t="s">
        <v>594</v>
      </c>
      <c r="D1559" s="2" t="str">
        <f t="shared" si="23"/>
        <v>Error?</v>
      </c>
    </row>
    <row r="1560" spans="1:4" x14ac:dyDescent="0.2">
      <c r="A1560" s="5">
        <v>1499</v>
      </c>
      <c r="B1560" s="138">
        <f>'Expenditures 15-22'!K312</f>
        <v>1952160</v>
      </c>
      <c r="C1560" s="2" t="s">
        <v>594</v>
      </c>
      <c r="D1560" s="2" t="str">
        <f t="shared" si="23"/>
        <v>Error?</v>
      </c>
    </row>
    <row r="1561" spans="1:4" x14ac:dyDescent="0.2">
      <c r="A1561" s="5">
        <v>1500</v>
      </c>
      <c r="B1561" s="138">
        <f>'Expenditures 15-22'!K313</f>
        <v>-1947160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4151245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4562466</v>
      </c>
      <c r="C1630" s="2" t="s">
        <v>594</v>
      </c>
      <c r="D1630" s="2" t="str">
        <f t="shared" si="24"/>
        <v>Error?</v>
      </c>
    </row>
    <row r="1631" spans="1:4" x14ac:dyDescent="0.2">
      <c r="A1631" s="5">
        <v>1570</v>
      </c>
      <c r="B1631" s="138">
        <f>'Acct Summary 7-8'!D79</f>
        <v>1410167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1249767</v>
      </c>
      <c r="C1644" s="2" t="s">
        <v>594</v>
      </c>
      <c r="D1644" s="2" t="str">
        <f t="shared" si="24"/>
        <v>Error?</v>
      </c>
    </row>
    <row r="1645" spans="1:4" x14ac:dyDescent="0.2">
      <c r="A1645" s="5">
        <v>1584</v>
      </c>
      <c r="B1645" s="138">
        <f>'Acct Summary 7-8'!E79</f>
        <v>650237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477025</v>
      </c>
      <c r="C1658" s="2" t="s">
        <v>594</v>
      </c>
      <c r="D1658" s="2" t="str">
        <f t="shared" si="24"/>
        <v>Error?</v>
      </c>
    </row>
    <row r="1659" spans="1:4" x14ac:dyDescent="0.2">
      <c r="A1659" s="5">
        <v>1598</v>
      </c>
      <c r="B1659" s="138">
        <f>'Acct Summary 7-8'!F79</f>
        <v>3669873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4895437</v>
      </c>
      <c r="C1672" s="2" t="s">
        <v>594</v>
      </c>
      <c r="D1672" s="2" t="str">
        <f t="shared" si="25"/>
        <v>Error?</v>
      </c>
    </row>
    <row r="1673" spans="1:4" x14ac:dyDescent="0.2">
      <c r="A1673" s="5">
        <v>1612</v>
      </c>
      <c r="B1673" s="138">
        <f>'Acct Summary 7-8'!G79</f>
        <v>336880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430680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5552840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6272827</v>
      </c>
      <c r="C1744" s="2" t="s">
        <v>594</v>
      </c>
      <c r="D1744" s="2" t="str">
        <f t="shared" si="26"/>
        <v>Error?</v>
      </c>
    </row>
    <row r="1745" spans="1:5" x14ac:dyDescent="0.2">
      <c r="A1745" s="5">
        <v>1684</v>
      </c>
      <c r="B1745" s="138">
        <f>'Tax Sched 23'!B5</f>
        <v>1135931</v>
      </c>
      <c r="C1745" s="2" t="s">
        <v>594</v>
      </c>
      <c r="D1745" s="2" t="str">
        <f t="shared" si="26"/>
        <v>Error?</v>
      </c>
    </row>
    <row r="1746" spans="1:5" x14ac:dyDescent="0.2">
      <c r="A1746" s="5">
        <v>1685</v>
      </c>
      <c r="B1746" s="138">
        <f>'Tax Sched 23'!B6</f>
        <v>737048</v>
      </c>
      <c r="C1746" s="2" t="s">
        <v>594</v>
      </c>
      <c r="D1746" s="2" t="str">
        <f t="shared" si="26"/>
        <v>Error?</v>
      </c>
    </row>
    <row r="1747" spans="1:5" x14ac:dyDescent="0.2">
      <c r="A1747" s="5">
        <v>1686</v>
      </c>
      <c r="B1747" s="138">
        <f>'Tax Sched 23'!B7</f>
        <v>1285261</v>
      </c>
      <c r="C1747" s="2" t="s">
        <v>594</v>
      </c>
      <c r="D1747" s="2" t="str">
        <f t="shared" si="26"/>
        <v>Error?</v>
      </c>
    </row>
    <row r="1748" spans="1:5" x14ac:dyDescent="0.2">
      <c r="A1748" s="5">
        <v>1687</v>
      </c>
      <c r="B1748" s="138">
        <f>'Tax Sched 23'!B8</f>
        <v>217299</v>
      </c>
      <c r="C1748" s="2" t="s">
        <v>594</v>
      </c>
      <c r="D1748" s="2" t="str">
        <f t="shared" si="26"/>
        <v>Error?</v>
      </c>
    </row>
    <row r="1749" spans="1:5" x14ac:dyDescent="0.2">
      <c r="A1749" s="5">
        <v>1688</v>
      </c>
      <c r="B1749" s="138">
        <f>'Tax Sched 23'!B10</f>
        <v>71421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78745</v>
      </c>
      <c r="C1752" s="2" t="s">
        <v>594</v>
      </c>
      <c r="D1752" s="2" t="str">
        <f t="shared" si="26"/>
        <v>Error?</v>
      </c>
    </row>
    <row r="1753" spans="1:5" x14ac:dyDescent="0.2">
      <c r="A1753" s="5">
        <v>1692</v>
      </c>
      <c r="B1753" s="138">
        <f>'Tax Sched 23'!B12</f>
        <v>117595</v>
      </c>
      <c r="C1753" s="2" t="s">
        <v>594</v>
      </c>
      <c r="D1753" s="2" t="str">
        <f t="shared" si="26"/>
        <v>Error?</v>
      </c>
    </row>
    <row r="1754" spans="1:5" x14ac:dyDescent="0.2">
      <c r="A1754" s="5">
        <v>1693</v>
      </c>
      <c r="B1754" s="138">
        <f>'Tax Sched 23'!B14</f>
        <v>457686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10823387</v>
      </c>
      <c r="C1759" s="2" t="s">
        <v>594</v>
      </c>
      <c r="D1759" s="2" t="str">
        <f t="shared" si="26"/>
        <v>Error?</v>
      </c>
    </row>
    <row r="1760" spans="1:5" x14ac:dyDescent="0.2">
      <c r="A1760" s="5">
        <v>1699</v>
      </c>
      <c r="B1760" s="138">
        <f>'Tax Sched 23'!D4</f>
        <v>2732809</v>
      </c>
      <c r="C1760" s="2" t="s">
        <v>594</v>
      </c>
      <c r="D1760" s="2" t="str">
        <f t="shared" si="26"/>
        <v>Error?</v>
      </c>
    </row>
    <row r="1761" spans="1:5" x14ac:dyDescent="0.2">
      <c r="A1761" s="5">
        <v>1700</v>
      </c>
      <c r="B1761" s="138">
        <f>'Tax Sched 23'!D5</f>
        <v>503193</v>
      </c>
      <c r="C1761" s="2" t="s">
        <v>594</v>
      </c>
      <c r="D1761" s="2" t="str">
        <f t="shared" si="26"/>
        <v>Error?</v>
      </c>
    </row>
    <row r="1762" spans="1:5" s="8" customFormat="1" x14ac:dyDescent="0.2">
      <c r="A1762" s="5">
        <v>1701</v>
      </c>
      <c r="B1762" s="138">
        <f>'Tax Sched 23'!D6</f>
        <v>557555</v>
      </c>
      <c r="C1762" s="2" t="s">
        <v>594</v>
      </c>
      <c r="D1762" s="2" t="str">
        <f t="shared" si="26"/>
        <v>Error?</v>
      </c>
      <c r="E1762" s="9"/>
    </row>
    <row r="1763" spans="1:5" x14ac:dyDescent="0.2">
      <c r="A1763" s="5">
        <v>1702</v>
      </c>
      <c r="B1763" s="138">
        <f>'Tax Sched 23'!D7</f>
        <v>659797</v>
      </c>
      <c r="C1763" s="2" t="s">
        <v>594</v>
      </c>
      <c r="D1763" s="2" t="str">
        <f t="shared" si="26"/>
        <v>Error?</v>
      </c>
    </row>
    <row r="1764" spans="1:5" x14ac:dyDescent="0.2">
      <c r="A1764" s="5">
        <v>1703</v>
      </c>
      <c r="B1764" s="138">
        <f>'Tax Sched 23'!D8</f>
        <v>96991</v>
      </c>
      <c r="C1764" s="2" t="s">
        <v>594</v>
      </c>
      <c r="D1764" s="2" t="str">
        <f t="shared" si="26"/>
        <v>Error?</v>
      </c>
    </row>
    <row r="1765" spans="1:5" x14ac:dyDescent="0.2">
      <c r="A1765" s="5">
        <v>1704</v>
      </c>
      <c r="B1765" s="138">
        <f>'Tax Sched 23'!D10</f>
        <v>29114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40006</v>
      </c>
      <c r="C1768" s="2" t="s">
        <v>594</v>
      </c>
      <c r="D1768" s="2" t="str">
        <f t="shared" si="26"/>
        <v>Error?</v>
      </c>
    </row>
    <row r="1769" spans="1:5" x14ac:dyDescent="0.2">
      <c r="A1769" s="5">
        <v>1708</v>
      </c>
      <c r="B1769" s="138">
        <f>'Tax Sched 23'!D12</f>
        <v>49246</v>
      </c>
      <c r="C1769" s="2" t="s">
        <v>594</v>
      </c>
      <c r="D1769" s="2" t="str">
        <f t="shared" si="26"/>
        <v>Error?</v>
      </c>
    </row>
    <row r="1770" spans="1:5" x14ac:dyDescent="0.2">
      <c r="A1770" s="5">
        <v>1709</v>
      </c>
      <c r="B1770" s="138">
        <f>'Tax Sched 23'!D14</f>
        <v>177892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5043398</v>
      </c>
      <c r="C1775" s="2" t="s">
        <v>594</v>
      </c>
      <c r="D1775" s="2" t="str">
        <f t="shared" si="26"/>
        <v>Error?</v>
      </c>
    </row>
    <row r="1776" spans="1:5" x14ac:dyDescent="0.2">
      <c r="A1776" s="5">
        <v>1715</v>
      </c>
      <c r="B1776" s="138">
        <f>'Tax Sched 23'!C4</f>
        <v>3540018</v>
      </c>
      <c r="D1776" s="2" t="str">
        <f t="shared" si="26"/>
        <v>Error?</v>
      </c>
    </row>
    <row r="1777" spans="1:4" x14ac:dyDescent="0.2">
      <c r="A1777" s="5">
        <v>1716</v>
      </c>
      <c r="B1777" s="138">
        <f>'Tax Sched 23'!C5</f>
        <v>632738</v>
      </c>
      <c r="D1777" s="2" t="str">
        <f t="shared" si="26"/>
        <v>Error?</v>
      </c>
    </row>
    <row r="1778" spans="1:4" x14ac:dyDescent="0.2">
      <c r="A1778" s="5">
        <v>1717</v>
      </c>
      <c r="B1778" s="138">
        <f>'Tax Sched 23'!C6</f>
        <v>179493</v>
      </c>
      <c r="D1778" s="2" t="str">
        <f t="shared" si="26"/>
        <v>Error?</v>
      </c>
    </row>
    <row r="1779" spans="1:4" x14ac:dyDescent="0.2">
      <c r="A1779" s="5">
        <v>1718</v>
      </c>
      <c r="B1779" s="138">
        <f>'Tax Sched 23'!C7</f>
        <v>625464</v>
      </c>
      <c r="D1779" s="2" t="str">
        <f t="shared" si="26"/>
        <v>Error?</v>
      </c>
    </row>
    <row r="1780" spans="1:4" x14ac:dyDescent="0.2">
      <c r="A1780" s="5">
        <v>1719</v>
      </c>
      <c r="B1780" s="138">
        <f>'Tax Sched 23'!C8</f>
        <v>120308</v>
      </c>
      <c r="D1780" s="2" t="str">
        <f t="shared" si="26"/>
        <v>Error?</v>
      </c>
    </row>
    <row r="1781" spans="1:4" x14ac:dyDescent="0.2">
      <c r="A1781" s="5">
        <v>1720</v>
      </c>
      <c r="B1781" s="138">
        <f>'Tax Sched 23'!C10</f>
        <v>42307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38739</v>
      </c>
      <c r="D1784" s="2" t="str">
        <f t="shared" si="26"/>
        <v>Error?</v>
      </c>
    </row>
    <row r="1785" spans="1:4" x14ac:dyDescent="0.2">
      <c r="A1785" s="5">
        <v>1724</v>
      </c>
      <c r="B1785" s="138">
        <f>'Tax Sched 23'!C12</f>
        <v>68349</v>
      </c>
      <c r="D1785" s="2" t="str">
        <f t="shared" si="26"/>
        <v>Error?</v>
      </c>
    </row>
    <row r="1786" spans="1:4" x14ac:dyDescent="0.2">
      <c r="A1786" s="5">
        <v>1725</v>
      </c>
      <c r="B1786" s="138">
        <f>'Tax Sched 23'!C14</f>
        <v>279794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5779989</v>
      </c>
      <c r="C1791" s="2" t="s">
        <v>594</v>
      </c>
      <c r="D1791" s="2" t="str">
        <f t="shared" ref="D1791:D1854" si="27">IF(ISBLANK(B1791),"OK",IF(A1791-B1791=0,"OK","Error?"))</f>
        <v>Error?</v>
      </c>
    </row>
    <row r="1792" spans="1:4" x14ac:dyDescent="0.2">
      <c r="A1792" s="5">
        <v>1731</v>
      </c>
      <c r="B1792" s="138">
        <f>'Tax Sched 23'!F4</f>
        <v>2833863</v>
      </c>
      <c r="C1792" s="2" t="s">
        <v>594</v>
      </c>
      <c r="D1792" s="2" t="str">
        <f t="shared" si="27"/>
        <v>Error?</v>
      </c>
    </row>
    <row r="1793" spans="1:4" x14ac:dyDescent="0.2">
      <c r="A1793" s="5">
        <v>1732</v>
      </c>
      <c r="B1793" s="138">
        <f>'Tax Sched 23'!F5</f>
        <v>508518</v>
      </c>
      <c r="C1793" s="2" t="s">
        <v>594</v>
      </c>
      <c r="D1793" s="2" t="str">
        <f t="shared" si="27"/>
        <v>Error?</v>
      </c>
    </row>
    <row r="1794" spans="1:4" x14ac:dyDescent="0.2">
      <c r="A1794" s="5">
        <v>1733</v>
      </c>
      <c r="B1794" s="138">
        <f>'Tax Sched 23'!F6</f>
        <v>141944</v>
      </c>
      <c r="C1794" s="2" t="s">
        <v>594</v>
      </c>
      <c r="D1794" s="2" t="str">
        <f t="shared" si="27"/>
        <v>Error?</v>
      </c>
    </row>
    <row r="1795" spans="1:4" x14ac:dyDescent="0.2">
      <c r="A1795" s="5">
        <v>1734</v>
      </c>
      <c r="B1795" s="138">
        <f>'Tax Sched 23'!F7</f>
        <v>502966</v>
      </c>
      <c r="C1795" s="2" t="s">
        <v>594</v>
      </c>
      <c r="D1795" s="2" t="str">
        <f t="shared" si="27"/>
        <v>Error?</v>
      </c>
    </row>
    <row r="1796" spans="1:4" x14ac:dyDescent="0.2">
      <c r="A1796" s="5">
        <v>1735</v>
      </c>
      <c r="B1796" s="138">
        <f>'Tax Sched 23'!F8</f>
        <v>96507</v>
      </c>
      <c r="C1796" s="2" t="s">
        <v>594</v>
      </c>
      <c r="D1796" s="2" t="str">
        <f t="shared" si="27"/>
        <v>Error?</v>
      </c>
    </row>
    <row r="1797" spans="1:4" x14ac:dyDescent="0.2">
      <c r="A1797" s="5">
        <v>1736</v>
      </c>
      <c r="B1797" s="138">
        <f>'Tax Sched 23'!F10</f>
        <v>33880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30339</v>
      </c>
      <c r="C1800" s="2" t="s">
        <v>594</v>
      </c>
      <c r="D1800" s="2" t="str">
        <f t="shared" si="27"/>
        <v>Error?</v>
      </c>
    </row>
    <row r="1801" spans="1:4" x14ac:dyDescent="0.2">
      <c r="A1801" s="5">
        <v>1740</v>
      </c>
      <c r="B1801" s="138">
        <f>'Tax Sched 23'!F12</f>
        <v>54817</v>
      </c>
      <c r="C1801" s="2" t="s">
        <v>594</v>
      </c>
      <c r="D1801" s="2" t="str">
        <f t="shared" si="27"/>
        <v>Error?</v>
      </c>
    </row>
    <row r="1802" spans="1:4" x14ac:dyDescent="0.2">
      <c r="A1802" s="5">
        <v>1741</v>
      </c>
      <c r="B1802" s="138">
        <f>'Tax Sched 23'!F14</f>
        <v>222606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4627000</v>
      </c>
      <c r="C1807" s="2" t="s">
        <v>594</v>
      </c>
      <c r="D1807" s="2" t="str">
        <f t="shared" si="27"/>
        <v>Error?</v>
      </c>
    </row>
    <row r="1808" spans="1:4" x14ac:dyDescent="0.2">
      <c r="A1808" s="5">
        <v>1747</v>
      </c>
      <c r="B1808" s="138">
        <f>'Tax Sched 23'!E4</f>
        <v>6373881</v>
      </c>
      <c r="D1808" s="2" t="str">
        <f t="shared" si="27"/>
        <v>Error?</v>
      </c>
    </row>
    <row r="1809" spans="1:4" x14ac:dyDescent="0.2">
      <c r="A1809" s="5">
        <v>1748</v>
      </c>
      <c r="B1809" s="138">
        <f>'Tax Sched 23'!E5</f>
        <v>1141256</v>
      </c>
      <c r="D1809" s="2" t="str">
        <f t="shared" si="27"/>
        <v>Error?</v>
      </c>
    </row>
    <row r="1810" spans="1:4" x14ac:dyDescent="0.2">
      <c r="A1810" s="5">
        <v>1749</v>
      </c>
      <c r="B1810" s="138">
        <f>'Tax Sched 23'!E6</f>
        <v>321437</v>
      </c>
      <c r="D1810" s="2" t="str">
        <f t="shared" si="27"/>
        <v>Error?</v>
      </c>
    </row>
    <row r="1811" spans="1:4" x14ac:dyDescent="0.2">
      <c r="A1811" s="5">
        <v>1750</v>
      </c>
      <c r="B1811" s="138">
        <f>'Tax Sched 23'!E7</f>
        <v>1128430</v>
      </c>
      <c r="D1811" s="2" t="str">
        <f t="shared" si="27"/>
        <v>Error?</v>
      </c>
    </row>
    <row r="1812" spans="1:4" x14ac:dyDescent="0.2">
      <c r="A1812" s="5">
        <v>1751</v>
      </c>
      <c r="B1812" s="138">
        <f>'Tax Sched 23'!E8</f>
        <v>216815</v>
      </c>
      <c r="D1812" s="2" t="str">
        <f t="shared" si="27"/>
        <v>Error?</v>
      </c>
    </row>
    <row r="1813" spans="1:4" x14ac:dyDescent="0.2">
      <c r="A1813" s="5">
        <v>1752</v>
      </c>
      <c r="B1813" s="138">
        <f>'Tax Sched 23'!E10</f>
        <v>76187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69078</v>
      </c>
      <c r="D1816" s="2" t="str">
        <f t="shared" si="27"/>
        <v>Error?</v>
      </c>
    </row>
    <row r="1817" spans="1:4" x14ac:dyDescent="0.2">
      <c r="A1817" s="5">
        <v>1756</v>
      </c>
      <c r="B1817" s="138">
        <f>'Tax Sched 23'!E12</f>
        <v>123166</v>
      </c>
      <c r="D1817" s="2" t="str">
        <f t="shared" si="27"/>
        <v>Error?</v>
      </c>
    </row>
    <row r="1818" spans="1:4" x14ac:dyDescent="0.2">
      <c r="A1818" s="5">
        <v>1757</v>
      </c>
      <c r="B1818" s="138">
        <f>'Tax Sched 23'!E14</f>
        <v>502400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10406989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4861739</v>
      </c>
      <c r="C1939" s="2" t="s">
        <v>594</v>
      </c>
      <c r="D1939" s="2" t="str">
        <f t="shared" si="29"/>
        <v>Error?</v>
      </c>
    </row>
    <row r="1940" spans="1:5" x14ac:dyDescent="0.2">
      <c r="A1940" s="5">
        <v>1879</v>
      </c>
      <c r="B1940" s="138">
        <f>'Short-Term Long-Term Debt 24'!F49</f>
        <v>8333780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457686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457686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457686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88263</v>
      </c>
      <c r="D2008" s="2" t="str">
        <f t="shared" si="30"/>
        <v>Error?</v>
      </c>
    </row>
    <row r="2009" spans="1:4" x14ac:dyDescent="0.2">
      <c r="A2009" s="5">
        <v>1948</v>
      </c>
      <c r="B2009" s="138">
        <f>'Cap Outlay Deprec 26'!C8</f>
        <v>21757637</v>
      </c>
      <c r="D2009" s="2" t="str">
        <f t="shared" si="30"/>
        <v>Error?</v>
      </c>
    </row>
    <row r="2010" spans="1:4" x14ac:dyDescent="0.2">
      <c r="A2010" s="5">
        <v>1949</v>
      </c>
      <c r="B2010" s="138">
        <f>'Cap Outlay Deprec 26'!C10</f>
        <v>174179</v>
      </c>
      <c r="D2010" s="2" t="str">
        <f t="shared" si="30"/>
        <v>Error?</v>
      </c>
    </row>
    <row r="2011" spans="1:4" x14ac:dyDescent="0.2">
      <c r="A2011" s="5">
        <v>1950</v>
      </c>
      <c r="B2011" s="138">
        <f>'Cap Outlay Deprec 26'!C12</f>
        <v>2505385</v>
      </c>
      <c r="D2011" s="2" t="str">
        <f t="shared" si="30"/>
        <v>Error?</v>
      </c>
    </row>
    <row r="2012" spans="1:4" x14ac:dyDescent="0.2">
      <c r="A2012" s="5">
        <v>1951</v>
      </c>
      <c r="B2012" s="138">
        <f>'Cap Outlay Deprec 26'!C13</f>
        <v>1851394</v>
      </c>
      <c r="D2012" s="2" t="str">
        <f t="shared" si="30"/>
        <v>Error?</v>
      </c>
    </row>
    <row r="2013" spans="1:4" x14ac:dyDescent="0.2">
      <c r="A2013" s="5">
        <v>1952</v>
      </c>
      <c r="B2013" s="138">
        <f>'Cap Outlay Deprec 26'!C16</f>
        <v>26376858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2974895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239168</v>
      </c>
      <c r="D2017" s="2" t="str">
        <f t="shared" si="30"/>
        <v>Error?</v>
      </c>
    </row>
    <row r="2018" spans="1:4" x14ac:dyDescent="0.2">
      <c r="A2018" s="5">
        <v>1957</v>
      </c>
      <c r="B2018" s="138">
        <f>'Cap Outlay Deprec 26'!D13</f>
        <v>2068014</v>
      </c>
      <c r="D2018" s="2" t="str">
        <f t="shared" si="30"/>
        <v>Error?</v>
      </c>
    </row>
    <row r="2019" spans="1:4" x14ac:dyDescent="0.2">
      <c r="A2019" s="5">
        <v>1958</v>
      </c>
      <c r="B2019" s="138">
        <f>'Cap Outlay Deprec 26'!D16</f>
        <v>5282077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209122</v>
      </c>
      <c r="D2023" s="2" t="str">
        <f t="shared" si="30"/>
        <v>Error?</v>
      </c>
    </row>
    <row r="2024" spans="1:4" x14ac:dyDescent="0.2">
      <c r="A2024" s="5">
        <v>1963</v>
      </c>
      <c r="B2024" s="138">
        <f>'Cap Outlay Deprec 26'!E13</f>
        <v>637853</v>
      </c>
      <c r="D2024" s="2" t="str">
        <f t="shared" si="30"/>
        <v>Error?</v>
      </c>
    </row>
    <row r="2025" spans="1:4" x14ac:dyDescent="0.2">
      <c r="A2025" s="5">
        <v>1964</v>
      </c>
      <c r="B2025" s="138">
        <f>'Cap Outlay Deprec 26'!E16</f>
        <v>846975</v>
      </c>
      <c r="C2025" s="2" t="s">
        <v>594</v>
      </c>
      <c r="D2025" s="2" t="str">
        <f t="shared" si="30"/>
        <v>Error?</v>
      </c>
    </row>
    <row r="2026" spans="1:4" x14ac:dyDescent="0.2">
      <c r="A2026" s="5">
        <v>1965</v>
      </c>
      <c r="B2026" s="138">
        <f>'Cap Outlay Deprec 26'!F5</f>
        <v>88263</v>
      </c>
      <c r="C2026" s="2" t="s">
        <v>594</v>
      </c>
      <c r="D2026" s="2" t="str">
        <f t="shared" si="30"/>
        <v>Error?</v>
      </c>
    </row>
    <row r="2027" spans="1:4" x14ac:dyDescent="0.2">
      <c r="A2027" s="5">
        <v>1966</v>
      </c>
      <c r="B2027" s="138">
        <f>'Cap Outlay Deprec 26'!F8</f>
        <v>24732532</v>
      </c>
      <c r="C2027" s="2" t="s">
        <v>594</v>
      </c>
      <c r="D2027" s="2" t="str">
        <f t="shared" si="30"/>
        <v>Error?</v>
      </c>
    </row>
    <row r="2028" spans="1:4" x14ac:dyDescent="0.2">
      <c r="A2028" s="5">
        <v>1967</v>
      </c>
      <c r="B2028" s="138">
        <f>'Cap Outlay Deprec 26'!F10</f>
        <v>174179</v>
      </c>
      <c r="C2028" s="2" t="s">
        <v>594</v>
      </c>
      <c r="D2028" s="2" t="str">
        <f t="shared" si="30"/>
        <v>Error?</v>
      </c>
    </row>
    <row r="2029" spans="1:4" x14ac:dyDescent="0.2">
      <c r="A2029" s="5">
        <v>1968</v>
      </c>
      <c r="B2029" s="138">
        <f>'Cap Outlay Deprec 26'!F12</f>
        <v>2535431</v>
      </c>
      <c r="C2029" s="2" t="s">
        <v>594</v>
      </c>
      <c r="D2029" s="2" t="str">
        <f t="shared" si="30"/>
        <v>Error?</v>
      </c>
    </row>
    <row r="2030" spans="1:4" x14ac:dyDescent="0.2">
      <c r="A2030" s="5">
        <v>1969</v>
      </c>
      <c r="B2030" s="138">
        <f>'Cap Outlay Deprec 26'!F13</f>
        <v>3281555</v>
      </c>
      <c r="C2030" s="2" t="s">
        <v>594</v>
      </c>
      <c r="D2030" s="2" t="str">
        <f t="shared" si="30"/>
        <v>Error?</v>
      </c>
    </row>
    <row r="2031" spans="1:4" x14ac:dyDescent="0.2">
      <c r="A2031" s="5">
        <v>1970</v>
      </c>
      <c r="B2031" s="138">
        <f>'Cap Outlay Deprec 26'!F16</f>
        <v>30811960</v>
      </c>
      <c r="C2031" s="2" t="s">
        <v>594</v>
      </c>
      <c r="D2031" s="2" t="str">
        <f t="shared" si="30"/>
        <v>Error?</v>
      </c>
    </row>
    <row r="2032" spans="1:4" x14ac:dyDescent="0.2">
      <c r="A2032" s="10">
        <v>1971</v>
      </c>
      <c r="D2032" s="2" t="str">
        <f t="shared" si="30"/>
        <v>OK</v>
      </c>
    </row>
    <row r="2033" spans="1:4" x14ac:dyDescent="0.2">
      <c r="A2033" s="5">
        <v>1972</v>
      </c>
      <c r="B2033" s="138">
        <f>'Cap Outlay Deprec 26'!H8</f>
        <v>8689282</v>
      </c>
      <c r="D2033" s="2" t="str">
        <f t="shared" si="30"/>
        <v>Error?</v>
      </c>
    </row>
    <row r="2034" spans="1:4" x14ac:dyDescent="0.2">
      <c r="A2034" s="5">
        <v>1973</v>
      </c>
      <c r="B2034" s="138">
        <f>'Cap Outlay Deprec 26'!H10</f>
        <v>163273</v>
      </c>
      <c r="D2034" s="2" t="str">
        <f t="shared" si="30"/>
        <v>Error?</v>
      </c>
    </row>
    <row r="2035" spans="1:4" x14ac:dyDescent="0.2">
      <c r="A2035" s="5">
        <v>1974</v>
      </c>
      <c r="B2035" s="138">
        <f>'Cap Outlay Deprec 26'!H12</f>
        <v>1572975</v>
      </c>
      <c r="D2035" s="2" t="str">
        <f t="shared" si="30"/>
        <v>Error?</v>
      </c>
    </row>
    <row r="2036" spans="1:4" x14ac:dyDescent="0.2">
      <c r="A2036" s="5">
        <v>1975</v>
      </c>
      <c r="B2036" s="138">
        <f>'Cap Outlay Deprec 26'!H13</f>
        <v>1108350</v>
      </c>
      <c r="D2036" s="2" t="str">
        <f t="shared" si="30"/>
        <v>Error?</v>
      </c>
    </row>
    <row r="2037" spans="1:4" x14ac:dyDescent="0.2">
      <c r="A2037" s="5">
        <v>1976</v>
      </c>
      <c r="B2037" s="138">
        <f>'Cap Outlay Deprec 26'!H16</f>
        <v>11533880</v>
      </c>
      <c r="C2037" s="2" t="s">
        <v>594</v>
      </c>
      <c r="D2037" s="2" t="str">
        <f t="shared" si="30"/>
        <v>Error?</v>
      </c>
    </row>
    <row r="2038" spans="1:4" x14ac:dyDescent="0.2">
      <c r="A2038" s="10">
        <v>1977</v>
      </c>
      <c r="D2038" s="2" t="str">
        <f t="shared" si="30"/>
        <v>OK</v>
      </c>
    </row>
    <row r="2039" spans="1:4" x14ac:dyDescent="0.2">
      <c r="A2039" s="5">
        <v>1978</v>
      </c>
      <c r="B2039" s="138">
        <f>'Cap Outlay Deprec 26'!I8</f>
        <v>494651</v>
      </c>
      <c r="D2039" s="2" t="str">
        <f t="shared" si="30"/>
        <v>Error?</v>
      </c>
    </row>
    <row r="2040" spans="1:4" x14ac:dyDescent="0.2">
      <c r="A2040" s="5">
        <v>1979</v>
      </c>
      <c r="B2040" s="138">
        <f>'Cap Outlay Deprec 26'!I10</f>
        <v>8709</v>
      </c>
      <c r="D2040" s="2" t="str">
        <f t="shared" si="30"/>
        <v>Error?</v>
      </c>
    </row>
    <row r="2041" spans="1:4" x14ac:dyDescent="0.2">
      <c r="A2041" s="5">
        <v>1980</v>
      </c>
      <c r="B2041" s="138">
        <f>'Cap Outlay Deprec 26'!I12</f>
        <v>254855</v>
      </c>
      <c r="D2041" s="2" t="str">
        <f t="shared" si="30"/>
        <v>Error?</v>
      </c>
    </row>
    <row r="2042" spans="1:4" x14ac:dyDescent="0.2">
      <c r="A2042" s="5">
        <v>1981</v>
      </c>
      <c r="B2042" s="138">
        <f>'Cap Outlay Deprec 26'!I13</f>
        <v>332907</v>
      </c>
      <c r="D2042" s="2" t="str">
        <f t="shared" si="30"/>
        <v>Error?</v>
      </c>
    </row>
    <row r="2043" spans="1:4" x14ac:dyDescent="0.2">
      <c r="A2043" s="5">
        <v>1982</v>
      </c>
      <c r="B2043" s="138">
        <f>'Cap Outlay Deprec 26'!I16</f>
        <v>1091122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209122</v>
      </c>
      <c r="D2047" s="2" t="str">
        <f t="shared" ref="D2047:D2110" si="31">IF(ISBLANK(B2047),"OK",IF(A2047-B2047=0,"OK","Error?"))</f>
        <v>Error?</v>
      </c>
    </row>
    <row r="2048" spans="1:4" x14ac:dyDescent="0.2">
      <c r="A2048" s="5">
        <v>1987</v>
      </c>
      <c r="B2048" s="138">
        <f>'Cap Outlay Deprec 26'!J13</f>
        <v>382</v>
      </c>
      <c r="D2048" s="2" t="str">
        <f t="shared" si="31"/>
        <v>Error?</v>
      </c>
    </row>
    <row r="2049" spans="1:4" x14ac:dyDescent="0.2">
      <c r="A2049" s="5">
        <v>1988</v>
      </c>
      <c r="B2049" s="138">
        <f>'Cap Outlay Deprec 26'!J16</f>
        <v>209504</v>
      </c>
      <c r="C2049" s="2" t="s">
        <v>594</v>
      </c>
      <c r="D2049" s="2" t="str">
        <f t="shared" si="31"/>
        <v>Error?</v>
      </c>
    </row>
    <row r="2050" spans="1:4" x14ac:dyDescent="0.2">
      <c r="A2050" s="10">
        <v>1989</v>
      </c>
      <c r="D2050" s="2" t="str">
        <f t="shared" si="31"/>
        <v>OK</v>
      </c>
    </row>
    <row r="2051" spans="1:4" x14ac:dyDescent="0.2">
      <c r="A2051" s="5">
        <v>1990</v>
      </c>
      <c r="B2051" s="138">
        <f>'Cap Outlay Deprec 26'!K8</f>
        <v>9183933</v>
      </c>
      <c r="C2051" s="2" t="s">
        <v>594</v>
      </c>
      <c r="D2051" s="2" t="str">
        <f t="shared" si="31"/>
        <v>Error?</v>
      </c>
    </row>
    <row r="2052" spans="1:4" x14ac:dyDescent="0.2">
      <c r="A2052" s="5">
        <v>1991</v>
      </c>
      <c r="B2052" s="138">
        <f>'Cap Outlay Deprec 26'!K10</f>
        <v>171982</v>
      </c>
      <c r="C2052" s="2" t="s">
        <v>594</v>
      </c>
      <c r="D2052" s="2" t="str">
        <f t="shared" si="31"/>
        <v>Error?</v>
      </c>
    </row>
    <row r="2053" spans="1:4" x14ac:dyDescent="0.2">
      <c r="A2053" s="5">
        <v>1992</v>
      </c>
      <c r="B2053" s="138">
        <f>'Cap Outlay Deprec 26'!K12</f>
        <v>1618708</v>
      </c>
      <c r="C2053" s="2" t="s">
        <v>594</v>
      </c>
      <c r="D2053" s="2" t="str">
        <f t="shared" si="31"/>
        <v>Error?</v>
      </c>
    </row>
    <row r="2054" spans="1:4" x14ac:dyDescent="0.2">
      <c r="A2054" s="5">
        <v>1993</v>
      </c>
      <c r="B2054" s="138">
        <f>'Cap Outlay Deprec 26'!K13</f>
        <v>1440875</v>
      </c>
      <c r="C2054" s="2" t="s">
        <v>594</v>
      </c>
      <c r="D2054" s="2" t="str">
        <f t="shared" si="31"/>
        <v>Error?</v>
      </c>
    </row>
    <row r="2055" spans="1:4" x14ac:dyDescent="0.2">
      <c r="A2055" s="5">
        <v>1994</v>
      </c>
      <c r="B2055" s="138">
        <f>'Cap Outlay Deprec 26'!K16</f>
        <v>12415498</v>
      </c>
      <c r="C2055" s="2" t="s">
        <v>594</v>
      </c>
      <c r="D2055" s="2" t="str">
        <f t="shared" si="31"/>
        <v>Error?</v>
      </c>
    </row>
    <row r="2056" spans="1:4" x14ac:dyDescent="0.2">
      <c r="A2056" s="5">
        <v>1995</v>
      </c>
      <c r="B2056" s="138">
        <f>'Cap Outlay Deprec 26'!L5</f>
        <v>88263</v>
      </c>
      <c r="C2056" s="2" t="s">
        <v>594</v>
      </c>
      <c r="D2056" s="2" t="str">
        <f t="shared" si="31"/>
        <v>Error?</v>
      </c>
    </row>
    <row r="2057" spans="1:4" x14ac:dyDescent="0.2">
      <c r="A2057" s="5">
        <v>1996</v>
      </c>
      <c r="B2057" s="138">
        <f>'Cap Outlay Deprec 26'!L8</f>
        <v>15548599</v>
      </c>
      <c r="C2057" s="2" t="s">
        <v>594</v>
      </c>
      <c r="D2057" s="2" t="str">
        <f t="shared" si="31"/>
        <v>Error?</v>
      </c>
    </row>
    <row r="2058" spans="1:4" x14ac:dyDescent="0.2">
      <c r="A2058" s="5">
        <v>1997</v>
      </c>
      <c r="B2058" s="138">
        <f>'Cap Outlay Deprec 26'!L10</f>
        <v>2197</v>
      </c>
      <c r="C2058" s="2" t="s">
        <v>594</v>
      </c>
      <c r="D2058" s="2" t="str">
        <f t="shared" si="31"/>
        <v>Error?</v>
      </c>
    </row>
    <row r="2059" spans="1:4" x14ac:dyDescent="0.2">
      <c r="A2059" s="5">
        <v>1998</v>
      </c>
      <c r="B2059" s="138">
        <f>'Cap Outlay Deprec 26'!L12</f>
        <v>916723</v>
      </c>
      <c r="C2059" s="2" t="s">
        <v>594</v>
      </c>
      <c r="D2059" s="2" t="str">
        <f t="shared" si="31"/>
        <v>Error?</v>
      </c>
    </row>
    <row r="2060" spans="1:4" x14ac:dyDescent="0.2">
      <c r="A2060" s="5">
        <v>1999</v>
      </c>
      <c r="B2060" s="138">
        <f>'Cap Outlay Deprec 26'!L13</f>
        <v>1840680</v>
      </c>
      <c r="C2060" s="2" t="s">
        <v>594</v>
      </c>
      <c r="D2060" s="2" t="str">
        <f t="shared" si="31"/>
        <v>Error?</v>
      </c>
    </row>
    <row r="2061" spans="1:4" x14ac:dyDescent="0.2">
      <c r="A2061" s="5">
        <v>2000</v>
      </c>
      <c r="B2061" s="138">
        <f>'Cap Outlay Deprec 26'!L16</f>
        <v>18396462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1024882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1024882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8002045</v>
      </c>
      <c r="C2551" s="2" t="s">
        <v>594</v>
      </c>
      <c r="D2551" s="2" t="str">
        <f t="shared" si="38"/>
        <v>Error?</v>
      </c>
    </row>
    <row r="2552" spans="1:4" x14ac:dyDescent="0.2">
      <c r="A2552" s="10">
        <v>2491</v>
      </c>
      <c r="D2552" s="2" t="str">
        <f t="shared" si="38"/>
        <v>OK</v>
      </c>
    </row>
    <row r="2553" spans="1:4" x14ac:dyDescent="0.2">
      <c r="A2553" s="5">
        <v>2492</v>
      </c>
      <c r="B2553" s="138">
        <f>'Acct Summary 7-8'!C6</f>
        <v>4436028</v>
      </c>
      <c r="C2553" s="2" t="s">
        <v>594</v>
      </c>
      <c r="D2553" s="2" t="str">
        <f t="shared" si="38"/>
        <v>Error?</v>
      </c>
    </row>
    <row r="2554" spans="1:4" x14ac:dyDescent="0.2">
      <c r="A2554" s="5">
        <v>2493</v>
      </c>
      <c r="B2554" s="138">
        <f>'Acct Summary 7-8'!C7</f>
        <v>686688</v>
      </c>
      <c r="C2554" s="2" t="s">
        <v>594</v>
      </c>
      <c r="D2554" s="2" t="str">
        <f t="shared" si="38"/>
        <v>Error?</v>
      </c>
    </row>
    <row r="2555" spans="1:4" x14ac:dyDescent="0.2">
      <c r="A2555" s="5">
        <v>2494</v>
      </c>
      <c r="B2555" s="138">
        <f>'Acct Summary 7-8'!C8</f>
        <v>13124761</v>
      </c>
      <c r="C2555" s="2" t="s">
        <v>594</v>
      </c>
      <c r="D2555" s="2" t="str">
        <f t="shared" si="38"/>
        <v>Error?</v>
      </c>
    </row>
    <row r="2556" spans="1:4" x14ac:dyDescent="0.2">
      <c r="A2556" s="5">
        <v>2495</v>
      </c>
      <c r="B2556" s="138">
        <f>'Acct Summary 7-8'!C12</f>
        <v>8055422</v>
      </c>
      <c r="C2556" s="2" t="s">
        <v>594</v>
      </c>
      <c r="D2556" s="2" t="str">
        <f t="shared" si="38"/>
        <v>Error?</v>
      </c>
    </row>
    <row r="2557" spans="1:4" x14ac:dyDescent="0.2">
      <c r="A2557" s="5">
        <v>2496</v>
      </c>
      <c r="B2557" s="138">
        <f>'Acct Summary 7-8'!C13</f>
        <v>3633276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1024882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12713580</v>
      </c>
      <c r="C2561" s="2" t="s">
        <v>594</v>
      </c>
      <c r="D2561" s="2" t="str">
        <f t="shared" si="39"/>
        <v>Error?</v>
      </c>
    </row>
    <row r="2562" spans="1:4" x14ac:dyDescent="0.2">
      <c r="A2562" s="5">
        <v>2501</v>
      </c>
      <c r="B2562" s="138">
        <f>'Acct Summary 7-8'!C20</f>
        <v>411181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1228434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1228434</v>
      </c>
      <c r="C2568" s="2" t="s">
        <v>594</v>
      </c>
      <c r="D2568" s="2" t="str">
        <f t="shared" si="39"/>
        <v>Error?</v>
      </c>
    </row>
    <row r="2569" spans="1:4" x14ac:dyDescent="0.2">
      <c r="A2569" s="5">
        <v>2508</v>
      </c>
      <c r="B2569" s="138">
        <f>'Acct Summary 7-8'!D13</f>
        <v>1388834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1388834</v>
      </c>
      <c r="C2573" s="2" t="s">
        <v>594</v>
      </c>
      <c r="D2573" s="2" t="str">
        <f t="shared" si="39"/>
        <v>Error?</v>
      </c>
    </row>
    <row r="2574" spans="1:4" x14ac:dyDescent="0.2">
      <c r="A2574" s="5">
        <v>2513</v>
      </c>
      <c r="B2574" s="138">
        <f>'Acct Summary 7-8'!D20</f>
        <v>-160400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1374108</v>
      </c>
      <c r="C2591" s="2" t="s">
        <v>594</v>
      </c>
      <c r="D2591" s="2" t="str">
        <f t="shared" si="39"/>
        <v>Error?</v>
      </c>
    </row>
    <row r="2592" spans="1:4" x14ac:dyDescent="0.2">
      <c r="A2592" s="10">
        <v>2531</v>
      </c>
      <c r="D2592" s="2" t="str">
        <f t="shared" si="39"/>
        <v>OK</v>
      </c>
    </row>
    <row r="2593" spans="1:4" x14ac:dyDescent="0.2">
      <c r="A2593" s="5">
        <v>2532</v>
      </c>
      <c r="B2593" s="138">
        <f>'Acct Summary 7-8'!F6</f>
        <v>580208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1954316</v>
      </c>
      <c r="C2595" s="2" t="s">
        <v>594</v>
      </c>
      <c r="D2595" s="2" t="str">
        <f t="shared" si="39"/>
        <v>Error?</v>
      </c>
    </row>
    <row r="2596" spans="1:4" x14ac:dyDescent="0.2">
      <c r="A2596" s="5">
        <v>2535</v>
      </c>
      <c r="B2596" s="138">
        <f>'Acct Summary 7-8'!F13</f>
        <v>2530220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266696</v>
      </c>
      <c r="C2599" s="2" t="s">
        <v>594</v>
      </c>
      <c r="D2599" s="2" t="str">
        <f t="shared" si="39"/>
        <v>Error?</v>
      </c>
    </row>
    <row r="2600" spans="1:4" x14ac:dyDescent="0.2">
      <c r="A2600" s="5">
        <v>2539</v>
      </c>
      <c r="B2600" s="138">
        <f>'Acct Summary 7-8'!F17</f>
        <v>2796916</v>
      </c>
      <c r="C2600" s="2" t="s">
        <v>594</v>
      </c>
      <c r="D2600" s="2" t="str">
        <f t="shared" si="39"/>
        <v>Error?</v>
      </c>
    </row>
    <row r="2601" spans="1:4" x14ac:dyDescent="0.2">
      <c r="A2601" s="5">
        <v>2540</v>
      </c>
      <c r="B2601" s="138">
        <f>'Acct Summary 7-8'!F20</f>
        <v>-842600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608667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608667</v>
      </c>
      <c r="C2606" s="2" t="s">
        <v>594</v>
      </c>
      <c r="D2606" s="2" t="str">
        <f t="shared" si="39"/>
        <v>Error?</v>
      </c>
    </row>
    <row r="2607" spans="1:4" x14ac:dyDescent="0.2">
      <c r="A2607" s="5">
        <v>2546</v>
      </c>
      <c r="B2607" s="138">
        <f>'Acct Summary 7-8'!G12</f>
        <v>189895</v>
      </c>
      <c r="C2607" s="2" t="s">
        <v>594</v>
      </c>
      <c r="D2607" s="2" t="str">
        <f t="shared" si="39"/>
        <v>Error?</v>
      </c>
    </row>
    <row r="2608" spans="1:4" x14ac:dyDescent="0.2">
      <c r="A2608" s="5">
        <v>2547</v>
      </c>
      <c r="B2608" s="138">
        <f>'Acct Summary 7-8'!G13</f>
        <v>324972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514867</v>
      </c>
      <c r="C2612" s="2" t="s">
        <v>594</v>
      </c>
      <c r="D2612" s="2" t="str">
        <f t="shared" si="39"/>
        <v>Error?</v>
      </c>
    </row>
    <row r="2613" spans="1:4" x14ac:dyDescent="0.2">
      <c r="A2613" s="5">
        <v>2552</v>
      </c>
      <c r="B2613" s="138">
        <f>'Acct Summary 7-8'!G20</f>
        <v>93800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740250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740250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1454219</v>
      </c>
      <c r="C2634" s="2" t="s">
        <v>594</v>
      </c>
      <c r="D2634" s="2" t="str">
        <f t="shared" si="40"/>
        <v>Error?</v>
      </c>
    </row>
    <row r="2635" spans="1:4" x14ac:dyDescent="0.2">
      <c r="A2635" s="5">
        <v>2574</v>
      </c>
      <c r="B2635" s="138">
        <f>'Acct Summary 7-8'!E17</f>
        <v>1454219</v>
      </c>
      <c r="C2635" s="2" t="s">
        <v>594</v>
      </c>
      <c r="D2635" s="2" t="str">
        <f t="shared" si="40"/>
        <v>Error?</v>
      </c>
    </row>
    <row r="2636" spans="1:4" x14ac:dyDescent="0.2">
      <c r="A2636" s="5">
        <v>2575</v>
      </c>
      <c r="B2636" s="138">
        <f>'Acct Summary 7-8'!E20</f>
        <v>-713969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5000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5000</v>
      </c>
      <c r="C2658" s="2" t="s">
        <v>594</v>
      </c>
      <c r="D2658" s="2" t="str">
        <f t="shared" si="40"/>
        <v>Error?</v>
      </c>
    </row>
    <row r="2659" spans="1:4" x14ac:dyDescent="0.2">
      <c r="A2659" s="5">
        <v>2598</v>
      </c>
      <c r="B2659" s="138">
        <f>'Acct Summary 7-8'!H13</f>
        <v>1952160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1952160</v>
      </c>
      <c r="C2661" s="2" t="s">
        <v>594</v>
      </c>
      <c r="D2661" s="2" t="str">
        <f t="shared" si="40"/>
        <v>Error?</v>
      </c>
    </row>
    <row r="2662" spans="1:4" x14ac:dyDescent="0.2">
      <c r="A2662" s="5">
        <v>2601</v>
      </c>
      <c r="B2662" s="138">
        <f>'Acct Summary 7-8'!H20</f>
        <v>-1947160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974919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214981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974919</v>
      </c>
      <c r="D2912" s="2" t="str">
        <f t="shared" si="44"/>
        <v>Error?</v>
      </c>
    </row>
    <row r="2913" spans="1:4" x14ac:dyDescent="0.2">
      <c r="A2913" s="5">
        <v>2852</v>
      </c>
      <c r="B2913" s="138">
        <f>'Assets-Liab 5-6'!I41</f>
        <v>974919</v>
      </c>
      <c r="C2913" s="2" t="s">
        <v>594</v>
      </c>
      <c r="D2913" s="2" t="str">
        <f t="shared" si="44"/>
        <v>Error?</v>
      </c>
    </row>
    <row r="2914" spans="1:4" x14ac:dyDescent="0.2">
      <c r="A2914" s="5">
        <v>2853</v>
      </c>
      <c r="B2914" s="138">
        <f>'Assets-Liab 5-6'!L33</f>
        <v>214981</v>
      </c>
      <c r="D2914" s="2" t="str">
        <f t="shared" si="44"/>
        <v>Error?</v>
      </c>
    </row>
    <row r="2915" spans="1:4" x14ac:dyDescent="0.2">
      <c r="A2915" s="10">
        <v>2854</v>
      </c>
      <c r="D2915" s="2" t="str">
        <f t="shared" si="44"/>
        <v>OK</v>
      </c>
    </row>
    <row r="2916" spans="1:4" x14ac:dyDescent="0.2">
      <c r="A2916" s="5">
        <v>2855</v>
      </c>
      <c r="B2916" s="138">
        <f>'Assets-Liab 5-6'!L34</f>
        <v>214981</v>
      </c>
      <c r="C2916" s="2" t="s">
        <v>594</v>
      </c>
      <c r="D2916" s="2" t="str">
        <f t="shared" si="44"/>
        <v>Error?</v>
      </c>
    </row>
    <row r="2917" spans="1:4" x14ac:dyDescent="0.2">
      <c r="A2917" s="5">
        <v>2856</v>
      </c>
      <c r="B2917" s="138">
        <f>'Assets-Liab 5-6'!L41</f>
        <v>214981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110083</v>
      </c>
      <c r="D2955" s="2" t="str">
        <f t="shared" si="45"/>
        <v>Error?</v>
      </c>
    </row>
    <row r="2956" spans="1:4" x14ac:dyDescent="0.2">
      <c r="A2956" s="5">
        <v>2895</v>
      </c>
      <c r="B2956" s="138">
        <f>'Expenditures 15-22'!H79</f>
        <v>914799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110083</v>
      </c>
      <c r="C2973" s="2" t="s">
        <v>594</v>
      </c>
      <c r="D2973" s="2" t="str">
        <f t="shared" si="45"/>
        <v>Error?</v>
      </c>
    </row>
    <row r="2974" spans="1:4" x14ac:dyDescent="0.2">
      <c r="A2974" s="5">
        <v>2913</v>
      </c>
      <c r="B2974" s="138">
        <f>'Expenditures 15-22'!K79</f>
        <v>914799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6016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6016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83475</v>
      </c>
      <c r="C3225" s="2" t="s">
        <v>594</v>
      </c>
      <c r="D3225" s="2" t="str">
        <f t="shared" si="49"/>
        <v>Error?</v>
      </c>
    </row>
    <row r="3226" spans="1:4" x14ac:dyDescent="0.2">
      <c r="A3226" s="5">
        <v>3165</v>
      </c>
      <c r="B3226" s="138">
        <f>'Acct Summary 7-8'!I8</f>
        <v>83475</v>
      </c>
      <c r="C3226" s="2" t="s">
        <v>594</v>
      </c>
      <c r="D3226" s="2" t="str">
        <f t="shared" si="49"/>
        <v>Error?</v>
      </c>
    </row>
    <row r="3227" spans="1:4" x14ac:dyDescent="0.2">
      <c r="A3227" s="5">
        <v>3166</v>
      </c>
      <c r="B3227" s="138">
        <f>'Acct Summary 7-8'!I20</f>
        <v>83475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40</v>
      </c>
      <c r="C3232" s="2" t="s">
        <v>594</v>
      </c>
      <c r="D3232" s="2" t="str">
        <f t="shared" si="49"/>
        <v>Error?</v>
      </c>
    </row>
    <row r="3233" spans="1:4" x14ac:dyDescent="0.2">
      <c r="A3233" s="5">
        <v>3172</v>
      </c>
      <c r="B3233" s="138">
        <f>'Acct Summary 7-8'!C78</f>
        <v>411221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-160400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833780</v>
      </c>
      <c r="D3251" s="2" t="str">
        <f t="shared" si="49"/>
        <v>Error?</v>
      </c>
    </row>
    <row r="3252" spans="1:4" x14ac:dyDescent="0.2">
      <c r="A3252" s="5">
        <v>3191</v>
      </c>
      <c r="B3252" s="138">
        <f>'Acct Summary 7-8'!F44</f>
        <v>2068164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2068164</v>
      </c>
      <c r="C3255" s="2" t="s">
        <v>594</v>
      </c>
      <c r="D3255" s="2" t="str">
        <f t="shared" si="49"/>
        <v>Error?</v>
      </c>
    </row>
    <row r="3256" spans="1:4" x14ac:dyDescent="0.2">
      <c r="A3256" s="5">
        <v>3195</v>
      </c>
      <c r="B3256" s="138">
        <f>'Acct Summary 7-8'!F78</f>
        <v>1225564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93800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540757</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540757</v>
      </c>
      <c r="C3277" s="2" t="s">
        <v>594</v>
      </c>
      <c r="D3277" s="2" t="str">
        <f t="shared" si="50"/>
        <v>Error?</v>
      </c>
    </row>
    <row r="3278" spans="1:4" x14ac:dyDescent="0.2">
      <c r="A3278" s="5">
        <v>3217</v>
      </c>
      <c r="B3278" s="138">
        <f>'Acct Summary 7-8'!E78</f>
        <v>-173212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7500000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7500000</v>
      </c>
      <c r="C3299" s="2" t="s">
        <v>594</v>
      </c>
      <c r="D3299" s="2" t="str">
        <f t="shared" si="50"/>
        <v>Error?</v>
      </c>
    </row>
    <row r="3300" spans="1:4" x14ac:dyDescent="0.2">
      <c r="A3300" s="5">
        <v>3239</v>
      </c>
      <c r="B3300" s="138">
        <f>'Acct Summary 7-8'!H78</f>
        <v>5552840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83475</v>
      </c>
      <c r="C3320" s="2" t="s">
        <v>594</v>
      </c>
      <c r="D3320" s="2" t="str">
        <f t="shared" si="50"/>
        <v>Error?</v>
      </c>
    </row>
    <row r="3321" spans="1:4" x14ac:dyDescent="0.2">
      <c r="A3321" s="5">
        <v>3260</v>
      </c>
      <c r="B3321" s="138">
        <f>'Acct Summary 7-8'!I79</f>
        <v>891444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974919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1350413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201778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21092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3775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1579144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96797</v>
      </c>
      <c r="D3387" s="2" t="str">
        <f t="shared" si="51"/>
        <v>Error?</v>
      </c>
    </row>
    <row r="3388" spans="1:4" x14ac:dyDescent="0.2">
      <c r="A3388" s="5">
        <v>3327</v>
      </c>
      <c r="B3388" s="138">
        <f>'Expenditures 15-22'!D217</f>
        <v>68621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96797</v>
      </c>
      <c r="C3390" s="2" t="s">
        <v>594</v>
      </c>
      <c r="D3390" s="2" t="str">
        <f t="shared" si="51"/>
        <v>Error?</v>
      </c>
    </row>
    <row r="3391" spans="1:4" x14ac:dyDescent="0.2">
      <c r="A3391" s="5">
        <v>3330</v>
      </c>
      <c r="B3391" s="138">
        <f>'Expenditures 15-22'!K217</f>
        <v>68621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4593844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1249767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477025</v>
      </c>
      <c r="D3417" s="2" t="str">
        <f t="shared" si="52"/>
        <v>Error?</v>
      </c>
    </row>
    <row r="3418" spans="1:4" x14ac:dyDescent="0.2">
      <c r="A3418" s="10">
        <v>3357</v>
      </c>
      <c r="D3418" s="2" t="str">
        <f t="shared" si="52"/>
        <v>OK</v>
      </c>
    </row>
    <row r="3419" spans="1:4" x14ac:dyDescent="0.2">
      <c r="A3419" s="5">
        <v>3358</v>
      </c>
      <c r="B3419" s="138">
        <f>'Assets-Liab 5-6'!F4</f>
        <v>4895437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430680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5552840</v>
      </c>
      <c r="D3425" s="2" t="str">
        <f t="shared" si="52"/>
        <v>Error?</v>
      </c>
    </row>
    <row r="3426" spans="1:4" x14ac:dyDescent="0.2">
      <c r="A3426" s="10">
        <v>3365</v>
      </c>
      <c r="D3426" s="2" t="str">
        <f t="shared" si="52"/>
        <v>OK</v>
      </c>
    </row>
    <row r="3427" spans="1:4" x14ac:dyDescent="0.2">
      <c r="A3427" s="5">
        <v>3366</v>
      </c>
      <c r="B3427" s="138">
        <f>'Assets-Liab 5-6'!I4</f>
        <v>974919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214981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376571</v>
      </c>
      <c r="C3446" s="2" t="s">
        <v>594</v>
      </c>
      <c r="D3446" s="2" t="str">
        <f t="shared" si="52"/>
        <v>Error?</v>
      </c>
    </row>
    <row r="3447" spans="1:4" x14ac:dyDescent="0.2">
      <c r="A3447" s="5">
        <v>3386</v>
      </c>
      <c r="B3447" s="138">
        <f>'Tax Sched 23'!D16</f>
        <v>165801</v>
      </c>
      <c r="C3447" s="2" t="s">
        <v>594</v>
      </c>
      <c r="D3447" s="2" t="str">
        <f t="shared" si="52"/>
        <v>Error?</v>
      </c>
    </row>
    <row r="3448" spans="1:4" x14ac:dyDescent="0.2">
      <c r="A3448" s="5">
        <v>3387</v>
      </c>
      <c r="B3448" s="138">
        <f>'Tax Sched 23'!C16</f>
        <v>210770</v>
      </c>
      <c r="D3448" s="2" t="str">
        <f t="shared" si="52"/>
        <v>Error?</v>
      </c>
    </row>
    <row r="3449" spans="1:4" x14ac:dyDescent="0.2">
      <c r="A3449" s="5">
        <v>3388</v>
      </c>
      <c r="B3449" s="138">
        <f>'Tax Sched 23'!F16</f>
        <v>168464</v>
      </c>
      <c r="C3449" s="2" t="s">
        <v>594</v>
      </c>
      <c r="D3449" s="2" t="str">
        <f t="shared" si="52"/>
        <v>Error?</v>
      </c>
    </row>
    <row r="3450" spans="1:4" x14ac:dyDescent="0.2">
      <c r="A3450" s="5">
        <v>3389</v>
      </c>
      <c r="B3450" s="138">
        <f>'Tax Sched 23'!E16</f>
        <v>379234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40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1234384</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2727841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2727841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2727841</v>
      </c>
      <c r="D3567" s="2" t="str">
        <f t="shared" si="54"/>
        <v>Error?</v>
      </c>
    </row>
    <row r="3568" spans="1:4" x14ac:dyDescent="0.2">
      <c r="A3568" s="5">
        <v>3507</v>
      </c>
      <c r="B3568" s="138">
        <f>'Assets-Liab 5-6'!K41</f>
        <v>2727841</v>
      </c>
      <c r="C3568" s="2" t="s">
        <v>594</v>
      </c>
      <c r="D3568" s="2" t="str">
        <f t="shared" si="54"/>
        <v>Error?</v>
      </c>
    </row>
    <row r="3569" spans="1:4" x14ac:dyDescent="0.2">
      <c r="A3569" s="5">
        <v>3508</v>
      </c>
      <c r="B3569" s="138">
        <f>'Acct Summary 7-8'!K4</f>
        <v>134946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134946</v>
      </c>
      <c r="C3571" s="2" t="s">
        <v>594</v>
      </c>
      <c r="D3571" s="2" t="str">
        <f t="shared" si="54"/>
        <v>Error?</v>
      </c>
    </row>
    <row r="3572" spans="1:4" x14ac:dyDescent="0.2">
      <c r="A3572" s="5">
        <v>3511</v>
      </c>
      <c r="B3572" s="138">
        <f>'Acct Summary 7-8'!K13</f>
        <v>1006341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1006341</v>
      </c>
      <c r="C3575" s="2" t="s">
        <v>594</v>
      </c>
      <c r="D3575" s="2" t="str">
        <f t="shared" si="54"/>
        <v>Error?</v>
      </c>
    </row>
    <row r="3576" spans="1:4" x14ac:dyDescent="0.2">
      <c r="A3576" s="5">
        <v>3515</v>
      </c>
      <c r="B3576" s="138">
        <f>'Acct Summary 7-8'!K20</f>
        <v>-871395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-871395</v>
      </c>
      <c r="C3588" s="2" t="s">
        <v>594</v>
      </c>
      <c r="D3588" s="2" t="str">
        <f t="shared" si="55"/>
        <v>Error?</v>
      </c>
    </row>
    <row r="3589" spans="1:4" x14ac:dyDescent="0.2">
      <c r="A3589" s="5">
        <v>3528</v>
      </c>
      <c r="B3589" s="138">
        <f>'Acct Summary 7-8'!K79</f>
        <v>3599236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2727841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750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750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750</v>
      </c>
      <c r="C3635" s="2" t="s">
        <v>594</v>
      </c>
      <c r="D3635" s="2" t="str">
        <f t="shared" si="55"/>
        <v>Error?</v>
      </c>
    </row>
    <row r="3636" spans="1:4" x14ac:dyDescent="0.2">
      <c r="A3636" s="5">
        <v>3575</v>
      </c>
      <c r="B3636" s="138">
        <f>'Expenditures 15-22'!E367</f>
        <v>750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1005591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1005591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1005591</v>
      </c>
      <c r="C3649" s="2" t="s">
        <v>594</v>
      </c>
      <c r="D3649" s="2" t="str">
        <f t="shared" si="56"/>
        <v>Error?</v>
      </c>
    </row>
    <row r="3650" spans="1:4" x14ac:dyDescent="0.2">
      <c r="A3650" s="5">
        <v>3589</v>
      </c>
      <c r="B3650" s="138">
        <f>'Expenditures 15-22'!G367</f>
        <v>1005591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1006341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1006341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1006341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1006341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-871395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73003</v>
      </c>
      <c r="C3725" s="2" t="s">
        <v>594</v>
      </c>
      <c r="D3725" s="2" t="str">
        <f t="shared" si="57"/>
        <v>Error?</v>
      </c>
    </row>
    <row r="3726" spans="1:4" x14ac:dyDescent="0.2">
      <c r="A3726" s="5">
        <v>3665</v>
      </c>
      <c r="B3726" s="138">
        <f>'Tax Sched 23'!D13</f>
        <v>30994</v>
      </c>
      <c r="C3726" s="2" t="s">
        <v>594</v>
      </c>
      <c r="D3726" s="2" t="str">
        <f t="shared" si="57"/>
        <v>Error?</v>
      </c>
    </row>
    <row r="3727" spans="1:4" x14ac:dyDescent="0.2">
      <c r="A3727" s="5">
        <v>3666</v>
      </c>
      <c r="B3727" s="138">
        <f>'Tax Sched 23'!C13</f>
        <v>42009</v>
      </c>
      <c r="D3727" s="2" t="str">
        <f t="shared" si="57"/>
        <v>Error?</v>
      </c>
    </row>
    <row r="3728" spans="1:4" x14ac:dyDescent="0.2">
      <c r="A3728" s="5">
        <v>3667</v>
      </c>
      <c r="B3728" s="138">
        <f>'Tax Sched 23'!F13</f>
        <v>33096</v>
      </c>
      <c r="C3728" s="2" t="s">
        <v>594</v>
      </c>
      <c r="D3728" s="2" t="str">
        <f t="shared" si="57"/>
        <v>Error?</v>
      </c>
    </row>
    <row r="3729" spans="1:4" x14ac:dyDescent="0.2">
      <c r="A3729" s="5">
        <v>3668</v>
      </c>
      <c r="B3729" s="138">
        <f>'Tax Sched 23'!E13</f>
        <v>75105</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5155387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18280148</v>
      </c>
      <c r="C4122" s="2" t="s">
        <v>594</v>
      </c>
      <c r="D4122" s="2" t="str">
        <f t="shared" si="63"/>
        <v>Error?</v>
      </c>
    </row>
    <row r="4123" spans="1:4" x14ac:dyDescent="0.2">
      <c r="A4123" s="5">
        <v>4062</v>
      </c>
      <c r="B4123" s="138">
        <f>'Acct Summary 7-8'!D10</f>
        <v>1228434</v>
      </c>
      <c r="C4123" s="2" t="s">
        <v>594</v>
      </c>
      <c r="D4123" s="2" t="str">
        <f t="shared" si="63"/>
        <v>Error?</v>
      </c>
    </row>
    <row r="4124" spans="1:4" x14ac:dyDescent="0.2">
      <c r="A4124" s="5">
        <v>4063</v>
      </c>
      <c r="B4124" s="138">
        <f>'Acct Summary 7-8'!E10</f>
        <v>740250</v>
      </c>
      <c r="C4124" s="2" t="s">
        <v>594</v>
      </c>
      <c r="D4124" s="2" t="str">
        <f t="shared" si="63"/>
        <v>Error?</v>
      </c>
    </row>
    <row r="4125" spans="1:4" x14ac:dyDescent="0.2">
      <c r="A4125" s="5">
        <v>4064</v>
      </c>
      <c r="B4125" s="138">
        <f>'Acct Summary 7-8'!F10</f>
        <v>1954316</v>
      </c>
      <c r="C4125" s="2" t="s">
        <v>594</v>
      </c>
      <c r="D4125" s="2" t="str">
        <f t="shared" si="63"/>
        <v>Error?</v>
      </c>
    </row>
    <row r="4126" spans="1:4" x14ac:dyDescent="0.2">
      <c r="A4126" s="5">
        <v>4065</v>
      </c>
      <c r="B4126" s="138">
        <f>'Acct Summary 7-8'!G10</f>
        <v>608667</v>
      </c>
      <c r="C4126" s="2" t="s">
        <v>594</v>
      </c>
      <c r="D4126" s="2" t="str">
        <f t="shared" si="63"/>
        <v>Error?</v>
      </c>
    </row>
    <row r="4127" spans="1:4" x14ac:dyDescent="0.2">
      <c r="A4127" s="5">
        <v>4066</v>
      </c>
      <c r="B4127" s="138">
        <f>'Acct Summary 7-8'!H10</f>
        <v>5000</v>
      </c>
      <c r="C4127" s="2" t="s">
        <v>594</v>
      </c>
      <c r="D4127" s="2" t="str">
        <f t="shared" si="63"/>
        <v>Error?</v>
      </c>
    </row>
    <row r="4128" spans="1:4" x14ac:dyDescent="0.2">
      <c r="A4128" s="5">
        <v>4067</v>
      </c>
      <c r="B4128" s="138">
        <f>'Acct Summary 7-8'!I10</f>
        <v>83475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134946</v>
      </c>
      <c r="C4130" s="2" t="s">
        <v>594</v>
      </c>
      <c r="D4130" s="2" t="str">
        <f t="shared" si="63"/>
        <v>Error?</v>
      </c>
    </row>
    <row r="4131" spans="1:4" x14ac:dyDescent="0.2">
      <c r="A4131" s="5">
        <v>4070</v>
      </c>
      <c r="B4131" s="138">
        <f>'Acct Summary 7-8'!C18</f>
        <v>5155387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17868967</v>
      </c>
      <c r="C4136" s="2" t="s">
        <v>594</v>
      </c>
      <c r="D4136" s="2" t="str">
        <f t="shared" si="63"/>
        <v>Error?</v>
      </c>
    </row>
    <row r="4137" spans="1:4" x14ac:dyDescent="0.2">
      <c r="A4137" s="5">
        <v>4076</v>
      </c>
      <c r="B4137" s="138">
        <f>'Acct Summary 7-8'!D19</f>
        <v>1388834</v>
      </c>
      <c r="C4137" s="2" t="s">
        <v>594</v>
      </c>
      <c r="D4137" s="2" t="str">
        <f t="shared" si="63"/>
        <v>Error?</v>
      </c>
    </row>
    <row r="4138" spans="1:4" x14ac:dyDescent="0.2">
      <c r="A4138" s="5">
        <v>4077</v>
      </c>
      <c r="B4138" s="138">
        <f>'Acct Summary 7-8'!E19</f>
        <v>1454219</v>
      </c>
      <c r="C4138" s="2" t="s">
        <v>594</v>
      </c>
      <c r="D4138" s="2" t="str">
        <f t="shared" si="63"/>
        <v>Error?</v>
      </c>
    </row>
    <row r="4139" spans="1:4" x14ac:dyDescent="0.2">
      <c r="A4139" s="5">
        <v>4078</v>
      </c>
      <c r="B4139" s="138">
        <f>'Acct Summary 7-8'!F19</f>
        <v>2796916</v>
      </c>
      <c r="C4139" s="2" t="s">
        <v>594</v>
      </c>
      <c r="D4139" s="2" t="str">
        <f t="shared" si="63"/>
        <v>Error?</v>
      </c>
    </row>
    <row r="4140" spans="1:4" x14ac:dyDescent="0.2">
      <c r="A4140" s="5">
        <v>4079</v>
      </c>
      <c r="B4140" s="138">
        <f>'Acct Summary 7-8'!G19</f>
        <v>514867</v>
      </c>
      <c r="C4140" s="2" t="s">
        <v>594</v>
      </c>
      <c r="D4140" s="2" t="str">
        <f t="shared" si="63"/>
        <v>Error?</v>
      </c>
    </row>
    <row r="4141" spans="1:4" x14ac:dyDescent="0.2">
      <c r="A4141" s="5">
        <v>4080</v>
      </c>
      <c r="B4141" s="138">
        <f>'Acct Summary 7-8'!H19</f>
        <v>1952160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1006341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11787240</v>
      </c>
      <c r="C4171" s="2" t="s">
        <v>594</v>
      </c>
      <c r="D4171" s="2" t="str">
        <f t="shared" si="64"/>
        <v>Error?</v>
      </c>
    </row>
    <row r="4172" spans="1:4" x14ac:dyDescent="0.2">
      <c r="A4172" s="5">
        <v>4111</v>
      </c>
      <c r="B4172" s="138">
        <f>'Short-Term Long-Term Debt 24'!J49</f>
        <v>11310215</v>
      </c>
      <c r="C4172" s="2" t="s">
        <v>594</v>
      </c>
      <c r="D4172" s="2" t="str">
        <f t="shared" si="64"/>
        <v>Error?</v>
      </c>
    </row>
    <row r="4173" spans="1:4" x14ac:dyDescent="0.2">
      <c r="A4173" s="5">
        <v>4112</v>
      </c>
      <c r="B4173" s="138">
        <f>'Short-Term Long-Term Debt 24'!H49</f>
        <v>1408279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246940</v>
      </c>
      <c r="D4210" s="2" t="str">
        <f t="shared" si="64"/>
        <v>Error?</v>
      </c>
    </row>
    <row r="4211" spans="1:4" x14ac:dyDescent="0.2">
      <c r="A4211" s="5">
        <v>4150</v>
      </c>
      <c r="B4211" s="138">
        <f>'Expenditures 15-22'!K206</f>
        <v>246940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4124.5</v>
      </c>
      <c r="C4265" s="2" t="s">
        <v>594</v>
      </c>
      <c r="D4265" s="2" t="str">
        <f t="shared" si="65"/>
        <v>Error?</v>
      </c>
      <c r="E4265" s="128"/>
    </row>
    <row r="4266" spans="1:5" x14ac:dyDescent="0.2">
      <c r="A4266" s="12">
        <v>4205</v>
      </c>
      <c r="B4266" s="138">
        <f>('FP Info 3'!F10)*100000</f>
        <v>738.5</v>
      </c>
      <c r="C4266" s="2" t="s">
        <v>594</v>
      </c>
      <c r="D4266" s="2" t="str">
        <f t="shared" si="65"/>
        <v>Error?</v>
      </c>
      <c r="E4266" s="128"/>
    </row>
    <row r="4267" spans="1:5" x14ac:dyDescent="0.2">
      <c r="A4267" s="12">
        <v>4206</v>
      </c>
      <c r="B4267" s="138">
        <f>('FP Info 3'!H10)*100000</f>
        <v>730.2</v>
      </c>
      <c r="C4267" s="2" t="s">
        <v>594</v>
      </c>
      <c r="D4267" s="2" t="str">
        <f t="shared" si="65"/>
        <v>Error?</v>
      </c>
      <c r="E4267" s="128"/>
    </row>
    <row r="4268" spans="1:5" x14ac:dyDescent="0.2">
      <c r="A4268" s="12">
        <v>4207</v>
      </c>
      <c r="B4268" s="138">
        <f>('FP Info 3'!J10)*100000</f>
        <v>5593</v>
      </c>
      <c r="C4268" s="2" t="s">
        <v>594</v>
      </c>
      <c r="D4268" s="2" t="str">
        <f t="shared" si="65"/>
        <v>Error?</v>
      </c>
    </row>
    <row r="4269" spans="1:5" x14ac:dyDescent="0.2">
      <c r="A4269" s="12">
        <v>4208</v>
      </c>
      <c r="B4269" s="138">
        <f>'FP Info 3'!J16</f>
        <v>11682589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102800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1874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154537056</v>
      </c>
      <c r="D4995" s="2" t="str">
        <f t="shared" si="77"/>
        <v>Error?</v>
      </c>
    </row>
    <row r="4996" spans="1:4" x14ac:dyDescent="0.2">
      <c r="A4996" s="12">
        <v>4935</v>
      </c>
      <c r="B4996" s="138">
        <f>'FP Info 3'!H31</f>
        <v>21326113.728</v>
      </c>
      <c r="D4996" s="2" t="str">
        <f t="shared" si="77"/>
        <v>Error?</v>
      </c>
    </row>
    <row r="4997" spans="1:4" x14ac:dyDescent="0.2">
      <c r="A4997" s="12">
        <v>4936</v>
      </c>
      <c r="B4997" s="138">
        <f>'FP Info 3'!H37</f>
        <v>11787240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73003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6272827</v>
      </c>
      <c r="D5061" s="2" t="str">
        <f t="shared" si="78"/>
        <v>Error?</v>
      </c>
    </row>
    <row r="5062" spans="1:4" x14ac:dyDescent="0.2">
      <c r="A5062" s="10">
        <v>5001</v>
      </c>
      <c r="D5062" s="2" t="str">
        <f t="shared" si="78"/>
        <v>OK</v>
      </c>
    </row>
    <row r="5063" spans="1:4" x14ac:dyDescent="0.2">
      <c r="A5063" s="5">
        <v>5002</v>
      </c>
      <c r="B5063" s="138">
        <f>'Revenues 9-14'!C7</f>
        <v>457686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6803516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308171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308171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1250</v>
      </c>
      <c r="C5087" s="2" t="s">
        <v>594</v>
      </c>
      <c r="D5087" s="2" t="str">
        <f t="shared" si="78"/>
        <v>Error?</v>
      </c>
    </row>
    <row r="5088" spans="1:4" x14ac:dyDescent="0.2">
      <c r="A5088" s="5">
        <v>5027</v>
      </c>
      <c r="B5088" s="138">
        <f>'Revenues 9-14'!C65</f>
        <v>58785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58785</v>
      </c>
      <c r="C5090" s="2" t="s">
        <v>594</v>
      </c>
      <c r="D5090" s="2" t="str">
        <f t="shared" si="78"/>
        <v>Error?</v>
      </c>
    </row>
    <row r="5091" spans="1:4" x14ac:dyDescent="0.2">
      <c r="A5091" s="5">
        <v>5030</v>
      </c>
      <c r="B5091" s="138">
        <f>'Revenues 9-14'!C70</f>
        <v>3942</v>
      </c>
      <c r="D5091" s="2" t="str">
        <f t="shared" si="78"/>
        <v>Error?</v>
      </c>
    </row>
    <row r="5092" spans="1:4" x14ac:dyDescent="0.2">
      <c r="A5092" s="5">
        <v>5031</v>
      </c>
      <c r="B5092" s="138">
        <f>'Revenues 9-14'!C71</f>
        <v>166035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327022</v>
      </c>
      <c r="C5096" s="2" t="s">
        <v>594</v>
      </c>
      <c r="D5096" s="2" t="str">
        <f t="shared" si="78"/>
        <v>Error?</v>
      </c>
    </row>
    <row r="5097" spans="1:4" x14ac:dyDescent="0.2">
      <c r="A5097" s="5">
        <v>5036</v>
      </c>
      <c r="B5097" s="138">
        <f>'Revenues 9-14'!C77</f>
        <v>49327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214309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263636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37219</v>
      </c>
      <c r="D5113" s="2" t="str">
        <f t="shared" si="78"/>
        <v>Error?</v>
      </c>
    </row>
    <row r="5114" spans="1:4" x14ac:dyDescent="0.2">
      <c r="A5114" s="5">
        <v>5053</v>
      </c>
      <c r="B5114" s="138">
        <f>'Revenues 9-14'!C96</f>
        <v>2435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52659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124737</v>
      </c>
      <c r="D5119" s="2" t="str">
        <f t="shared" ref="D5119:D5182" si="79">IF(ISBLANK(B5119),"OK",IF(A5119-B5119=0,"OK","Error?"))</f>
        <v>Error?</v>
      </c>
    </row>
    <row r="5120" spans="1:4" x14ac:dyDescent="0.2">
      <c r="A5120" s="5">
        <v>5059</v>
      </c>
      <c r="B5120" s="138">
        <f>'Revenues 9-14'!C108</f>
        <v>239665</v>
      </c>
      <c r="C5120" s="2" t="s">
        <v>594</v>
      </c>
      <c r="D5120" s="2" t="str">
        <f t="shared" si="79"/>
        <v>Error?</v>
      </c>
    </row>
    <row r="5121" spans="1:4" x14ac:dyDescent="0.2">
      <c r="A5121" s="5">
        <v>5060</v>
      </c>
      <c r="B5121" s="138">
        <f>'Revenues 9-14'!C109</f>
        <v>8002045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4094163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4094163</v>
      </c>
      <c r="C5132" s="2" t="s">
        <v>594</v>
      </c>
      <c r="D5132" s="2" t="str">
        <f t="shared" si="79"/>
        <v>Error?</v>
      </c>
    </row>
    <row r="5133" spans="1:4" x14ac:dyDescent="0.2">
      <c r="A5133" s="5">
        <v>5072</v>
      </c>
      <c r="B5133" s="138">
        <f>'Revenues 9-14'!C124</f>
        <v>104354</v>
      </c>
      <c r="D5133" s="2" t="str">
        <f t="shared" si="79"/>
        <v>Error?</v>
      </c>
    </row>
    <row r="5134" spans="1:4" x14ac:dyDescent="0.2">
      <c r="A5134" s="5">
        <v>5073</v>
      </c>
      <c r="B5134" s="138">
        <f>'Revenues 9-14'!C125</f>
        <v>87308</v>
      </c>
      <c r="D5134" s="2" t="str">
        <f t="shared" si="79"/>
        <v>Error?</v>
      </c>
    </row>
    <row r="5135" spans="1:4" x14ac:dyDescent="0.2">
      <c r="A5135" s="5">
        <v>5074</v>
      </c>
      <c r="B5135" s="138">
        <f>'Revenues 9-14'!C126</f>
        <v>125010</v>
      </c>
      <c r="D5135" s="2" t="str">
        <f t="shared" si="79"/>
        <v>Error?</v>
      </c>
    </row>
    <row r="5136" spans="1:4" x14ac:dyDescent="0.2">
      <c r="A5136" s="10">
        <v>5075</v>
      </c>
      <c r="D5136" s="2" t="str">
        <f t="shared" si="79"/>
        <v>OK</v>
      </c>
    </row>
    <row r="5137" spans="1:4" x14ac:dyDescent="0.2">
      <c r="A5137" s="5">
        <v>5076</v>
      </c>
      <c r="B5137" s="138">
        <f>'Revenues 9-14'!C127</f>
        <v>6112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322784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1963</v>
      </c>
      <c r="D5167" s="2" t="str">
        <f t="shared" si="79"/>
        <v>Error?</v>
      </c>
    </row>
    <row r="5168" spans="1:4" x14ac:dyDescent="0.2">
      <c r="A5168" s="5">
        <v>5107</v>
      </c>
      <c r="B5168" s="138">
        <f>'Revenues 9-14'!C147</f>
        <v>15244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341865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4436028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146669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11667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158336</v>
      </c>
      <c r="C5246" s="2" t="s">
        <v>594</v>
      </c>
      <c r="D5246" s="2" t="str">
        <f t="shared" si="80"/>
        <v>Error?</v>
      </c>
    </row>
    <row r="5247" spans="1:4" x14ac:dyDescent="0.2">
      <c r="A5247" s="5">
        <v>5186</v>
      </c>
      <c r="B5247" s="138">
        <f>'Revenues 9-14'!C203</f>
        <v>187918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187918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237208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237208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686688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686688</v>
      </c>
      <c r="C5326" s="2" t="s">
        <v>594</v>
      </c>
      <c r="D5326" s="2" t="str">
        <f t="shared" si="82"/>
        <v>Error?</v>
      </c>
    </row>
    <row r="5327" spans="1:4" x14ac:dyDescent="0.2">
      <c r="A5327" s="5">
        <v>5266</v>
      </c>
      <c r="B5327" s="138">
        <f>'Revenues 9-14'!C275</f>
        <v>13124761</v>
      </c>
      <c r="C5327" s="2" t="s">
        <v>594</v>
      </c>
      <c r="D5327" s="2" t="str">
        <f t="shared" si="82"/>
        <v>Error?</v>
      </c>
    </row>
    <row r="5328" spans="1:4" x14ac:dyDescent="0.2">
      <c r="A5328" s="5">
        <v>5267</v>
      </c>
      <c r="B5328" s="138">
        <f>'Revenues 9-14'!D5</f>
        <v>1135931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1135931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14038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14038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42385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32343</v>
      </c>
      <c r="D5352" s="2" t="str">
        <f t="shared" si="82"/>
        <v>Error?</v>
      </c>
    </row>
    <row r="5353" spans="1:4" x14ac:dyDescent="0.2">
      <c r="A5353" s="5">
        <v>5292</v>
      </c>
      <c r="B5353" s="138">
        <f>'Revenues 9-14'!D104</f>
        <v>257</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78465</v>
      </c>
      <c r="C5355" s="2" t="s">
        <v>594</v>
      </c>
      <c r="D5355" s="2" t="str">
        <f t="shared" si="82"/>
        <v>Error?</v>
      </c>
    </row>
    <row r="5356" spans="1:4" x14ac:dyDescent="0.2">
      <c r="A5356" s="5">
        <v>5295</v>
      </c>
      <c r="B5356" s="138">
        <f>'Revenues 9-14'!D109</f>
        <v>1228434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1228434</v>
      </c>
      <c r="C5508" s="2" t="s">
        <v>594</v>
      </c>
      <c r="D5508" s="2" t="str">
        <f t="shared" si="85"/>
        <v>Error?</v>
      </c>
    </row>
    <row r="5509" spans="1:4" x14ac:dyDescent="0.2">
      <c r="A5509" s="5">
        <v>5448</v>
      </c>
      <c r="B5509" s="138">
        <f>'Revenues 9-14'!E5</f>
        <v>737048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737048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3202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740250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740250</v>
      </c>
      <c r="C5552" s="2" t="s">
        <v>594</v>
      </c>
      <c r="D5552" s="2" t="str">
        <f t="shared" si="85"/>
        <v>Error?</v>
      </c>
    </row>
    <row r="5553" spans="1:4" x14ac:dyDescent="0.2">
      <c r="A5553" s="5">
        <v>5492</v>
      </c>
      <c r="B5553" s="138">
        <f>'Revenues 9-14'!F5</f>
        <v>1285261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1285261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2100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2174</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4274</v>
      </c>
      <c r="C5579" s="2" t="s">
        <v>594</v>
      </c>
      <c r="D5579" s="2" t="str">
        <f t="shared" si="86"/>
        <v>Error?</v>
      </c>
    </row>
    <row r="5580" spans="1:4" x14ac:dyDescent="0.2">
      <c r="A5580" s="5">
        <v>5519</v>
      </c>
      <c r="B5580" s="138">
        <f>'Revenues 9-14'!F65</f>
        <v>84573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84573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1374108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355710</v>
      </c>
      <c r="D5615" s="2" t="str">
        <f t="shared" si="86"/>
        <v>Error?</v>
      </c>
    </row>
    <row r="5616" spans="1:4" x14ac:dyDescent="0.2">
      <c r="A5616" s="10">
        <v>5555</v>
      </c>
      <c r="D5616" s="2" t="str">
        <f t="shared" si="86"/>
        <v>OK</v>
      </c>
    </row>
    <row r="5617" spans="1:4" x14ac:dyDescent="0.2">
      <c r="A5617" s="5">
        <v>5556</v>
      </c>
      <c r="B5617" s="138">
        <f>'Revenues 9-14'!F152</f>
        <v>224498</v>
      </c>
      <c r="D5617" s="2" t="str">
        <f t="shared" si="86"/>
        <v>Error?</v>
      </c>
    </row>
    <row r="5618" spans="1:4" x14ac:dyDescent="0.2">
      <c r="A5618" s="5">
        <v>5557</v>
      </c>
      <c r="B5618" s="138">
        <f>'Revenues 9-14'!F154</f>
        <v>580208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580208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580208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1954316</v>
      </c>
      <c r="C5720" s="2" t="s">
        <v>594</v>
      </c>
      <c r="D5720" s="2" t="str">
        <f t="shared" si="88"/>
        <v>Error?</v>
      </c>
    </row>
    <row r="5721" spans="1:4" x14ac:dyDescent="0.2">
      <c r="A5721" s="5">
        <v>5660</v>
      </c>
      <c r="B5721" s="138">
        <f>'Revenues 9-14'!G5</f>
        <v>217299</v>
      </c>
      <c r="D5721" s="2" t="str">
        <f t="shared" si="88"/>
        <v>Error?</v>
      </c>
    </row>
    <row r="5722" spans="1:4" x14ac:dyDescent="0.2">
      <c r="A5722" s="5">
        <v>5661</v>
      </c>
      <c r="B5722" s="138">
        <f>'Revenues 9-14'!G7</f>
        <v>0</v>
      </c>
      <c r="D5722" s="2" t="str">
        <f t="shared" si="88"/>
        <v>Error?</v>
      </c>
    </row>
    <row r="5723" spans="1:4" x14ac:dyDescent="0.2">
      <c r="A5723" s="5">
        <v>5662</v>
      </c>
      <c r="B5723" s="138">
        <f>'Revenues 9-14'!G8</f>
        <v>376571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593870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10760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10760</v>
      </c>
      <c r="C5730" s="2" t="s">
        <v>594</v>
      </c>
      <c r="D5730" s="2" t="str">
        <f t="shared" si="88"/>
        <v>Error?</v>
      </c>
    </row>
    <row r="5731" spans="1:4" x14ac:dyDescent="0.2">
      <c r="A5731" s="5">
        <v>5670</v>
      </c>
      <c r="B5731" s="138">
        <f>'Revenues 9-14'!G65</f>
        <v>4037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4037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608667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5000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5000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5000</v>
      </c>
      <c r="C5915" s="2" t="s">
        <v>594</v>
      </c>
      <c r="D5915" s="2" t="str">
        <f t="shared" si="91"/>
        <v>Error?</v>
      </c>
    </row>
    <row r="5916" spans="1:4" x14ac:dyDescent="0.2">
      <c r="A5916" s="5">
        <v>5855</v>
      </c>
      <c r="B5916" s="138">
        <f>'Revenues 9-14'!I5</f>
        <v>71421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71421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12054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12054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83475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117595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117595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17351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17351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134946</v>
      </c>
      <c r="C6023" s="2" t="s">
        <v>594</v>
      </c>
      <c r="D6023" s="2" t="str">
        <f t="shared" si="93"/>
        <v>Error?</v>
      </c>
    </row>
    <row r="6024" spans="1:5" x14ac:dyDescent="0.2">
      <c r="A6024" s="5">
        <v>5963</v>
      </c>
      <c r="B6024" s="138">
        <f>'Revenues 9-14'!G109</f>
        <v>608667</v>
      </c>
      <c r="C6024" s="2" t="s">
        <v>594</v>
      </c>
      <c r="D6024" s="2" t="str">
        <f t="shared" si="93"/>
        <v>Error?</v>
      </c>
    </row>
    <row r="6025" spans="1:5" x14ac:dyDescent="0.2">
      <c r="A6025" s="5">
        <v>5964</v>
      </c>
      <c r="B6025" s="138">
        <f>'Revenues 9-14'!H109</f>
        <v>5000</v>
      </c>
      <c r="C6025" s="2" t="s">
        <v>594</v>
      </c>
      <c r="D6025" s="2" t="str">
        <f t="shared" si="93"/>
        <v>Error?</v>
      </c>
    </row>
    <row r="6026" spans="1:5" x14ac:dyDescent="0.2">
      <c r="A6026" s="5">
        <v>5965</v>
      </c>
      <c r="B6026" s="138">
        <f>'Revenues 9-14'!I109</f>
        <v>83475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134946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152700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34855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1158.25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664</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129835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129835</v>
      </c>
      <c r="D6215" s="2" t="str">
        <f t="shared" si="96"/>
        <v>Error?</v>
      </c>
      <c r="E6215" s="2" t="s">
        <v>199</v>
      </c>
    </row>
    <row r="6216" spans="1:5" x14ac:dyDescent="0.2">
      <c r="A6216">
        <v>6155</v>
      </c>
      <c r="B6216" s="138">
        <f>'Assets-Liab 5-6'!J41</f>
        <v>129835</v>
      </c>
      <c r="D6216" s="2" t="str">
        <f t="shared" si="96"/>
        <v>Error?</v>
      </c>
      <c r="E6216" s="2" t="s">
        <v>199</v>
      </c>
    </row>
    <row r="6217" spans="1:5" x14ac:dyDescent="0.2">
      <c r="A6217">
        <v>6156</v>
      </c>
      <c r="B6217" s="138">
        <f>'Assets-Liab 5-6'!J4</f>
        <v>129835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79925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79925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79925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67834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67834</v>
      </c>
      <c r="D6229" s="2" t="str">
        <f t="shared" si="96"/>
        <v>Error?</v>
      </c>
      <c r="E6229" s="2" t="s">
        <v>199</v>
      </c>
    </row>
    <row r="6230" spans="1:5" x14ac:dyDescent="0.2">
      <c r="A6230">
        <v>6169</v>
      </c>
      <c r="B6230" s="138">
        <f>'Acct Summary 7-8'!J20</f>
        <v>12091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12091</v>
      </c>
      <c r="D6263" s="2" t="str">
        <f t="shared" si="96"/>
        <v>Error?</v>
      </c>
      <c r="E6263" s="2" t="s">
        <v>199</v>
      </c>
    </row>
    <row r="6264" spans="1:5" x14ac:dyDescent="0.2">
      <c r="A6264">
        <v>6203</v>
      </c>
      <c r="B6264" s="138">
        <f>'Acct Summary 7-8'!J79</f>
        <v>117744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129835</v>
      </c>
      <c r="D6266" s="2" t="str">
        <f t="shared" si="96"/>
        <v>Error?</v>
      </c>
      <c r="E6266" s="2" t="s">
        <v>199</v>
      </c>
    </row>
    <row r="6267" spans="1:5" x14ac:dyDescent="0.2">
      <c r="A6267">
        <v>6206</v>
      </c>
      <c r="B6267" s="138">
        <f>'Acct Summary 7-8'!C82</f>
        <v>411221</v>
      </c>
      <c r="D6267" s="2" t="str">
        <f t="shared" si="96"/>
        <v>Error?</v>
      </c>
      <c r="E6267" s="2" t="s">
        <v>199</v>
      </c>
    </row>
    <row r="6268" spans="1:5" x14ac:dyDescent="0.2">
      <c r="A6268">
        <v>6207</v>
      </c>
      <c r="B6268" s="138">
        <f>'Acct Summary 7-8'!D82</f>
        <v>-160400</v>
      </c>
      <c r="D6268" s="2" t="str">
        <f t="shared" si="96"/>
        <v>Error?</v>
      </c>
      <c r="E6268" s="2" t="s">
        <v>199</v>
      </c>
    </row>
    <row r="6269" spans="1:5" x14ac:dyDescent="0.2">
      <c r="A6269">
        <v>6208</v>
      </c>
      <c r="B6269" s="138">
        <f>'Acct Summary 7-8'!E82</f>
        <v>-173212</v>
      </c>
      <c r="D6269" s="2" t="str">
        <f t="shared" si="96"/>
        <v>Error?</v>
      </c>
      <c r="E6269" s="2" t="s">
        <v>199</v>
      </c>
    </row>
    <row r="6270" spans="1:5" x14ac:dyDescent="0.2">
      <c r="A6270">
        <v>6209</v>
      </c>
      <c r="B6270" s="138">
        <f>'Acct Summary 7-8'!F82</f>
        <v>1225564</v>
      </c>
      <c r="D6270" s="2" t="str">
        <f t="shared" si="96"/>
        <v>Error?</v>
      </c>
      <c r="E6270" s="2" t="s">
        <v>199</v>
      </c>
    </row>
    <row r="6271" spans="1:5" x14ac:dyDescent="0.2">
      <c r="A6271">
        <v>6210</v>
      </c>
      <c r="B6271" s="138">
        <f>'Acct Summary 7-8'!G82</f>
        <v>93800</v>
      </c>
      <c r="D6271" s="2" t="str">
        <f t="shared" ref="D6271:D6334" si="97">IF(ISBLANK(B6271),"OK",IF(A6271-B6271=0,"OK","Error?"))</f>
        <v>Error?</v>
      </c>
      <c r="E6271" s="2" t="s">
        <v>199</v>
      </c>
    </row>
    <row r="6272" spans="1:5" x14ac:dyDescent="0.2">
      <c r="A6272">
        <v>6211</v>
      </c>
      <c r="B6272" s="138">
        <f>'Acct Summary 7-8'!H82</f>
        <v>5552840</v>
      </c>
      <c r="D6272" s="2" t="str">
        <f t="shared" si="97"/>
        <v>Error?</v>
      </c>
      <c r="E6272" s="2" t="s">
        <v>199</v>
      </c>
    </row>
    <row r="6273" spans="1:5" x14ac:dyDescent="0.2">
      <c r="A6273">
        <v>6212</v>
      </c>
      <c r="B6273" s="138">
        <f>'Acct Summary 7-8'!I82</f>
        <v>83475</v>
      </c>
      <c r="D6273" s="2" t="str">
        <f t="shared" si="97"/>
        <v>Error?</v>
      </c>
      <c r="E6273" s="2" t="s">
        <v>199</v>
      </c>
    </row>
    <row r="6274" spans="1:5" x14ac:dyDescent="0.2">
      <c r="A6274">
        <v>6213</v>
      </c>
      <c r="B6274" s="138">
        <f>'Acct Summary 7-8'!J82</f>
        <v>12091</v>
      </c>
      <c r="D6274" s="2" t="str">
        <f t="shared" si="97"/>
        <v>Error?</v>
      </c>
      <c r="E6274" s="2" t="s">
        <v>199</v>
      </c>
    </row>
    <row r="6275" spans="1:5" x14ac:dyDescent="0.2">
      <c r="A6275">
        <v>6214</v>
      </c>
      <c r="B6275" s="138">
        <f>'Acct Summary 7-8'!K82</f>
        <v>-871395</v>
      </c>
      <c r="D6275" s="2" t="str">
        <f t="shared" si="97"/>
        <v>Error?</v>
      </c>
      <c r="E6275" s="2" t="s">
        <v>199</v>
      </c>
    </row>
    <row r="6276" spans="1:5" x14ac:dyDescent="0.2">
      <c r="A6276">
        <v>6215</v>
      </c>
      <c r="B6276" s="138">
        <f>'Acct Summary 7-8'!C83</f>
        <v>9.0131301800386018E-2</v>
      </c>
      <c r="D6276" s="2" t="str">
        <f t="shared" si="97"/>
        <v>Error?</v>
      </c>
      <c r="E6276" s="2" t="s">
        <v>199</v>
      </c>
    </row>
    <row r="6277" spans="1:5" x14ac:dyDescent="0.2">
      <c r="A6277">
        <v>6216</v>
      </c>
      <c r="B6277" s="138">
        <f>'Acct Summary 7-8'!D83</f>
        <v>-0.12834392330730449</v>
      </c>
      <c r="D6277" s="2" t="str">
        <f t="shared" si="97"/>
        <v>Error?</v>
      </c>
      <c r="E6277" s="2" t="s">
        <v>199</v>
      </c>
    </row>
    <row r="6278" spans="1:5" x14ac:dyDescent="0.2">
      <c r="A6278">
        <v>6217</v>
      </c>
      <c r="B6278" s="138">
        <f>'Acct Summary 7-8'!E83</f>
        <v>-0.36310885173733032</v>
      </c>
      <c r="D6278" s="2" t="str">
        <f t="shared" si="97"/>
        <v>Error?</v>
      </c>
      <c r="E6278" s="2" t="s">
        <v>199</v>
      </c>
    </row>
    <row r="6279" spans="1:5" x14ac:dyDescent="0.2">
      <c r="A6279">
        <v>6218</v>
      </c>
      <c r="B6279" s="138">
        <f>'Acct Summary 7-8'!F83</f>
        <v>0.25034823244584703</v>
      </c>
      <c r="D6279" s="2" t="str">
        <f t="shared" si="97"/>
        <v>Error?</v>
      </c>
      <c r="E6279" s="2" t="s">
        <v>199</v>
      </c>
    </row>
    <row r="6280" spans="1:5" x14ac:dyDescent="0.2">
      <c r="A6280">
        <v>6219</v>
      </c>
      <c r="B6280" s="138">
        <f>'Acct Summary 7-8'!G83</f>
        <v>0.21779511470233121</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8.5622497869053737E-2</v>
      </c>
      <c r="D6282" s="2" t="str">
        <f t="shared" si="97"/>
        <v>Error?</v>
      </c>
      <c r="E6282" s="2" t="s">
        <v>199</v>
      </c>
    </row>
    <row r="6283" spans="1:5" x14ac:dyDescent="0.2">
      <c r="A6283">
        <v>6222</v>
      </c>
      <c r="B6283" s="138">
        <f>'Acct Summary 7-8'!J83</f>
        <v>9.3125890553394694E-2</v>
      </c>
      <c r="D6283" s="2" t="str">
        <f t="shared" si="97"/>
        <v>Error?</v>
      </c>
      <c r="E6283" s="2" t="s">
        <v>199</v>
      </c>
    </row>
    <row r="6284" spans="1:5" x14ac:dyDescent="0.2">
      <c r="A6284">
        <v>6223</v>
      </c>
      <c r="B6284" s="138">
        <f>'Acct Summary 7-8'!K83</f>
        <v>-0.31944493832301807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78745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78745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2055</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22615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79925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58476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68800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21528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71604</v>
      </c>
      <c r="D6932" s="2" t="str">
        <f t="shared" si="107"/>
        <v>Error?</v>
      </c>
    </row>
    <row r="6933" spans="1:4" x14ac:dyDescent="0.2">
      <c r="A6933">
        <v>6872</v>
      </c>
      <c r="B6933" s="138">
        <f>'Expenditures 15-22'!D52</f>
        <v>686</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72290</v>
      </c>
      <c r="D6940" s="2" t="str">
        <f t="shared" si="107"/>
        <v>Error?</v>
      </c>
    </row>
    <row r="6941" spans="1:4" x14ac:dyDescent="0.2">
      <c r="A6941">
        <v>6880</v>
      </c>
      <c r="B6941" s="138">
        <f>'Expenditures 15-22'!L52</f>
        <v>79420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67834</v>
      </c>
      <c r="D7042" s="2" t="str">
        <f t="shared" si="109"/>
        <v>Error?</v>
      </c>
    </row>
    <row r="7043" spans="1:5" x14ac:dyDescent="0.2">
      <c r="A7043">
        <v>6982</v>
      </c>
      <c r="B7043" s="138">
        <f>'Revenues 9-14'!H9</f>
        <v>0</v>
      </c>
      <c r="D7043" s="2" t="str">
        <f t="shared" si="109"/>
        <v>Error?</v>
      </c>
    </row>
    <row r="7044" spans="1:5" x14ac:dyDescent="0.2">
      <c r="A7044">
        <v>6983</v>
      </c>
      <c r="B7044" s="138">
        <f>'Revenues 9-14'!D106</f>
        <v>1425</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79925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19756</v>
      </c>
      <c r="D7067" s="2" t="str">
        <f t="shared" si="109"/>
        <v>Error?</v>
      </c>
    </row>
    <row r="7068" spans="1:4" x14ac:dyDescent="0.2">
      <c r="A7068">
        <v>7007</v>
      </c>
      <c r="B7068" s="138">
        <f>'Expenditures 15-22'!K205</f>
        <v>19756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744</v>
      </c>
      <c r="D7073" s="2" t="str">
        <f t="shared" si="109"/>
        <v>Error?</v>
      </c>
    </row>
    <row r="7074" spans="1:4" x14ac:dyDescent="0.2">
      <c r="A7074">
        <v>7013</v>
      </c>
      <c r="B7074" s="138">
        <f>'Expenditures 15-22'!K216</f>
        <v>744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175</v>
      </c>
      <c r="D7079" s="2" t="str">
        <f t="shared" si="109"/>
        <v>Error?</v>
      </c>
    </row>
    <row r="7080" spans="1:4" x14ac:dyDescent="0.2">
      <c r="A7080">
        <v>7019</v>
      </c>
      <c r="B7080" s="138">
        <f>'Expenditures 15-22'!K226</f>
        <v>175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67834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67834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67834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67834</v>
      </c>
      <c r="D7224" s="2" t="str">
        <f t="shared" si="111"/>
        <v>Error?</v>
      </c>
    </row>
    <row r="7225" spans="1:4" x14ac:dyDescent="0.2">
      <c r="A7225">
        <v>7164</v>
      </c>
      <c r="B7225" s="138">
        <f>'Expenditures 15-22'!K343</f>
        <v>12091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10120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204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16153</v>
      </c>
      <c r="D7263" s="2" t="str">
        <f t="shared" si="112"/>
        <v>Error?</v>
      </c>
    </row>
    <row r="7264" spans="1:4" x14ac:dyDescent="0.2">
      <c r="A7264">
        <f t="shared" si="113"/>
        <v>7203</v>
      </c>
      <c r="B7264" s="138">
        <f>'Expenditures 15-22'!D17</f>
        <v>1124</v>
      </c>
      <c r="D7264" s="2" t="str">
        <f t="shared" si="112"/>
        <v>Error?</v>
      </c>
    </row>
    <row r="7265" spans="1:5" x14ac:dyDescent="0.2">
      <c r="A7265">
        <f t="shared" si="113"/>
        <v>7204</v>
      </c>
      <c r="B7265" s="138">
        <f>'Expenditures 15-22'!E17</f>
        <v>3465</v>
      </c>
      <c r="D7265" s="2" t="str">
        <f t="shared" si="112"/>
        <v>Error?</v>
      </c>
    </row>
    <row r="7266" spans="1:5" x14ac:dyDescent="0.2">
      <c r="A7266">
        <f t="shared" si="113"/>
        <v>7205</v>
      </c>
      <c r="B7266" s="138">
        <f>'Expenditures 15-22'!F17</f>
        <v>786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1091122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67834</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67834</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22615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15244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37859</v>
      </c>
      <c r="D7719" s="2" t="str">
        <f t="shared" si="126"/>
        <v>Error?</v>
      </c>
      <c r="E7719" s="2" t="s">
        <v>881</v>
      </c>
    </row>
    <row r="7720" spans="1:6" x14ac:dyDescent="0.2">
      <c r="A7720">
        <v>7659</v>
      </c>
      <c r="B7720" s="138">
        <f>'Rest Tax Levies-Tort Im 25'!H14</f>
        <v>457686</v>
      </c>
      <c r="D7720" s="2" t="str">
        <f t="shared" si="126"/>
        <v>Error?</v>
      </c>
      <c r="E7720" s="2" t="s">
        <v>881</v>
      </c>
    </row>
    <row r="7721" spans="1:6" x14ac:dyDescent="0.2">
      <c r="A7721">
        <v>7660</v>
      </c>
      <c r="B7721" s="138">
        <f>'Rest Tax Levies-Tort Im 25'!K14</f>
        <v>37859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29'!D39</f>
        <v>0.01</v>
      </c>
      <c r="D7797" s="2" t="str">
        <f t="shared" si="127"/>
        <v>Error?</v>
      </c>
      <c r="E7797" s="4" t="s">
        <v>2020</v>
      </c>
    </row>
    <row r="7798" spans="1:5" x14ac:dyDescent="0.2">
      <c r="A7798">
        <v>7737</v>
      </c>
      <c r="B7798" s="138">
        <f>'Contracts Paid in CY 29'!F39</f>
        <v>0</v>
      </c>
      <c r="D7798" s="2" t="str">
        <f t="shared" si="127"/>
        <v>Error?</v>
      </c>
      <c r="E7798" s="4" t="s">
        <v>2020</v>
      </c>
    </row>
    <row r="7799" spans="1:5" x14ac:dyDescent="0.2">
      <c r="A7799">
        <v>7738</v>
      </c>
      <c r="B7799" s="138">
        <f>'Contracts Paid in CY 29'!G39</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Normal="10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Winnebago CUSD 323</v>
      </c>
      <c r="B7" s="2420"/>
      <c r="C7" s="2420"/>
      <c r="D7" s="2421"/>
      <c r="E7" s="2422">
        <f>COVER!A13</f>
        <v>4101323026</v>
      </c>
      <c r="F7" s="2423"/>
      <c r="G7" s="2429" t="str">
        <f>COVER!T23</f>
        <v>066-004023</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Wipfli LLP</v>
      </c>
      <c r="H9" s="2435"/>
      <c r="I9" s="2435"/>
      <c r="J9" s="2435"/>
      <c r="K9" s="2435"/>
      <c r="L9" s="2436"/>
    </row>
    <row r="10" spans="1:29" ht="13.5" customHeight="1" x14ac:dyDescent="0.2">
      <c r="A10" s="2409" t="str">
        <f>COVER!A38</f>
        <v>JOHN SCHWUCHOW</v>
      </c>
      <c r="B10" s="2410"/>
      <c r="C10" s="2410"/>
      <c r="D10" s="2410"/>
      <c r="E10" s="2410"/>
      <c r="F10" s="2411"/>
      <c r="G10" s="2403" t="str">
        <f>COVER!T17</f>
        <v>403 East 3rd Street</v>
      </c>
      <c r="H10" s="2404"/>
      <c r="I10" s="2404"/>
      <c r="J10" s="2404"/>
      <c r="K10" s="2404"/>
      <c r="L10" s="2405"/>
    </row>
    <row r="11" spans="1:29" ht="13.5" customHeight="1" x14ac:dyDescent="0.2">
      <c r="A11" s="1185" t="s">
        <v>1599</v>
      </c>
      <c r="B11" s="1186"/>
      <c r="C11" s="1187"/>
      <c r="D11" s="1192"/>
      <c r="E11" s="1187"/>
      <c r="F11" s="1191"/>
      <c r="G11" s="2403" t="str">
        <f>COVER!T19</f>
        <v>Sterling</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mschueler@wipfli.com</v>
      </c>
      <c r="J13" s="2416"/>
      <c r="K13" s="2416"/>
      <c r="L13" s="2417"/>
    </row>
    <row r="14" spans="1:29" ht="13.5" customHeight="1" x14ac:dyDescent="0.2">
      <c r="A14" s="2403" t="str">
        <f>COVER!A19</f>
        <v>304 E MCNAIR</v>
      </c>
      <c r="B14" s="2404"/>
      <c r="C14" s="2404"/>
      <c r="D14" s="2404"/>
      <c r="E14" s="2404"/>
      <c r="F14" s="2405"/>
      <c r="G14" s="1196" t="s">
        <v>1247</v>
      </c>
      <c r="H14" s="1194"/>
      <c r="I14" s="1194"/>
      <c r="J14" s="1194"/>
      <c r="K14" s="1194"/>
      <c r="L14" s="1195"/>
    </row>
    <row r="15" spans="1:29" ht="13.5" customHeight="1" x14ac:dyDescent="0.2">
      <c r="A15" s="2403" t="str">
        <f>COVER!A21</f>
        <v>WINNEBAGO</v>
      </c>
      <c r="B15" s="2404"/>
      <c r="C15" s="2404"/>
      <c r="D15" s="2404"/>
      <c r="E15" s="2404"/>
      <c r="F15" s="2405"/>
      <c r="G15" s="2400" t="str">
        <f>COVER!T15</f>
        <v>Matthew J. Schueler</v>
      </c>
      <c r="H15" s="2401"/>
      <c r="I15" s="2401"/>
      <c r="J15" s="2401"/>
      <c r="K15" s="2401"/>
      <c r="L15" s="2402"/>
    </row>
    <row r="16" spans="1:29" ht="12.2" customHeight="1" x14ac:dyDescent="0.2">
      <c r="A16" s="2425">
        <f>COVER!A25</f>
        <v>61088</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815-626-1277</v>
      </c>
      <c r="H18" s="2420"/>
      <c r="I18" s="2420"/>
      <c r="J18" s="2420"/>
      <c r="K18" s="2419" t="str">
        <f>COVER!X21</f>
        <v>815-626-9118</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Winnebago CUSD 323</v>
      </c>
      <c r="B1" s="2418"/>
      <c r="C1" s="2418"/>
      <c r="D1" s="2418"/>
    </row>
    <row r="2" spans="1:11" s="1215" customFormat="1" ht="12.75" x14ac:dyDescent="0.2">
      <c r="A2" s="2442">
        <f>'Single Audit Cover'!E7</f>
        <v>4101323026</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Winnebago CUSD 323</v>
      </c>
      <c r="B1" s="2445"/>
      <c r="C1" s="2445"/>
      <c r="D1" s="2445"/>
      <c r="E1" s="2445"/>
    </row>
    <row r="2" spans="1:5" x14ac:dyDescent="0.2">
      <c r="A2" s="2446">
        <f>'Single Audit Cover'!E7</f>
        <v>4101323026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686688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34855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-102800</v>
      </c>
    </row>
    <row r="19" spans="1:4" ht="13.5" thickBot="1" x14ac:dyDescent="0.25">
      <c r="A19" s="1265" t="s">
        <v>1297</v>
      </c>
      <c r="D19" s="1266">
        <f>SUM(D10:D17)</f>
        <v>618743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618743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618743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Winnebago CUSD 323</v>
      </c>
      <c r="B1" s="2458"/>
      <c r="C1" s="2458"/>
      <c r="D1" s="2458"/>
      <c r="E1" s="2458"/>
      <c r="F1" s="2458"/>
    </row>
    <row r="2" spans="1:7" ht="13.5" customHeight="1" x14ac:dyDescent="0.2">
      <c r="A2" s="2459">
        <f>'Single Audit Cover'!E7</f>
        <v>4101323026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69" t="s">
        <v>1332</v>
      </c>
      <c r="D15" s="2455" t="s">
        <v>1331</v>
      </c>
      <c r="E15" s="2455"/>
      <c r="F15" s="2455"/>
    </row>
    <row r="16" spans="1:7" ht="13.5" customHeight="1" x14ac:dyDescent="0.2">
      <c r="A16" s="1282"/>
      <c r="B16" s="1276" t="s">
        <v>1330</v>
      </c>
      <c r="C16" s="1869"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2">
        <f>+C33+C34</f>
        <v>0</v>
      </c>
      <c r="F34" s="2453"/>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68"/>
      <c r="C50" s="1868"/>
      <c r="D50" s="1868"/>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2081</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35521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2109</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2110</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differentFirst="1" alignWithMargins="0">
    <oddHeader xml:space="preserve">&amp;C </oddHeader>
    <oddFooter>&amp;L&amp;8Printed: &amp;D  &amp;F&amp;C7</oddFooter>
    <evenFooter>&amp;C8</evenFooter>
    <firstFooter>&amp;C7</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Winnebago CUSD 323</v>
      </c>
      <c r="C1" s="2462"/>
      <c r="D1" s="2462"/>
      <c r="E1" s="2462"/>
      <c r="F1" s="2462"/>
      <c r="G1" s="2462"/>
      <c r="H1" s="2462"/>
      <c r="I1" s="2462"/>
      <c r="J1" s="2462"/>
      <c r="K1" s="2462"/>
      <c r="L1" s="2462"/>
      <c r="M1" s="2462"/>
    </row>
    <row r="2" spans="2:14" ht="15" x14ac:dyDescent="0.2">
      <c r="B2" s="2459">
        <f>'Single Audit Cover'!E7</f>
        <v>4101323026</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Winnebago CUSD 323</v>
      </c>
      <c r="C1" s="2477"/>
      <c r="D1" s="2477"/>
      <c r="E1" s="2477"/>
      <c r="F1" s="2477"/>
      <c r="G1" s="2477"/>
      <c r="H1" s="2477"/>
      <c r="I1" s="2477"/>
      <c r="J1" s="1422"/>
    </row>
    <row r="2" spans="2:10" s="317" customFormat="1" ht="12.75" customHeight="1" x14ac:dyDescent="0.2">
      <c r="B2" s="2478">
        <f>'Single Audit Cover'!E7</f>
        <v>4101323026</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1952</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Winnebago CUSD 323</v>
      </c>
      <c r="C1" s="2476"/>
      <c r="D1" s="2476"/>
      <c r="E1" s="2476"/>
      <c r="F1" s="2476"/>
      <c r="G1" s="2476"/>
      <c r="H1" s="2476"/>
      <c r="I1" s="2476"/>
      <c r="J1" s="2476"/>
      <c r="K1" s="2476"/>
      <c r="L1" s="1374"/>
      <c r="M1" s="1374"/>
    </row>
    <row r="2" spans="1:13" ht="12" customHeight="1" x14ac:dyDescent="0.2">
      <c r="B2" s="2478">
        <f>'Single Audit Cover'!E7</f>
        <v>4101323026</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Winnebago CUSD 323</v>
      </c>
      <c r="C1" s="2499"/>
      <c r="D1" s="2499"/>
      <c r="E1" s="2499"/>
      <c r="F1" s="2499"/>
      <c r="G1" s="2499"/>
      <c r="H1" s="2499"/>
      <c r="I1" s="2499"/>
      <c r="J1" s="2499"/>
      <c r="K1" s="2499"/>
      <c r="L1" s="1465"/>
    </row>
    <row r="2" spans="1:12" ht="12.75" customHeight="1" x14ac:dyDescent="0.2">
      <c r="B2" s="2500">
        <f>'Single Audit Cover'!E7</f>
        <v>4101323026</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Winnebago CUSD 323</v>
      </c>
      <c r="C1" s="2476"/>
      <c r="D1" s="2476"/>
      <c r="E1" s="1491"/>
    </row>
    <row r="2" spans="2:5" s="1282" customFormat="1" ht="12.75" customHeight="1" x14ac:dyDescent="0.2">
      <c r="B2" s="2478">
        <f>'Single Audit Cover'!E7</f>
        <v>4101323026</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154537056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4.1244999999999997E-2</v>
      </c>
      <c r="E10" s="356" t="s">
        <v>1062</v>
      </c>
      <c r="F10" s="355">
        <v>7.3850000000000001E-3</v>
      </c>
      <c r="G10" s="356" t="s">
        <v>1062</v>
      </c>
      <c r="H10" s="355">
        <v>7.3020000000000003E-3</v>
      </c>
      <c r="I10" s="356" t="s">
        <v>1063</v>
      </c>
      <c r="J10" s="1753">
        <f>ROUND(D10+F10+H10,5)</f>
        <v>5.5930000000000001E-2</v>
      </c>
      <c r="K10" s="222"/>
      <c r="L10" s="355">
        <v>4.9299999999999995E-4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16390986</v>
      </c>
      <c r="E16" s="356"/>
      <c r="F16" s="1754">
        <f>SUM('Acct Summary 7-8'!C17,'Acct Summary 7-8'!D17,'Acct Summary 7-8'!F17)</f>
        <v>16899330</v>
      </c>
      <c r="G16" s="356"/>
      <c r="H16" s="1754">
        <f>SUM(D16-F16)</f>
        <v>-508344</v>
      </c>
      <c r="I16" s="222"/>
      <c r="J16" s="1754">
        <f>SUM('Acct Summary 7-8'!C81,'Acct Summary 7-8'!D81,'Acct Summary 7-8'!F81,'Acct Summary 7-8'!I81)</f>
        <v>11682589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21326113.728</v>
      </c>
      <c r="I31" s="368"/>
      <c r="J31" s="222"/>
      <c r="K31" s="222"/>
      <c r="L31" s="222"/>
      <c r="M31" s="222"/>
    </row>
    <row r="32" spans="1:13" ht="13.35" customHeight="1" x14ac:dyDescent="0.2">
      <c r="B32" s="369" t="s">
        <v>2081</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11787240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&amp;F&amp;C9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Winnebago CUSD 323</v>
      </c>
      <c r="E7" s="391"/>
      <c r="G7" s="252"/>
      <c r="H7" s="387"/>
      <c r="I7" s="387"/>
      <c r="J7" s="387"/>
      <c r="K7" s="387"/>
      <c r="L7" s="329"/>
      <c r="M7" s="329"/>
      <c r="N7" s="329"/>
      <c r="O7" s="329"/>
      <c r="P7" s="329"/>
    </row>
    <row r="8" spans="1:18" ht="12.75" x14ac:dyDescent="0.2">
      <c r="A8" s="329"/>
      <c r="B8" s="329"/>
      <c r="C8" s="389" t="s">
        <v>1187</v>
      </c>
      <c r="D8" s="392">
        <f>COVER!A13</f>
        <v>4101323026</v>
      </c>
      <c r="E8" s="393"/>
      <c r="G8" s="329"/>
      <c r="H8" s="329"/>
      <c r="I8" s="329"/>
      <c r="J8" s="329"/>
      <c r="K8" s="329"/>
      <c r="L8" s="329"/>
      <c r="M8" s="329"/>
      <c r="N8" s="329"/>
      <c r="O8" s="329"/>
      <c r="P8" s="329"/>
    </row>
    <row r="9" spans="1:18" ht="12.75" x14ac:dyDescent="0.2">
      <c r="A9" s="329"/>
      <c r="B9" s="329"/>
      <c r="C9" s="389" t="s">
        <v>737</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11682589</v>
      </c>
      <c r="I12" s="404"/>
      <c r="J12" s="404"/>
      <c r="K12" s="405">
        <f>TRUNC((H12/H13*100000),5)/100000</f>
        <v>0.71274473660000004</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16390986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16899330</v>
      </c>
      <c r="I17" s="404"/>
      <c r="J17" s="416"/>
      <c r="K17" s="405">
        <f>TRUNC((H17/H18*100000),5)/100000</f>
        <v>1.0310136315</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16390986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19.7572714</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11713967</v>
      </c>
      <c r="I24" s="422"/>
      <c r="J24" s="422"/>
      <c r="K24" s="423">
        <f>TRUNC(((H24/H25*100000)/100000),2)</f>
        <v>249.53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46942.583330000001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7346768.91077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11787240</v>
      </c>
      <c r="I32" s="420"/>
      <c r="J32" s="420"/>
      <c r="K32" s="423">
        <f>TRUNC(100-((((H32/H33*100))*100)/100),2)</f>
        <v>44.72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21326113.728</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&amp;F&amp;C10</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4593844</v>
      </c>
      <c r="D4" s="466">
        <v>1249767</v>
      </c>
      <c r="E4" s="466">
        <v>477025</v>
      </c>
      <c r="F4" s="466">
        <v>4895437</v>
      </c>
      <c r="G4" s="466">
        <v>430680</v>
      </c>
      <c r="H4" s="466">
        <v>5552840</v>
      </c>
      <c r="I4" s="466">
        <v>974919</v>
      </c>
      <c r="J4" s="467">
        <v>129835</v>
      </c>
      <c r="K4" s="466">
        <v>2727841</v>
      </c>
      <c r="L4" s="466">
        <v>214981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664</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4594508</v>
      </c>
      <c r="D13" s="1758">
        <f t="shared" ref="D13:L13" si="0">SUM(D4:D12)</f>
        <v>1249767</v>
      </c>
      <c r="E13" s="1758">
        <f t="shared" si="0"/>
        <v>477025</v>
      </c>
      <c r="F13" s="1758">
        <f t="shared" si="0"/>
        <v>4895437</v>
      </c>
      <c r="G13" s="1758">
        <f t="shared" si="0"/>
        <v>430680</v>
      </c>
      <c r="H13" s="1758">
        <f t="shared" si="0"/>
        <v>5552840</v>
      </c>
      <c r="I13" s="1758">
        <f t="shared" si="0"/>
        <v>974919</v>
      </c>
      <c r="J13" s="1758">
        <f t="shared" si="0"/>
        <v>129835</v>
      </c>
      <c r="K13" s="1758">
        <f t="shared" si="0"/>
        <v>2727841</v>
      </c>
      <c r="L13" s="1758">
        <f t="shared" si="0"/>
        <v>214981</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26'!F5</f>
        <v>88263</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26'!F8</f>
        <v>24732532</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26'!F10</f>
        <v>174179</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26'!F12+'Cap Outlay Deprec 26'!F13</f>
        <v>5816986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477025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11310215</v>
      </c>
    </row>
    <row r="23" spans="1:14" ht="13.5" customHeight="1" thickBot="1" x14ac:dyDescent="0.25">
      <c r="A23" s="1757" t="s">
        <v>664</v>
      </c>
      <c r="B23" s="1762"/>
      <c r="C23" s="468"/>
      <c r="D23" s="468"/>
      <c r="E23" s="468"/>
      <c r="F23" s="468"/>
      <c r="G23" s="468"/>
      <c r="H23" s="468"/>
      <c r="I23" s="468"/>
      <c r="J23" s="468"/>
      <c r="K23" s="468"/>
      <c r="L23" s="468"/>
      <c r="M23" s="1709">
        <f>SUM(M15:M22)</f>
        <v>30811960</v>
      </c>
      <c r="N23" s="1709">
        <f>SUM(N21:N22)</f>
        <v>11787240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f>36632-4590</f>
        <v>32042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214981</v>
      </c>
      <c r="M33" s="468"/>
      <c r="N33" s="469"/>
    </row>
    <row r="34" spans="1:14" ht="13.5" customHeight="1" thickBot="1" x14ac:dyDescent="0.25">
      <c r="A34" s="1759" t="s">
        <v>675</v>
      </c>
      <c r="B34" s="1760"/>
      <c r="C34" s="1761">
        <f>SUM(C25:C33)</f>
        <v>32042</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214981</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11787240</v>
      </c>
    </row>
    <row r="37" spans="1:14" ht="13.5" thickBot="1" x14ac:dyDescent="0.25">
      <c r="A37" s="1757" t="s">
        <v>674</v>
      </c>
      <c r="B37" s="1762"/>
      <c r="C37" s="477"/>
      <c r="D37" s="477"/>
      <c r="E37" s="477"/>
      <c r="F37" s="477"/>
      <c r="G37" s="477"/>
      <c r="H37" s="477"/>
      <c r="I37" s="477"/>
      <c r="J37" s="477"/>
      <c r="K37" s="477"/>
      <c r="L37" s="480"/>
      <c r="M37" s="468"/>
      <c r="N37" s="1709">
        <f>SUM(N36:N36)</f>
        <v>11787240</v>
      </c>
    </row>
    <row r="38" spans="1:14" s="329" customFormat="1" ht="13.5" customHeight="1" thickTop="1" thickBot="1" x14ac:dyDescent="0.25">
      <c r="A38" s="496" t="s">
        <v>440</v>
      </c>
      <c r="B38" s="483">
        <v>714</v>
      </c>
      <c r="C38" s="466"/>
      <c r="D38" s="466"/>
      <c r="E38" s="466"/>
      <c r="F38" s="466"/>
      <c r="G38" s="466"/>
      <c r="H38" s="466"/>
      <c r="I38" s="466"/>
      <c r="J38" s="467"/>
      <c r="K38" s="466"/>
      <c r="L38" s="481"/>
      <c r="M38" s="497"/>
      <c r="N38" s="497"/>
    </row>
    <row r="39" spans="1:14" s="329" customFormat="1" ht="13.5" customHeight="1" thickTop="1" x14ac:dyDescent="0.2">
      <c r="A39" s="496" t="s">
        <v>360</v>
      </c>
      <c r="B39" s="483">
        <v>730</v>
      </c>
      <c r="C39" s="478">
        <f>'Acct Summary 7-8'!C81</f>
        <v>4562466</v>
      </c>
      <c r="D39" s="535">
        <f>'Acct Summary 7-8'!D81</f>
        <v>1249767</v>
      </c>
      <c r="E39" s="535">
        <f>'Acct Summary 7-8'!E81</f>
        <v>477025</v>
      </c>
      <c r="F39" s="535">
        <f>'Acct Summary 7-8'!F81</f>
        <v>4895437</v>
      </c>
      <c r="G39" s="466">
        <f>'Acct Summary 7-8'!G81</f>
        <v>430680</v>
      </c>
      <c r="H39" s="466">
        <f>'Acct Summary 7-8'!H81</f>
        <v>5552840</v>
      </c>
      <c r="I39" s="466">
        <f>'Acct Summary 7-8'!I81</f>
        <v>974919</v>
      </c>
      <c r="J39" s="467">
        <f>'Acct Summary 7-8'!J81</f>
        <v>129835</v>
      </c>
      <c r="K39" s="466">
        <f>'Acct Summary 7-8'!K81</f>
        <v>2727841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30811960</v>
      </c>
      <c r="N40" s="497"/>
    </row>
    <row r="41" spans="1:14" ht="13.5" customHeight="1" thickBot="1" x14ac:dyDescent="0.25">
      <c r="A41" s="1757" t="s">
        <v>676</v>
      </c>
      <c r="B41" s="1727"/>
      <c r="C41" s="1709">
        <f>(SUM(C34,C37,C38,C39))</f>
        <v>4594508</v>
      </c>
      <c r="D41" s="1709">
        <f t="shared" ref="D41:L41" si="2">SUM(D34,D37,D38:D39)</f>
        <v>1249767</v>
      </c>
      <c r="E41" s="1709">
        <f t="shared" si="2"/>
        <v>477025</v>
      </c>
      <c r="F41" s="1709">
        <f t="shared" si="2"/>
        <v>4895437</v>
      </c>
      <c r="G41" s="1709">
        <f t="shared" si="2"/>
        <v>430680</v>
      </c>
      <c r="H41" s="1709">
        <f t="shared" si="2"/>
        <v>5552840</v>
      </c>
      <c r="I41" s="1709">
        <f t="shared" si="2"/>
        <v>974919</v>
      </c>
      <c r="J41" s="1709">
        <f t="shared" si="2"/>
        <v>129835</v>
      </c>
      <c r="K41" s="1709">
        <f t="shared" si="2"/>
        <v>2727841</v>
      </c>
      <c r="L41" s="1709">
        <f t="shared" si="2"/>
        <v>214981</v>
      </c>
      <c r="M41" s="1709">
        <f>SUM(M40)</f>
        <v>30811960</v>
      </c>
      <c r="N41" s="1709">
        <f>SUM(N37)</f>
        <v>11787240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STATEMENT OF POSITION AS OF JUNE 30, 2018</oddHeader>
    <oddFooter>&amp;L&amp;8Print Date:  &amp;D
&amp;F&amp;CSee Accompanying Notes to Financial Statements.
11</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4" colorId="8" zoomScaleNormal="100" zoomScaleSheetLayoutView="100" workbookViewId="0"/>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2" t="s">
        <v>1579</v>
      </c>
      <c r="B4" s="1953">
        <v>1000</v>
      </c>
      <c r="C4" s="1763">
        <f>'Revenues 9-14'!C109</f>
        <v>8002045</v>
      </c>
      <c r="D4" s="1763">
        <f>'Revenues 9-14'!D109</f>
        <v>1228434</v>
      </c>
      <c r="E4" s="1763">
        <f>'Revenues 9-14'!E109</f>
        <v>740250</v>
      </c>
      <c r="F4" s="1763">
        <f>'Revenues 9-14'!F109</f>
        <v>1374108</v>
      </c>
      <c r="G4" s="1763">
        <f>'Revenues 9-14'!G109</f>
        <v>608667</v>
      </c>
      <c r="H4" s="1763">
        <f>'Revenues 9-14'!H109</f>
        <v>5000</v>
      </c>
      <c r="I4" s="1763">
        <f>'Revenues 9-14'!I109</f>
        <v>83475</v>
      </c>
      <c r="J4" s="1763">
        <f>'Revenues 9-14'!J109</f>
        <v>79925</v>
      </c>
      <c r="K4" s="1763">
        <f>'Revenues 9-14'!K109</f>
        <v>134946</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4436028</v>
      </c>
      <c r="D6" s="1764">
        <f>'Revenues 9-14'!D173</f>
        <v>0</v>
      </c>
      <c r="E6" s="1764">
        <f>'Revenues 9-14'!E173</f>
        <v>0</v>
      </c>
      <c r="F6" s="1764">
        <f>'Revenues 9-14'!F173</f>
        <v>580208</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686688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13124761</v>
      </c>
      <c r="D8" s="1709">
        <f t="shared" ref="D8:K8" si="0">SUM(D4:D7)</f>
        <v>1228434</v>
      </c>
      <c r="E8" s="1709">
        <f t="shared" si="0"/>
        <v>740250</v>
      </c>
      <c r="F8" s="1709">
        <f t="shared" si="0"/>
        <v>1954316</v>
      </c>
      <c r="G8" s="1709">
        <f t="shared" si="0"/>
        <v>608667</v>
      </c>
      <c r="H8" s="1709">
        <f t="shared" si="0"/>
        <v>5000</v>
      </c>
      <c r="I8" s="1709">
        <f t="shared" si="0"/>
        <v>83475</v>
      </c>
      <c r="J8" s="1709">
        <f t="shared" si="0"/>
        <v>79925</v>
      </c>
      <c r="K8" s="1709">
        <f t="shared" si="0"/>
        <v>134946</v>
      </c>
      <c r="L8" s="347"/>
    </row>
    <row r="9" spans="1:13" ht="15.75" thickTop="1" x14ac:dyDescent="0.2">
      <c r="A9" s="514" t="s">
        <v>1752</v>
      </c>
      <c r="B9" s="515">
        <v>3998</v>
      </c>
      <c r="C9" s="481">
        <v>5155387</v>
      </c>
      <c r="D9" s="516"/>
      <c r="E9" s="481"/>
      <c r="F9" s="481"/>
      <c r="G9" s="517"/>
      <c r="H9" s="481"/>
      <c r="I9" s="509" t="s">
        <v>1231</v>
      </c>
      <c r="J9" s="478"/>
      <c r="K9" s="481"/>
      <c r="L9" s="347"/>
    </row>
    <row r="10" spans="1:13" s="519" customFormat="1" ht="13.5" thickBot="1" x14ac:dyDescent="0.25">
      <c r="A10" s="1757" t="s">
        <v>1235</v>
      </c>
      <c r="B10" s="1730"/>
      <c r="C10" s="1709">
        <f>SUM(C8:C9)</f>
        <v>18280148</v>
      </c>
      <c r="D10" s="1709">
        <f t="shared" ref="D10:K10" si="1">SUM(D8:D9)</f>
        <v>1228434</v>
      </c>
      <c r="E10" s="1709">
        <f t="shared" si="1"/>
        <v>740250</v>
      </c>
      <c r="F10" s="1709">
        <f t="shared" si="1"/>
        <v>1954316</v>
      </c>
      <c r="G10" s="1709">
        <f t="shared" si="1"/>
        <v>608667</v>
      </c>
      <c r="H10" s="1709">
        <f t="shared" si="1"/>
        <v>5000</v>
      </c>
      <c r="I10" s="1709">
        <f t="shared" si="1"/>
        <v>83475</v>
      </c>
      <c r="J10" s="1709">
        <f t="shared" si="1"/>
        <v>79925</v>
      </c>
      <c r="K10" s="1709">
        <f t="shared" si="1"/>
        <v>134946</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3">
        <f>'Expenditures 15-22'!K33</f>
        <v>8055422</v>
      </c>
      <c r="D12" s="520" t="s">
        <v>1231</v>
      </c>
      <c r="E12" s="468" t="s">
        <v>1231</v>
      </c>
      <c r="F12" s="468" t="s">
        <v>1231</v>
      </c>
      <c r="G12" s="1763">
        <f>'Expenditures 15-22'!K229</f>
        <v>189895</v>
      </c>
      <c r="H12" s="521"/>
      <c r="I12" s="468" t="s">
        <v>1231</v>
      </c>
      <c r="J12" s="468" t="s">
        <v>1231</v>
      </c>
      <c r="K12" s="521" t="s">
        <v>1231</v>
      </c>
      <c r="L12" s="347"/>
    </row>
    <row r="13" spans="1:13" ht="15.75" customHeight="1" x14ac:dyDescent="0.2">
      <c r="A13" s="1598" t="s">
        <v>477</v>
      </c>
      <c r="B13" s="1600">
        <v>2000</v>
      </c>
      <c r="C13" s="1764">
        <f>'Expenditures 15-22'!K74</f>
        <v>3633276</v>
      </c>
      <c r="D13" s="1764">
        <f>'Expenditures 15-22'!K129</f>
        <v>1388834</v>
      </c>
      <c r="E13" s="469" t="s">
        <v>1231</v>
      </c>
      <c r="F13" s="1764">
        <f>'Expenditures 15-22'!K184</f>
        <v>2530220</v>
      </c>
      <c r="G13" s="1764">
        <f>'Expenditures 15-22'!K279</f>
        <v>324972</v>
      </c>
      <c r="H13" s="1764">
        <f>'Expenditures 15-22'!K303</f>
        <v>1952160</v>
      </c>
      <c r="I13" s="468" t="s">
        <v>1231</v>
      </c>
      <c r="J13" s="1764">
        <f>'Expenditures 15-22'!K330</f>
        <v>67834</v>
      </c>
      <c r="K13" s="1768">
        <f>'Expenditures 15-22'!K352</f>
        <v>1006341</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1024882</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1454219</v>
      </c>
      <c r="F16" s="1764">
        <f>'Expenditures 15-22'!K208</f>
        <v>266696</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12713580</v>
      </c>
      <c r="D17" s="1709">
        <f t="shared" si="2"/>
        <v>1388834</v>
      </c>
      <c r="E17" s="1709">
        <f t="shared" si="2"/>
        <v>1454219</v>
      </c>
      <c r="F17" s="1709">
        <f t="shared" si="2"/>
        <v>2796916</v>
      </c>
      <c r="G17" s="1709">
        <f t="shared" si="2"/>
        <v>514867</v>
      </c>
      <c r="H17" s="1709">
        <f t="shared" si="2"/>
        <v>1952160</v>
      </c>
      <c r="I17" s="468"/>
      <c r="J17" s="1709">
        <f>SUM(J12:J16)</f>
        <v>67834</v>
      </c>
      <c r="K17" s="1709">
        <f>SUM(K12:K16)</f>
        <v>1006341</v>
      </c>
      <c r="L17" s="347"/>
    </row>
    <row r="18" spans="1:12" ht="15" customHeight="1" thickTop="1" x14ac:dyDescent="0.2">
      <c r="A18" s="1765" t="s">
        <v>1753</v>
      </c>
      <c r="B18" s="1766">
        <v>4180</v>
      </c>
      <c r="C18" s="1763">
        <f t="shared" ref="C18:H18" si="3">C9</f>
        <v>5155387</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17868967</v>
      </c>
      <c r="D19" s="1709">
        <f t="shared" si="4"/>
        <v>1388834</v>
      </c>
      <c r="E19" s="1709">
        <f t="shared" si="4"/>
        <v>1454219</v>
      </c>
      <c r="F19" s="1709">
        <f t="shared" si="4"/>
        <v>2796916</v>
      </c>
      <c r="G19" s="1709">
        <f t="shared" si="4"/>
        <v>514867</v>
      </c>
      <c r="H19" s="1709">
        <f t="shared" si="4"/>
        <v>1952160</v>
      </c>
      <c r="I19" s="468"/>
      <c r="J19" s="1709">
        <f>SUM(J17:J18)</f>
        <v>67834</v>
      </c>
      <c r="K19" s="1709">
        <f>SUM(K17:K18)</f>
        <v>1006341</v>
      </c>
      <c r="L19" s="347"/>
    </row>
    <row r="20" spans="1:12" ht="16.5" thickTop="1" thickBot="1" x14ac:dyDescent="0.25">
      <c r="A20" s="2142" t="s">
        <v>1754</v>
      </c>
      <c r="B20" s="2143"/>
      <c r="C20" s="1767">
        <f>C8-C17</f>
        <v>411181</v>
      </c>
      <c r="D20" s="1767">
        <f t="shared" ref="D20:K20" si="5">D8-D17</f>
        <v>-160400</v>
      </c>
      <c r="E20" s="1767">
        <f t="shared" si="5"/>
        <v>-713969</v>
      </c>
      <c r="F20" s="1767">
        <f t="shared" si="5"/>
        <v>-842600</v>
      </c>
      <c r="G20" s="1767">
        <f t="shared" si="5"/>
        <v>93800</v>
      </c>
      <c r="H20" s="1767">
        <f t="shared" si="5"/>
        <v>-1947160</v>
      </c>
      <c r="I20" s="1767">
        <f t="shared" si="5"/>
        <v>83475</v>
      </c>
      <c r="J20" s="1767">
        <f t="shared" si="5"/>
        <v>12091</v>
      </c>
      <c r="K20" s="1767">
        <f t="shared" si="5"/>
        <v>-871395</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7500000</v>
      </c>
      <c r="I33" s="467"/>
      <c r="J33" s="467"/>
      <c r="K33" s="467"/>
      <c r="L33" s="524"/>
    </row>
    <row r="34" spans="1:12" s="485" customFormat="1" x14ac:dyDescent="0.2">
      <c r="A34" s="1511" t="s">
        <v>1058</v>
      </c>
      <c r="B34" s="525">
        <v>7220</v>
      </c>
      <c r="C34" s="467"/>
      <c r="D34" s="467"/>
      <c r="E34" s="467">
        <v>540757</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v>40</v>
      </c>
      <c r="D36" s="467"/>
      <c r="E36" s="467"/>
      <c r="F36" s="467">
        <v>1234384</v>
      </c>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v>833780</v>
      </c>
      <c r="G43" s="467"/>
      <c r="H43" s="467"/>
      <c r="I43" s="467"/>
      <c r="J43" s="467"/>
      <c r="K43" s="467"/>
      <c r="L43" s="524"/>
    </row>
    <row r="44" spans="1:12" s="485" customFormat="1" ht="13.5" customHeight="1" thickBot="1" x14ac:dyDescent="0.25">
      <c r="A44" s="2156" t="s">
        <v>392</v>
      </c>
      <c r="B44" s="2157"/>
      <c r="C44" s="1724">
        <f>SUM(C24:C43)</f>
        <v>40</v>
      </c>
      <c r="D44" s="1724">
        <f t="shared" ref="D44:K44" si="6">SUM(D24:D43)</f>
        <v>0</v>
      </c>
      <c r="E44" s="1724">
        <f t="shared" si="6"/>
        <v>540757</v>
      </c>
      <c r="F44" s="1724">
        <f t="shared" si="6"/>
        <v>2068164</v>
      </c>
      <c r="G44" s="1724">
        <f t="shared" si="6"/>
        <v>0</v>
      </c>
      <c r="H44" s="1724">
        <f t="shared" si="6"/>
        <v>7500000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4" t="s">
        <v>1239</v>
      </c>
      <c r="B77" s="2135"/>
      <c r="C77" s="1724">
        <f t="shared" ref="C77:K77" si="8">C44-C76</f>
        <v>40</v>
      </c>
      <c r="D77" s="1724">
        <f t="shared" si="8"/>
        <v>0</v>
      </c>
      <c r="E77" s="1724">
        <f t="shared" si="8"/>
        <v>540757</v>
      </c>
      <c r="F77" s="1724">
        <f t="shared" si="8"/>
        <v>2068164</v>
      </c>
      <c r="G77" s="1724">
        <f t="shared" si="8"/>
        <v>0</v>
      </c>
      <c r="H77" s="1724">
        <f t="shared" si="8"/>
        <v>7500000</v>
      </c>
      <c r="I77" s="1724">
        <f t="shared" si="8"/>
        <v>0</v>
      </c>
      <c r="J77" s="1724">
        <f t="shared" si="8"/>
        <v>0</v>
      </c>
      <c r="K77" s="1724">
        <f t="shared" si="8"/>
        <v>0</v>
      </c>
      <c r="L77" s="347"/>
    </row>
    <row r="78" spans="1:12" ht="21.75" customHeight="1" thickTop="1" thickBot="1" x14ac:dyDescent="0.25">
      <c r="A78" s="2138" t="s">
        <v>618</v>
      </c>
      <c r="B78" s="2139"/>
      <c r="C78" s="1723">
        <f t="shared" ref="C78:K78" si="9">C20+C77</f>
        <v>411221</v>
      </c>
      <c r="D78" s="1723">
        <f t="shared" si="9"/>
        <v>-160400</v>
      </c>
      <c r="E78" s="1723">
        <f t="shared" si="9"/>
        <v>-173212</v>
      </c>
      <c r="F78" s="1723">
        <f t="shared" si="9"/>
        <v>1225564</v>
      </c>
      <c r="G78" s="1723">
        <f t="shared" si="9"/>
        <v>93800</v>
      </c>
      <c r="H78" s="1723">
        <f t="shared" si="9"/>
        <v>5552840</v>
      </c>
      <c r="I78" s="1723">
        <f t="shared" si="9"/>
        <v>83475</v>
      </c>
      <c r="J78" s="1723">
        <f t="shared" si="9"/>
        <v>12091</v>
      </c>
      <c r="K78" s="1723">
        <f t="shared" si="9"/>
        <v>-871395</v>
      </c>
      <c r="L78" s="533"/>
    </row>
    <row r="79" spans="1:12" ht="13.5" thickTop="1" x14ac:dyDescent="0.2">
      <c r="A79" s="1516" t="s">
        <v>2073</v>
      </c>
      <c r="B79" s="534"/>
      <c r="C79" s="478">
        <v>4151245</v>
      </c>
      <c r="D79" s="535">
        <v>1410167</v>
      </c>
      <c r="E79" s="535">
        <v>650237</v>
      </c>
      <c r="F79" s="535">
        <v>3669873</v>
      </c>
      <c r="G79" s="535">
        <v>336880</v>
      </c>
      <c r="H79" s="535"/>
      <c r="I79" s="535">
        <v>891444</v>
      </c>
      <c r="J79" s="535">
        <v>117744</v>
      </c>
      <c r="K79" s="535">
        <v>3599236</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9">
        <f>(SUM(C78:C80))</f>
        <v>4562466</v>
      </c>
      <c r="D81" s="1709">
        <f>SUM(D78:D80)</f>
        <v>1249767</v>
      </c>
      <c r="E81" s="1709">
        <f t="shared" ref="E81:K81" si="10">SUM(E78:E80)</f>
        <v>477025</v>
      </c>
      <c r="F81" s="1709">
        <f t="shared" si="10"/>
        <v>4895437</v>
      </c>
      <c r="G81" s="1709">
        <f t="shared" si="10"/>
        <v>430680</v>
      </c>
      <c r="H81" s="1709">
        <f t="shared" si="10"/>
        <v>5552840</v>
      </c>
      <c r="I81" s="1709">
        <f t="shared" si="10"/>
        <v>974919</v>
      </c>
      <c r="J81" s="1709">
        <f t="shared" si="10"/>
        <v>129835</v>
      </c>
      <c r="K81" s="1709">
        <f t="shared" si="10"/>
        <v>2727841</v>
      </c>
      <c r="L81" s="347"/>
    </row>
    <row r="82" spans="1:12" ht="0.75" customHeight="1" thickTop="1" thickBot="1" x14ac:dyDescent="0.25">
      <c r="A82" s="536" t="s">
        <v>361</v>
      </c>
      <c r="B82" s="537"/>
      <c r="C82" s="538">
        <f>(C81-C79)</f>
        <v>411221</v>
      </c>
      <c r="D82" s="538">
        <f t="shared" ref="D82:K82" si="11">(D81-D79)</f>
        <v>-160400</v>
      </c>
      <c r="E82" s="538">
        <f t="shared" si="11"/>
        <v>-173212</v>
      </c>
      <c r="F82" s="538">
        <f t="shared" si="11"/>
        <v>1225564</v>
      </c>
      <c r="G82" s="538">
        <f t="shared" si="11"/>
        <v>93800</v>
      </c>
      <c r="H82" s="538">
        <f t="shared" si="11"/>
        <v>5552840</v>
      </c>
      <c r="I82" s="538">
        <f t="shared" si="11"/>
        <v>83475</v>
      </c>
      <c r="J82" s="538">
        <f t="shared" si="11"/>
        <v>12091</v>
      </c>
      <c r="K82" s="538">
        <f t="shared" si="11"/>
        <v>-871395</v>
      </c>
    </row>
    <row r="83" spans="1:12" ht="14.25" hidden="1" thickTop="1" thickBot="1" x14ac:dyDescent="0.25">
      <c r="A83" s="539" t="s">
        <v>362</v>
      </c>
      <c r="B83" s="464"/>
      <c r="C83" s="540">
        <f>C82/C81</f>
        <v>9.0131301800386018E-2</v>
      </c>
      <c r="D83" s="540">
        <f t="shared" ref="D83:K83" si="12">D82/D81</f>
        <v>-0.12834392330730449</v>
      </c>
      <c r="E83" s="540">
        <f t="shared" si="12"/>
        <v>-0.36310885173733032</v>
      </c>
      <c r="F83" s="540">
        <f t="shared" si="12"/>
        <v>0.25034823244584703</v>
      </c>
      <c r="G83" s="540">
        <f t="shared" si="12"/>
        <v>0.21779511470233121</v>
      </c>
      <c r="H83" s="540">
        <f t="shared" si="12"/>
        <v>1</v>
      </c>
      <c r="I83" s="540">
        <f t="shared" si="12"/>
        <v>8.5622497869053737E-2</v>
      </c>
      <c r="J83" s="540">
        <f t="shared" si="12"/>
        <v>9.3125890553394694E-2</v>
      </c>
      <c r="K83" s="540">
        <f t="shared" si="12"/>
        <v>-0.31944493832301807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2018
 </oddHeader>
    <oddFooter>&amp;L&amp;8Print Date: &amp;D
&amp;F&amp;CSee Accompanying Notes to Financial Statements.
13</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sqref="A1:A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6272827</v>
      </c>
      <c r="D5" s="481">
        <v>1135931</v>
      </c>
      <c r="E5" s="466">
        <v>737048</v>
      </c>
      <c r="F5" s="548">
        <v>1285261</v>
      </c>
      <c r="G5" s="466">
        <v>217299</v>
      </c>
      <c r="H5" s="466"/>
      <c r="I5" s="466">
        <v>71421</v>
      </c>
      <c r="J5" s="467">
        <v>78745</v>
      </c>
      <c r="K5" s="466">
        <v>117595</v>
      </c>
    </row>
    <row r="6" spans="1:12" ht="15" x14ac:dyDescent="0.2">
      <c r="A6" s="463" t="s">
        <v>1761</v>
      </c>
      <c r="B6" s="470">
        <v>1130</v>
      </c>
      <c r="C6" s="466">
        <v>73003</v>
      </c>
      <c r="D6" s="466"/>
      <c r="E6" s="475"/>
      <c r="F6" s="475"/>
      <c r="G6" s="468"/>
      <c r="H6" s="468"/>
      <c r="I6" s="468"/>
      <c r="J6" s="468"/>
      <c r="K6" s="468"/>
    </row>
    <row r="7" spans="1:12" x14ac:dyDescent="0.2">
      <c r="A7" s="463" t="s">
        <v>112</v>
      </c>
      <c r="B7" s="549">
        <v>1140</v>
      </c>
      <c r="C7" s="466">
        <v>457686</v>
      </c>
      <c r="D7" s="466"/>
      <c r="E7" s="468"/>
      <c r="F7" s="467"/>
      <c r="G7" s="467"/>
      <c r="H7" s="467"/>
      <c r="I7" s="468"/>
      <c r="J7" s="468"/>
      <c r="K7" s="468"/>
    </row>
    <row r="8" spans="1:12" x14ac:dyDescent="0.2">
      <c r="A8" s="463" t="s">
        <v>433</v>
      </c>
      <c r="B8" s="470">
        <v>1150</v>
      </c>
      <c r="C8" s="475"/>
      <c r="D8" s="475"/>
      <c r="E8" s="477"/>
      <c r="F8" s="477"/>
      <c r="G8" s="481">
        <v>376571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6803516</v>
      </c>
      <c r="D12" s="1728">
        <f t="shared" si="0"/>
        <v>1135931</v>
      </c>
      <c r="E12" s="1728">
        <f t="shared" si="0"/>
        <v>737048</v>
      </c>
      <c r="F12" s="1728">
        <f t="shared" si="0"/>
        <v>1285261</v>
      </c>
      <c r="G12" s="1728">
        <f t="shared" si="0"/>
        <v>593870</v>
      </c>
      <c r="H12" s="1728">
        <f t="shared" si="0"/>
        <v>0</v>
      </c>
      <c r="I12" s="1728">
        <f t="shared" si="0"/>
        <v>71421</v>
      </c>
      <c r="J12" s="1728">
        <f t="shared" si="0"/>
        <v>78745</v>
      </c>
      <c r="K12" s="1709">
        <f t="shared" si="0"/>
        <v>117595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308171</v>
      </c>
      <c r="D16" s="466"/>
      <c r="E16" s="466"/>
      <c r="F16" s="466"/>
      <c r="G16" s="466">
        <v>10760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308171</v>
      </c>
      <c r="D18" s="1731">
        <f t="shared" ref="D18:K18" si="1">SUM(D14:D17)</f>
        <v>0</v>
      </c>
      <c r="E18" s="1731">
        <f t="shared" si="1"/>
        <v>0</v>
      </c>
      <c r="F18" s="1731">
        <f t="shared" si="1"/>
        <v>0</v>
      </c>
      <c r="G18" s="1731">
        <f t="shared" si="1"/>
        <v>10760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1250</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1250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2100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2174</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4274</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58785</v>
      </c>
      <c r="D65" s="466">
        <v>14038</v>
      </c>
      <c r="E65" s="466">
        <v>3202</v>
      </c>
      <c r="F65" s="467">
        <v>84573</v>
      </c>
      <c r="G65" s="466">
        <v>4037</v>
      </c>
      <c r="H65" s="466">
        <v>5000</v>
      </c>
      <c r="I65" s="466">
        <v>12054</v>
      </c>
      <c r="J65" s="467">
        <v>1180</v>
      </c>
      <c r="K65" s="466">
        <v>17351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58785</v>
      </c>
      <c r="D67" s="1709">
        <f t="shared" ref="D67:K67" si="2">SUM(D65:D66)</f>
        <v>14038</v>
      </c>
      <c r="E67" s="1709">
        <f t="shared" si="2"/>
        <v>3202</v>
      </c>
      <c r="F67" s="1709">
        <f t="shared" si="2"/>
        <v>84573</v>
      </c>
      <c r="G67" s="1709">
        <f t="shared" si="2"/>
        <v>4037</v>
      </c>
      <c r="H67" s="1709">
        <f t="shared" si="2"/>
        <v>5000</v>
      </c>
      <c r="I67" s="1709">
        <f t="shared" si="2"/>
        <v>12054</v>
      </c>
      <c r="J67" s="1709">
        <f t="shared" si="2"/>
        <v>1180</v>
      </c>
      <c r="K67" s="1709">
        <f t="shared" si="2"/>
        <v>17351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152700</v>
      </c>
      <c r="D69" s="468"/>
      <c r="E69" s="468"/>
      <c r="F69" s="468"/>
      <c r="G69" s="468"/>
      <c r="H69" s="468"/>
      <c r="I69" s="468"/>
      <c r="J69" s="468"/>
      <c r="K69" s="468"/>
    </row>
    <row r="70" spans="1:11" ht="12.75" customHeight="1" x14ac:dyDescent="0.2">
      <c r="A70" s="463" t="s">
        <v>1054</v>
      </c>
      <c r="B70" s="470">
        <v>1612</v>
      </c>
      <c r="C70" s="551">
        <v>3942</v>
      </c>
      <c r="D70" s="468"/>
      <c r="E70" s="468"/>
      <c r="F70" s="468"/>
      <c r="G70" s="468"/>
      <c r="H70" s="468"/>
      <c r="I70" s="468"/>
      <c r="J70" s="468"/>
      <c r="K70" s="468"/>
    </row>
    <row r="71" spans="1:11" ht="12.75" customHeight="1" x14ac:dyDescent="0.2">
      <c r="A71" s="463" t="s">
        <v>291</v>
      </c>
      <c r="B71" s="470">
        <v>1613</v>
      </c>
      <c r="C71" s="551">
        <v>166035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4345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327022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49327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214309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263636</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37219</v>
      </c>
      <c r="D95" s="551">
        <v>42385</v>
      </c>
      <c r="E95" s="521"/>
      <c r="F95" s="521"/>
      <c r="G95" s="521"/>
      <c r="H95" s="521"/>
      <c r="I95" s="521"/>
      <c r="J95" s="521"/>
      <c r="K95" s="521"/>
    </row>
    <row r="96" spans="1:11" ht="12.75" customHeight="1" x14ac:dyDescent="0.2">
      <c r="A96" s="463" t="s">
        <v>409</v>
      </c>
      <c r="B96" s="470">
        <v>1920</v>
      </c>
      <c r="C96" s="551">
        <v>2435</v>
      </c>
      <c r="D96" s="551"/>
      <c r="E96" s="479"/>
      <c r="F96" s="478"/>
      <c r="G96" s="478"/>
      <c r="H96" s="478"/>
      <c r="I96" s="478"/>
      <c r="J96" s="478"/>
      <c r="K96" s="478"/>
    </row>
    <row r="97" spans="1:12" ht="12.75" customHeight="1" x14ac:dyDescent="0.2">
      <c r="A97" s="1517" t="s">
        <v>262</v>
      </c>
      <c r="B97" s="559">
        <v>1930</v>
      </c>
      <c r="C97" s="489"/>
      <c r="D97" s="467">
        <v>2055</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52659</v>
      </c>
      <c r="D99" s="466">
        <v>32343</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22615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257</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v>1425</v>
      </c>
      <c r="E106" s="467"/>
      <c r="F106" s="467"/>
      <c r="G106" s="467"/>
      <c r="H106" s="467"/>
      <c r="I106" s="521"/>
      <c r="J106" s="467"/>
      <c r="K106" s="467"/>
    </row>
    <row r="107" spans="1:12" ht="12.75" customHeight="1" x14ac:dyDescent="0.2">
      <c r="A107" s="463" t="s">
        <v>80</v>
      </c>
      <c r="B107" s="470">
        <v>1999</v>
      </c>
      <c r="C107" s="551">
        <v>124737</v>
      </c>
      <c r="D107" s="466"/>
      <c r="E107" s="466"/>
      <c r="F107" s="466"/>
      <c r="G107" s="466"/>
      <c r="H107" s="466"/>
      <c r="I107" s="466"/>
      <c r="J107" s="467"/>
      <c r="K107" s="466"/>
    </row>
    <row r="108" spans="1:12" ht="12.75" customHeight="1" thickBot="1" x14ac:dyDescent="0.25">
      <c r="A108" s="1729" t="s">
        <v>508</v>
      </c>
      <c r="B108" s="1733"/>
      <c r="C108" s="1728">
        <f>SUM(C95:C107)</f>
        <v>239665</v>
      </c>
      <c r="D108" s="1728">
        <f t="shared" ref="D108:K108" si="3">SUM(D95:D107)</f>
        <v>78465</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8002045</v>
      </c>
      <c r="D109" s="1736">
        <f t="shared" si="4"/>
        <v>1228434</v>
      </c>
      <c r="E109" s="1736">
        <f t="shared" si="4"/>
        <v>740250</v>
      </c>
      <c r="F109" s="1736">
        <f t="shared" si="4"/>
        <v>1374108</v>
      </c>
      <c r="G109" s="1736">
        <f t="shared" si="4"/>
        <v>608667</v>
      </c>
      <c r="H109" s="1736">
        <f t="shared" si="4"/>
        <v>5000</v>
      </c>
      <c r="I109" s="1736">
        <f t="shared" si="4"/>
        <v>83475</v>
      </c>
      <c r="J109" s="1736">
        <f t="shared" si="4"/>
        <v>79925</v>
      </c>
      <c r="K109" s="1723">
        <f t="shared" si="4"/>
        <v>134946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4094163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v>0</v>
      </c>
      <c r="D120" s="466"/>
      <c r="E120" s="466"/>
      <c r="F120" s="466"/>
      <c r="G120" s="466"/>
      <c r="H120" s="466"/>
      <c r="I120" s="468"/>
      <c r="J120" s="467"/>
      <c r="K120" s="466"/>
    </row>
    <row r="121" spans="1:11" ht="12.6" customHeight="1" thickBot="1" x14ac:dyDescent="0.25">
      <c r="A121" s="1729" t="s">
        <v>509</v>
      </c>
      <c r="B121" s="1740"/>
      <c r="C121" s="1728">
        <f t="shared" ref="C121:H121" si="5">SUM(C117:C120)</f>
        <v>4094163</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104354</v>
      </c>
      <c r="D124" s="561"/>
      <c r="E124" s="468"/>
      <c r="F124" s="548"/>
      <c r="G124" s="468"/>
      <c r="H124" s="468"/>
      <c r="I124" s="468"/>
      <c r="J124" s="468"/>
      <c r="K124" s="468"/>
    </row>
    <row r="125" spans="1:11" ht="12.75" customHeight="1" x14ac:dyDescent="0.2">
      <c r="A125" s="463" t="s">
        <v>1521</v>
      </c>
      <c r="B125" s="562">
        <v>3105</v>
      </c>
      <c r="C125" s="466">
        <v>87308</v>
      </c>
      <c r="D125" s="561"/>
      <c r="E125" s="468"/>
      <c r="F125" s="466"/>
      <c r="G125" s="468"/>
      <c r="H125" s="468"/>
      <c r="I125" s="468"/>
      <c r="J125" s="468"/>
      <c r="K125" s="468"/>
    </row>
    <row r="126" spans="1:11" ht="12.75" customHeight="1" x14ac:dyDescent="0.2">
      <c r="A126" s="463" t="s">
        <v>922</v>
      </c>
      <c r="B126" s="562">
        <v>3110</v>
      </c>
      <c r="C126" s="551">
        <v>125010</v>
      </c>
      <c r="D126" s="466"/>
      <c r="E126" s="468"/>
      <c r="F126" s="466"/>
      <c r="G126" s="468"/>
      <c r="H126" s="468"/>
      <c r="I126" s="468"/>
      <c r="J126" s="468"/>
      <c r="K126" s="468"/>
    </row>
    <row r="127" spans="1:11" ht="12.75" customHeight="1" x14ac:dyDescent="0.2">
      <c r="A127" s="463" t="s">
        <v>107</v>
      </c>
      <c r="B127" s="562">
        <v>3120</v>
      </c>
      <c r="C127" s="466">
        <v>6112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322784</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1963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15244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355710</v>
      </c>
      <c r="G151" s="467"/>
      <c r="H151" s="468"/>
      <c r="I151" s="468"/>
      <c r="J151" s="468"/>
      <c r="K151" s="468"/>
    </row>
    <row r="152" spans="1:11" ht="12.75" customHeight="1" x14ac:dyDescent="0.2">
      <c r="A152" s="463" t="s">
        <v>1117</v>
      </c>
      <c r="B152" s="562">
        <v>3510</v>
      </c>
      <c r="C152" s="551"/>
      <c r="D152" s="466"/>
      <c r="E152" s="561"/>
      <c r="F152" s="466">
        <v>224498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580208</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1874</v>
      </c>
      <c r="D171" s="580"/>
      <c r="E171" s="580"/>
      <c r="F171" s="580"/>
      <c r="G171" s="581"/>
      <c r="H171" s="582"/>
      <c r="I171" s="581"/>
      <c r="J171" s="581"/>
      <c r="K171" s="582"/>
    </row>
    <row r="172" spans="1:11" ht="12.75" customHeight="1" thickTop="1" thickBot="1" x14ac:dyDescent="0.25">
      <c r="A172" s="2160" t="s">
        <v>418</v>
      </c>
      <c r="B172" s="2161"/>
      <c r="C172" s="1743">
        <f t="shared" ref="C172:K172" si="6">SUM(C131,C140,C144,C145:C149,C154,C155:C170,C171)</f>
        <v>341865</v>
      </c>
      <c r="D172" s="1743">
        <f t="shared" si="6"/>
        <v>0</v>
      </c>
      <c r="E172" s="1743">
        <f t="shared" si="6"/>
        <v>0</v>
      </c>
      <c r="F172" s="1743">
        <f t="shared" si="6"/>
        <v>580208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4436028</v>
      </c>
      <c r="D173" s="1736">
        <f>SUM(D121,D172)</f>
        <v>0</v>
      </c>
      <c r="E173" s="1736">
        <f>SUM(E121,E172)</f>
        <v>0</v>
      </c>
      <c r="F173" s="1736">
        <f t="shared" ref="F173:K173" si="7">SUM(F121,F172)</f>
        <v>580208</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146669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11667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158336</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187918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187918</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237208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237208</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426</v>
      </c>
      <c r="D270" s="576"/>
      <c r="E270" s="468"/>
      <c r="F270" s="576"/>
      <c r="G270" s="576"/>
      <c r="H270" s="468"/>
      <c r="I270" s="468"/>
      <c r="J270" s="468"/>
      <c r="K270" s="468"/>
    </row>
    <row r="271" spans="1:11" ht="12.75" customHeight="1" thickTop="1" thickBot="1" x14ac:dyDescent="0.25">
      <c r="A271" s="463" t="s">
        <v>395</v>
      </c>
      <c r="B271" s="470">
        <v>4992</v>
      </c>
      <c r="C271" s="575">
        <v>102800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686688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686688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13124761</v>
      </c>
      <c r="D275" s="1736">
        <f t="shared" si="12"/>
        <v>1228434</v>
      </c>
      <c r="E275" s="1736">
        <f t="shared" si="12"/>
        <v>740250</v>
      </c>
      <c r="F275" s="1736">
        <f t="shared" si="12"/>
        <v>1954316</v>
      </c>
      <c r="G275" s="1736">
        <f t="shared" si="12"/>
        <v>608667</v>
      </c>
      <c r="H275" s="1736">
        <f t="shared" si="12"/>
        <v>5000</v>
      </c>
      <c r="I275" s="1736">
        <f t="shared" si="12"/>
        <v>83475</v>
      </c>
      <c r="J275" s="1736">
        <f t="shared" si="12"/>
        <v>79925</v>
      </c>
      <c r="K275" s="1723">
        <f t="shared" si="12"/>
        <v>134946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2018</oddHeader>
    <oddFooter>&amp;L&amp;8Printed Date: &amp;D
&amp;F&amp;CSee Accompanying Notes to Financial Statements.
15</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www.w3.org/XML/1998/namespace"/>
    <ds:schemaRef ds:uri="6ce3111e-7420-4802-b50a-75d4e9a0b980"/>
    <ds:schemaRef ds:uri="http://purl.org/dc/terms/"/>
    <ds:schemaRef ds:uri="http://schemas.microsoft.com/sharepoint/v3"/>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AudQuest signature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2018-11-15T22:31:54Z</cp:lastPrinted>
  <dcterms:created xsi:type="dcterms:W3CDTF">2003-10-29T19:06:34Z</dcterms:created>
  <dcterms:modified xsi:type="dcterms:W3CDTF">2018-12-18T17:38:09Z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