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7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SEFA'!$B$1:$M$45</definedName>
    <definedName name="_xlnm.Print_Area" localSheetId="29">' SEFA (2)'!$B$1:$M$45</definedName>
    <definedName name="_xlnm.Print_Area" localSheetId="30">' SEFA (3)'!$B$1:$M$45</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0" i="184" l="1"/>
  <c r="K21" i="184" s="1"/>
  <c r="J20" i="184"/>
  <c r="J21" i="184" s="1"/>
  <c r="J27" i="184" s="1"/>
  <c r="I20" i="184"/>
  <c r="I21" i="184" s="1"/>
  <c r="H20" i="184"/>
  <c r="H21" i="184" s="1"/>
  <c r="G20" i="184"/>
  <c r="G21" i="184" s="1"/>
  <c r="F20" i="184"/>
  <c r="F21" i="184" s="1"/>
  <c r="E20" i="184"/>
  <c r="E21" i="184" s="1"/>
  <c r="K12" i="184"/>
  <c r="J12" i="184"/>
  <c r="J13" i="184" s="1"/>
  <c r="I12" i="184"/>
  <c r="H12" i="184"/>
  <c r="H13" i="184" s="1"/>
  <c r="G12" i="184"/>
  <c r="F12" i="184"/>
  <c r="F13" i="184" s="1"/>
  <c r="E12" i="184"/>
  <c r="K25" i="183"/>
  <c r="K13" i="184" s="1"/>
  <c r="J25" i="183"/>
  <c r="I25" i="183"/>
  <c r="H25" i="183"/>
  <c r="G25" i="183"/>
  <c r="G13" i="184" s="1"/>
  <c r="F25" i="183"/>
  <c r="E25" i="183"/>
  <c r="K19" i="183"/>
  <c r="J19" i="183"/>
  <c r="I19" i="183"/>
  <c r="H19" i="183"/>
  <c r="G19" i="183"/>
  <c r="F19" i="183"/>
  <c r="E19" i="183"/>
  <c r="K17" i="183"/>
  <c r="J17" i="183"/>
  <c r="I17" i="183"/>
  <c r="I13" i="184" s="1"/>
  <c r="H17" i="183"/>
  <c r="G17" i="183"/>
  <c r="F17" i="183"/>
  <c r="E17" i="183"/>
  <c r="E13" i="184" s="1"/>
  <c r="E27" i="184" s="1"/>
  <c r="K14" i="183"/>
  <c r="J14" i="183"/>
  <c r="I14" i="183"/>
  <c r="L14" i="183" s="1"/>
  <c r="H14" i="183"/>
  <c r="G14" i="183"/>
  <c r="F14" i="183"/>
  <c r="E14" i="183"/>
  <c r="K24" i="179"/>
  <c r="G24" i="179"/>
  <c r="K23" i="179"/>
  <c r="J23" i="179"/>
  <c r="I23" i="179"/>
  <c r="I24" i="179" s="1"/>
  <c r="H23" i="179"/>
  <c r="G23" i="179"/>
  <c r="F23" i="179"/>
  <c r="E23" i="179"/>
  <c r="K19" i="179"/>
  <c r="J19" i="179"/>
  <c r="J24" i="179" s="1"/>
  <c r="I19" i="179"/>
  <c r="H19" i="179"/>
  <c r="H24" i="179" s="1"/>
  <c r="G19" i="179"/>
  <c r="F19" i="179"/>
  <c r="F24" i="179" s="1"/>
  <c r="E19" i="179"/>
  <c r="E24" i="179" s="1"/>
  <c r="L18" i="179"/>
  <c r="L26" i="184"/>
  <c r="L25" i="184"/>
  <c r="L24" i="184"/>
  <c r="L23" i="184"/>
  <c r="L22" i="184"/>
  <c r="L19" i="184"/>
  <c r="L18" i="184"/>
  <c r="L17" i="184"/>
  <c r="L16" i="184"/>
  <c r="L15" i="184"/>
  <c r="L14" i="184"/>
  <c r="L11" i="184"/>
  <c r="B4" i="184"/>
  <c r="L27" i="183"/>
  <c r="L26" i="183"/>
  <c r="L24" i="183"/>
  <c r="L23" i="183"/>
  <c r="L22" i="183"/>
  <c r="L21" i="183"/>
  <c r="L20" i="183"/>
  <c r="L19" i="183"/>
  <c r="L18" i="183"/>
  <c r="L16" i="183"/>
  <c r="L15" i="183"/>
  <c r="L13" i="183"/>
  <c r="L12" i="183"/>
  <c r="L11" i="183"/>
  <c r="B4" i="183"/>
  <c r="I27" i="184" l="1"/>
  <c r="D45" i="174" s="1"/>
  <c r="L13" i="184"/>
  <c r="H27" i="184"/>
  <c r="G27" i="184"/>
  <c r="L27" i="184" s="1"/>
  <c r="K27" i="184"/>
  <c r="F27" i="184"/>
  <c r="D35" i="171" s="1"/>
  <c r="L21" i="184"/>
  <c r="L20" i="184"/>
  <c r="L12" i="184"/>
  <c r="L25" i="183"/>
  <c r="L17" i="183"/>
  <c r="L19" i="179"/>
  <c r="G18" i="127"/>
  <c r="G12"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s="1"/>
  <c r="B5106" i="106"/>
  <c r="D5106" i="106"/>
  <c r="B5107" i="106"/>
  <c r="D5107" i="106" s="1"/>
  <c r="B5108" i="106"/>
  <c r="D5108" i="106"/>
  <c r="B5109" i="106"/>
  <c r="D5109" i="106" s="1"/>
  <c r="B5110" i="106"/>
  <c r="D5110" i="106"/>
  <c r="B5111" i="106"/>
  <c r="D5111" i="106" s="1"/>
  <c r="B5113" i="106"/>
  <c r="D5113" i="106"/>
  <c r="B5114" i="106"/>
  <c r="D5114" i="106" s="1"/>
  <c r="B5115" i="106"/>
  <c r="D5115" i="106"/>
  <c r="B5116" i="106"/>
  <c r="D5116" i="106" s="1"/>
  <c r="B5117" i="106"/>
  <c r="D5117" i="106"/>
  <c r="B5118" i="106"/>
  <c r="D5118" i="106" s="1"/>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c r="B6308" i="106"/>
  <c r="D6308" i="106" s="1"/>
  <c r="B6309" i="106"/>
  <c r="D6309" i="106" s="1"/>
  <c r="B6310" i="106"/>
  <c r="D6310" i="106" s="1"/>
  <c r="B6311" i="106"/>
  <c r="D6311" i="106" s="1"/>
  <c r="B6312" i="106"/>
  <c r="D6312" i="106" s="1"/>
  <c r="B6313" i="106"/>
  <c r="D6313" i="106" s="1"/>
  <c r="B6314" i="106"/>
  <c r="D6314" i="106" s="1"/>
  <c r="B6315" i="106"/>
  <c r="D6315" i="106"/>
  <c r="B6316" i="106"/>
  <c r="D6316" i="106" s="1"/>
  <c r="B6317" i="106"/>
  <c r="D6317" i="106"/>
  <c r="B6319" i="106"/>
  <c r="D6319" i="106" s="1"/>
  <c r="B6320" i="106"/>
  <c r="D6320" i="106"/>
  <c r="B6321" i="106"/>
  <c r="D6321" i="106" s="1"/>
  <c r="B6322" i="106"/>
  <c r="D6322" i="106"/>
  <c r="B6323" i="106"/>
  <c r="D6323" i="106" s="1"/>
  <c r="B6324" i="106"/>
  <c r="D6324" i="106"/>
  <c r="B6325" i="106"/>
  <c r="D6325" i="106" s="1"/>
  <c r="B6326" i="106"/>
  <c r="D6326" i="106"/>
  <c r="B6327" i="106"/>
  <c r="D6327" i="106" s="1"/>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c r="B6340" i="106"/>
  <c r="D6340" i="106" s="1"/>
  <c r="B6341" i="106"/>
  <c r="D6341" i="106"/>
  <c r="B6342" i="106"/>
  <c r="D6342" i="106" s="1"/>
  <c r="B6343" i="106"/>
  <c r="D6343" i="106"/>
  <c r="B6344" i="106"/>
  <c r="D6344" i="106" s="1"/>
  <c r="B6345" i="106"/>
  <c r="D6345" i="106"/>
  <c r="B6346" i="106"/>
  <c r="D6346" i="106" s="1"/>
  <c r="B6347" i="106"/>
  <c r="D6347" i="106"/>
  <c r="B6348" i="106"/>
  <c r="D6348" i="106" s="1"/>
  <c r="B6349" i="106"/>
  <c r="D6349" i="106"/>
  <c r="B6350" i="106"/>
  <c r="D6350" i="106" s="1"/>
  <c r="B6353" i="106"/>
  <c r="D6353" i="106"/>
  <c r="B6354" i="106"/>
  <c r="D6354" i="106" s="1"/>
  <c r="B6355" i="106"/>
  <c r="D6355" i="106"/>
  <c r="B6356" i="106"/>
  <c r="D6356" i="106" s="1"/>
  <c r="B6358" i="106"/>
  <c r="D6358" i="106"/>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c r="B6408" i="106"/>
  <c r="D6408" i="106" s="1"/>
  <c r="B6410" i="106"/>
  <c r="D6410" i="106"/>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s="1"/>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c r="B6753" i="106"/>
  <c r="D6753" i="106" s="1"/>
  <c r="B6754" i="106"/>
  <c r="D6754" i="106"/>
  <c r="B6755" i="106"/>
  <c r="D6755" i="106" s="1"/>
  <c r="B6756" i="106"/>
  <c r="D6756" i="106" s="1"/>
  <c r="B6757" i="106"/>
  <c r="D6757" i="106" s="1"/>
  <c r="B6758" i="106"/>
  <c r="D6758" i="106"/>
  <c r="B6759" i="106"/>
  <c r="D6759" i="106" s="1"/>
  <c r="B6760" i="106"/>
  <c r="D6760" i="106"/>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c r="B6785" i="106"/>
  <c r="D6785" i="106" s="1"/>
  <c r="B6786" i="106"/>
  <c r="D6786" i="106"/>
  <c r="B6787" i="106"/>
  <c r="D6787" i="106" s="1"/>
  <c r="B6788" i="106"/>
  <c r="D6788" i="106" s="1"/>
  <c r="B6789" i="106"/>
  <c r="D6789" i="106" s="1"/>
  <c r="B6790" i="106"/>
  <c r="D6790" i="106"/>
  <c r="B6791" i="106"/>
  <c r="D6791" i="106" s="1"/>
  <c r="B6792" i="106"/>
  <c r="D6792" i="106"/>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c r="B6817" i="106"/>
  <c r="D6817" i="106" s="1"/>
  <c r="B6818" i="106"/>
  <c r="D6818" i="106"/>
  <c r="B6819" i="106"/>
  <c r="D6819" i="106" s="1"/>
  <c r="B6820" i="106"/>
  <c r="D6820" i="106" s="1"/>
  <c r="B6821" i="106"/>
  <c r="D6821" i="106" s="1"/>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3" i="127"/>
  <c r="B64" i="127"/>
  <c r="D26" i="108"/>
  <c r="E26" i="108"/>
  <c r="F26" i="108"/>
  <c r="G26" i="108"/>
  <c r="D27" i="108"/>
  <c r="E27" i="108"/>
  <c r="F27" i="108"/>
  <c r="G27" i="108"/>
  <c r="F28" i="108"/>
  <c r="F31" i="108"/>
  <c r="F36" i="108"/>
  <c r="G28" i="108"/>
  <c r="E29" i="108"/>
  <c r="G29" i="108"/>
  <c r="E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s="1"/>
  <c r="D6306" i="106" s="1"/>
  <c r="K18" i="5"/>
  <c r="B5992" i="106" s="1"/>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14" i="4"/>
  <c r="B2609" i="106" s="1"/>
  <c r="D2609" i="106" s="1"/>
  <c r="G15" i="4"/>
  <c r="B6032" i="106" s="1"/>
  <c r="D6032"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1" i="34"/>
  <c r="F128" i="34"/>
  <c r="F111" i="34"/>
  <c r="B5847" i="106"/>
  <c r="D5847" i="106" s="1"/>
  <c r="B5752" i="106"/>
  <c r="D5752" i="106" s="1"/>
  <c r="K274" i="5"/>
  <c r="H173" i="5"/>
  <c r="B5906" i="106" s="1"/>
  <c r="D5906" i="106" s="1"/>
  <c r="C172" i="5"/>
  <c r="B5214" i="106" s="1"/>
  <c r="D5214" i="106" s="1"/>
  <c r="H109" i="5"/>
  <c r="B6025" i="106" s="1"/>
  <c r="D6025" i="106" s="1"/>
  <c r="F106" i="34"/>
  <c r="D7" i="7"/>
  <c r="B1763" i="106" s="1"/>
  <c r="D1763" i="106" s="1"/>
  <c r="H4" i="4"/>
  <c r="B2655" i="106" s="1"/>
  <c r="D2655" i="106" s="1"/>
  <c r="B1746" i="106"/>
  <c r="D1746" i="106" s="1"/>
  <c r="D17" i="7"/>
  <c r="B4104" i="106" s="1"/>
  <c r="D4104" i="106" s="1"/>
  <c r="D11" i="7"/>
  <c r="B1768" i="106" s="1"/>
  <c r="D1768" i="106" s="1"/>
  <c r="D15" i="7"/>
  <c r="B1772" i="106" s="1"/>
  <c r="D1772" i="106" s="1"/>
  <c r="G173" i="5" l="1"/>
  <c r="B5778" i="106" s="1"/>
  <c r="D5778" i="106" s="1"/>
  <c r="B5770" i="106"/>
  <c r="D5770" i="106" s="1"/>
  <c r="J274" i="5"/>
  <c r="B7054" i="106" s="1"/>
  <c r="D7054" i="106" s="1"/>
  <c r="H6" i="4"/>
  <c r="B2656" i="106" s="1"/>
  <c r="D2656" i="106" s="1"/>
  <c r="F127" i="34"/>
  <c r="F136" i="34"/>
  <c r="I274" i="5"/>
  <c r="I342" i="29"/>
  <c r="B7222" i="106" s="1"/>
  <c r="D7222" i="106" s="1"/>
  <c r="F130" i="34"/>
  <c r="K28" i="118"/>
  <c r="O27" i="118" s="1"/>
  <c r="O29" i="118" s="1"/>
  <c r="G5" i="4"/>
  <c r="B3409" i="106" s="1"/>
  <c r="D3409" i="106" s="1"/>
  <c r="L367" i="29"/>
  <c r="B6191" i="106"/>
  <c r="D6191" i="106" s="1"/>
  <c r="J41" i="3"/>
  <c r="D6103" i="106"/>
  <c r="B3621" i="106"/>
  <c r="D3621" i="106" s="1"/>
  <c r="C367" i="29"/>
  <c r="G15" i="145"/>
  <c r="K24" i="12"/>
  <c r="C129" i="29"/>
  <c r="H365" i="29"/>
  <c r="L13" i="11"/>
  <c r="B2060" i="106" s="1"/>
  <c r="D2060" i="106" s="1"/>
  <c r="F37" i="108"/>
  <c r="D37" i="108"/>
  <c r="D41" i="108" s="1"/>
  <c r="E43" i="108" s="1"/>
  <c r="G30" i="108"/>
  <c r="E28" i="108"/>
  <c r="B1126" i="106"/>
  <c r="D1126" i="106" s="1"/>
  <c r="C173" i="5"/>
  <c r="B5223" i="106" s="1"/>
  <c r="D5223" i="106" s="1"/>
  <c r="C109" i="5"/>
  <c r="B5121" i="106" s="1"/>
  <c r="D5121" i="106" s="1"/>
  <c r="B3649" i="106"/>
  <c r="D3649" i="106" s="1"/>
  <c r="G367" i="29"/>
  <c r="B3650" i="106" s="1"/>
  <c r="D3650" i="106" s="1"/>
  <c r="K350" i="29"/>
  <c r="D12" i="7"/>
  <c r="B1769" i="106" s="1"/>
  <c r="D1769" i="106" s="1"/>
  <c r="B1410" i="106"/>
  <c r="D1410" i="106" s="1"/>
  <c r="G109" i="5"/>
  <c r="B6024" i="106" s="1"/>
  <c r="D6024" i="106" s="1"/>
  <c r="B1329" i="106"/>
  <c r="D1329" i="106" s="1"/>
  <c r="F61" i="34"/>
  <c r="D109" i="5"/>
  <c r="B5356" i="106" s="1"/>
  <c r="D5356" i="106" s="1"/>
  <c r="B5334" i="106"/>
  <c r="D5334" i="106" s="1"/>
  <c r="L34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D4" i="4" l="1"/>
  <c r="B2564" i="106" s="1"/>
  <c r="D2564" i="106" s="1"/>
  <c r="F274" i="5"/>
  <c r="B7733" i="106"/>
  <c r="D7733" i="106" s="1"/>
  <c r="K26" i="12"/>
  <c r="B7743" i="106" s="1"/>
  <c r="D7743" i="106" s="1"/>
  <c r="D7253" i="106"/>
  <c r="H367" i="29"/>
  <c r="B3660" i="106" s="1"/>
  <c r="D3660" i="106" s="1"/>
  <c r="B7242" i="106"/>
  <c r="D7242" i="106" s="1"/>
  <c r="K342" i="29"/>
  <c r="F13" i="34" s="1"/>
  <c r="L16" i="11"/>
  <c r="B2061" i="106" s="1"/>
  <c r="D2061" i="106" s="1"/>
  <c r="D19" i="7"/>
  <c r="B1775" i="106" s="1"/>
  <c r="D1775" i="106" s="1"/>
  <c r="G4" i="4"/>
  <c r="B2603" i="106" s="1"/>
  <c r="D2603" i="106" s="1"/>
  <c r="C114" i="29"/>
  <c r="B757" i="106" s="1"/>
  <c r="D757" i="106" s="1"/>
  <c r="D44" i="36"/>
  <c r="B3670" i="106"/>
  <c r="D3670" i="106" s="1"/>
  <c r="K352" i="29"/>
  <c r="F275" i="5"/>
  <c r="F6" i="4"/>
  <c r="B2593" i="106" s="1"/>
  <c r="D2593" i="106" s="1"/>
  <c r="B1317" i="106"/>
  <c r="D131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K13" i="4"/>
  <c r="B3572" i="106" s="1"/>
  <c r="D3572" i="106" s="1"/>
  <c r="B3672" i="106"/>
  <c r="D3672" i="106" s="1"/>
  <c r="K367" i="29"/>
  <c r="B3678" i="106" s="1"/>
  <c r="D3678" i="106" s="1"/>
  <c r="E41" i="108"/>
  <c r="E44" i="108" s="1"/>
  <c r="E45" i="108" s="1"/>
  <c r="G41" i="108"/>
  <c r="G44" i="108" s="1"/>
  <c r="G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368" i="29"/>
  <c r="B3681" i="106" s="1"/>
  <c r="D3681"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<sst xmlns="http://schemas.openxmlformats.org/spreadsheetml/2006/main" count="5345" uniqueCount="2209">
  <si>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</si>
  <si>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</si>
  <si>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</si>
  <si>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</si>
  <si>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</si>
  <si>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</si>
  <si>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</si>
  <si>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</si>
  <si>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</si>
  <si>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</si>
  <si>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</si>
  <si>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</si>
  <si>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</si>
  <si>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</si>
  <si>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</si>
  <si>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</si>
  <si>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</si>
  <si>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</si>
  <si>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</si>
  <si>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</si>
  <si>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</si>
  <si>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</si>
  <si>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</si>
  <si>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</si>
  <si>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</si>
  <si>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</si>
  <si>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</si>
  <si>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</si>
  <si>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</si>
  <si>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</si>
  <si>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</si>
  <si>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</si>
  <si>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</si>
  <si>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</si>
  <si>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</si>
  <si>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</si>
  <si>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</si>
  <si>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</si>
  <si>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</si>
  <si>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</si>
  <si>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</si>
  <si>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</si>
  <si>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</si>
  <si>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</si>
  <si>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</si>
  <si>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</si>
  <si>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</si>
  <si>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</si>
  <si>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</si>
  <si>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</si>
  <si>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</si>
  <si>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</si>
  <si>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</si>
  <si>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</si>
  <si>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</si>
  <si>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</si>
  <si>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</si>
  <si>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</si>
  <si>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</si>
  <si>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</si>
  <si>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</si>
  <si>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</si>
  <si>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</si>
  <si>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</si>
  <si>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</si>
  <si>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</si>
  <si>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</si>
  <si>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</si>
  <si>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</si>
  <si>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</si>
  <si>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</si>
  <si>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</si>
  <si>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</si>
  <si>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</si>
  <si>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</si>
  <si>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</si>
  <si>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</si>
  <si>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</si>
  <si>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</si>
  <si>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</si>
  <si>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</si>
  <si>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</si>
  <si>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</si>
  <si>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</si>
  <si>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</si>
  <si>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</si>
  <si>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</si>
  <si>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</si>
  <si>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</si>
  <si>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</si>
  <si>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</si>
  <si>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</si>
  <si>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</si>
  <si>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</si>
  <si>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</si>
  <si>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</si>
  <si>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</si>
  <si>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</si>
  <si>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</si>
  <si>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</si>
  <si>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</si>
  <si>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</si>
  <si>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</si>
  <si>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</si>
  <si>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</si>
  <si>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</si>
  <si>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</si>
  <si>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</si>
  <si>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</si>
  <si>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</si>
  <si>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</si>
  <si>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</si>
  <si>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</si>
  <si>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</si>
  <si>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</si>
  <si>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</si>
  <si>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</si>
  <si>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</si>
  <si>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</si>
  <si>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</si>
  <si>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</si>
  <si>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</si>
  <si>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</si>
  <si>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</si>
  <si>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</si>
  <si>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</si>
  <si>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</si>
  <si>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</si>
  <si>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</si>
  <si>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</si>
  <si>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</si>
  <si>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</si>
  <si>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</si>
  <si>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</si>
  <si>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</si>
  <si>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</si>
  <si>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</si>
  <si>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</si>
  <si>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</si>
  <si>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</si>
  <si>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</si>
  <si>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</si>
  <si>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</si>
  <si>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</si>
  <si>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</si>
  <si>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</si>
  <si>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</si>
  <si>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</si>
  <si>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</si>
  <si>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</si>
  <si>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</si>
  <si>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</si>
  <si>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</si>
  <si>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</si>
  <si>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</si>
  <si>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</si>
  <si>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</si>
  <si>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</si>
  <si>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</si>
  <si>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</si>
  <si>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</si>
  <si>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</si>
  <si>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</si>
  <si>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</si>
  <si>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</si>
  <si>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</si>
  <si>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</si>
  <si>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</si>
  <si>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</si>
  <si>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</si>
  <si>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</si>
  <si>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</si>
  <si>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</si>
  <si>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</si>
  <si>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</si>
  <si>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</si>
  <si>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</si>
  <si>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</si>
  <si>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</si>
  <si>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</si>
  <si>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</si>
  <si>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</si>
  <si>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</si>
  <si>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</si>
  <si>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</si>
  <si>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</si>
  <si>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</si>
  <si>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</si>
  <si>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</si>
  <si>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</si>
  <si>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</si>
  <si>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</si>
  <si>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</si>
  <si>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</si>
  <si>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</si>
  <si>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</si>
  <si>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</si>
  <si>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</si>
  <si>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</si>
  <si>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</si>
  <si>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</si>
  <si>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</si>
  <si>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</si>
  <si>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</si>
  <si>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</si>
  <si>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</si>
  <si>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</si>
  <si>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</si>
  <si>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</si>
  <si>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</si>
  <si>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</si>
  <si>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</si>
  <si>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</si>
  <si>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</si>
  <si>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</si>
  <si>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</si>
  <si>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</si>
  <si>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</si>
  <si>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</si>
  <si>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</si>
  <si>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</si>
  <si>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</si>
  <si>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</si>
  <si>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</si>
  <si>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</si>
  <si>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</si>
  <si>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</si>
  <si>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</si>
  <si>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</si>
  <si>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</si>
  <si>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</si>
  <si>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</si>
  <si>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</si>
  <si>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</si>
  <si>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</si>
  <si>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</si>
  <si>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</si>
  <si>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</si>
  <si>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</si>
  <si>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</si>
  <si>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</si>
  <si>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</si>
  <si>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</si>
  <si>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</si>
  <si>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</si>
  <si>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</si>
  <si>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</si>
  <si>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</si>
  <si>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</si>
  <si>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</si>
  <si>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</si>
  <si>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</si>
  <si>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</si>
  <si>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</si>
  <si>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</si>
  <si>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</si>
  <si>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</si>
  <si>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</si>
  <si>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</si>
  <si>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</si>
  <si>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</si>
  <si>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</si>
  <si>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</si>
  <si>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</si>
  <si>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</si>
  <si>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</si>
  <si>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</si>
  <si>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</si>
  <si>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</si>
  <si>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</si>
  <si>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</si>
  <si>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</si>
  <si>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</si>
  <si>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</si>
  <si>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</si>
  <si>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</si>
  <si>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</si>
  <si>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</si>
  <si>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</si>
  <si>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</si>
  <si>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</si>
  <si>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</si>
  <si>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</si>
  <si>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</si>
  <si>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</si>
  <si>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</si>
  <si>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</si>
  <si>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</si>
  <si>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</si>
  <si>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</si>
  <si>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</si>
  <si>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</si>
  <si>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</si>
  <si>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</si>
  <si>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</si>
  <si>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</si>
  <si>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</si>
  <si>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</si>
  <si>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</si>
  <si>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</si>
  <si>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</si>
  <si>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</si>
  <si>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</si>
  <si>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</si>
  <si>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</si>
  <si>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</si>
  <si>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</si>
  <si>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</si>
  <si>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</si>
  <si>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</si>
  <si>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</si>
  <si>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</si>
  <si>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</si>
  <si>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</si>
  <si>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</si>
  <si>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</si>
  <si>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</si>
  <si>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</si>
  <si>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</si>
  <si>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</si>
  <si>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</si>
  <si>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</si>
  <si>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</si>
  <si>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</si>
  <si>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</si>
  <si>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</si>
  <si>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</si>
  <si>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</si>
  <si>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</si>
  <si>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</si>
  <si>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</si>
  <si>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</si>
  <si>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</si>
  <si>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</si>
  <si>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</si>
  <si>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</si>
  <si>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</si>
  <si>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</si>
  <si>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</si>
  <si>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</si>
  <si>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</si>
  <si>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</si>
  <si>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</si>
  <si>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</si>
  <si>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</si>
  <si>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</si>
  <si>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</si>
  <si>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</si>
  <si>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</si>
  <si>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</si>
  <si>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</si>
  <si>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</si>
  <si>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</si>
  <si>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</si>
  <si>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</si>
  <si>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</si>
  <si>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</si>
  <si>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</si>
  <si>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</si>
  <si>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</si>
  <si>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</si>
  <si>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</si>
  <si>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</si>
  <si>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</si>
  <si>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</si>
  <si>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</si>
  <si>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</si>
  <si>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</si>
  <si>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</si>
  <si>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</si>
  <si>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</si>
  <si>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</si>
  <si>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</si>
  <si>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</si>
  <si>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</si>
  <si>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</si>
  <si>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</si>
  <si>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</si>
  <si>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</si>
  <si>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</si>
  <si>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</si>
  <si>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</si>
  <si>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</si>
  <si>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</si>
  <si>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</si>
  <si>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</si>
  <si>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</si>
  <si>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</si>
  <si>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</si>
  <si>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</si>
  <si>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</si>
  <si>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</si>
  <si>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</si>
  <si>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</si>
  <si>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</si>
  <si>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</si>
  <si>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</si>
  <si>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</si>
  <si>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</si>
  <si>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</si>
  <si>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</si>
  <si>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</si>
  <si>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</si>
  <si>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</si>
  <si>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</si>
  <si>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</si>
  <si>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</si>
  <si>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</si>
  <si>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</si>
  <si>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</si>
  <si>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</si>
  <si>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</si>
  <si>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</si>
  <si>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</si>
  <si>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</si>
  <si>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</si>
  <si>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</si>
  <si>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</si>
  <si>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</si>
  <si>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</si>
  <si>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</si>
  <si>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</si>
  <si>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</si>
  <si>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</si>
  <si>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</si>
  <si>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</si>
  <si>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</si>
  <si>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</si>
  <si>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</si>
  <si>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</si>
  <si>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</si>
  <si>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</si>
  <si>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</si>
  <si>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</si>
  <si>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</si>
  <si>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</si>
  <si>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</si>
  <si>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</si>
  <si>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</si>
  <si>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</si>
  <si>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</si>
  <si>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</si>
  <si>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</si>
  <si>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</si>
  <si>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</si>
  <si>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</si>
  <si>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</si>
  <si>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</si>
  <si>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</si>
  <si>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</si>
  <si>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</si>
  <si>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</si>
  <si>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</si>
  <si>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</si>
  <si>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</si>
  <si>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</si>
  <si>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</si>
  <si>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</si>
  <si>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</si>
  <si>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</si>
  <si>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</si>
  <si>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</si>
  <si>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</si>
  <si>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</si>
  <si>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</si>
  <si>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</si>
  <si>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</si>
  <si>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</si>
  <si>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</si>
  <si>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</si>
  <si>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</si>
  <si>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</si>
  <si>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</si>
  <si>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</si>
  <si>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</si>
  <si>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</si>
  <si>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</si>
  <si>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</si>
  <si>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</si>
  <si>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</si>
  <si>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</si>
  <si>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</si>
  <si>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</si>
  <si>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</si>
  <si>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</si>
  <si>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</si>
  <si>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</si>
  <si>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</si>
  <si>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</si>
  <si>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</si>
  <si>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</si>
  <si>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</si>
  <si>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</si>
  <si>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</si>
  <si>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</si>
  <si>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</si>
  <si>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</si>
  <si>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</si>
  <si>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</si>
  <si>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</si>
  <si>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</si>
  <si>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</si>
  <si>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</si>
  <si>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</si>
  <si>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</si>
  <si>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</si>
  <si>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</si>
  <si>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</si>
  <si>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</si>
  <si>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</si>
  <si>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</si>
  <si>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</si>
  <si>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</si>
  <si>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</si>
  <si>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</si>
  <si>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</si>
  <si>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</si>
  <si>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</si>
  <si>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</si>
  <si>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</si>
  <si>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</si>
  <si>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</si>
  <si>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</si>
  <si>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</si>
  <si>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</si>
  <si>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</si>
  <si>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</si>
  <si>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</si>
  <si>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</si>
  <si>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</si>
  <si>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</si>
  <si>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</si>
  <si>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</si>
  <si>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</si>
  <si>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</si>
  <si>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</si>
  <si>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</si>
  <si>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</si>
  <si>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</si>
  <si>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</si>
  <si>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</si>
  <si>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</si>
  <si>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</si>
  <si>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</si>
  <si>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</si>
  <si>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</si>
  <si>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</si>
  <si>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</si>
  <si>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</si>
  <si>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</si>
  <si>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</si>
  <si>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</si>
  <si>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</si>
  <si>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</si>
  <si>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</si>
  <si>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</si>
  <si>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</si>
  <si>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</si>
  <si>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</si>
  <si>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</si>
  <si>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</si>
  <si>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</si>
  <si>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</si>
  <si>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</si>
  <si>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</si>
  <si>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</si>
  <si>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</si>
  <si>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</si>
  <si>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</si>
  <si>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</si>
  <si>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</si>
  <si>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</si>
  <si>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</si>
  <si>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</si>
  <si>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</si>
  <si>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</si>
  <si>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</si>
  <si>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</si>
  <si>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</si>
  <si>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</si>
  <si>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</si>
  <si>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</si>
  <si>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</si>
  <si>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</si>
  <si>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</si>
  <si>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</si>
  <si>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</si>
  <si>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</si>
  <si>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</si>
  <si>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</si>
  <si>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</si>
  <si>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</si>
  <si>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</si>
  <si>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</si>
  <si>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</si>
  <si>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</si>
  <si>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</si>
  <si>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</si>
  <si>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</si>
  <si>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</si>
  <si>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</si>
  <si>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</si>
  <si>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</si>
  <si>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</si>
  <si>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</si>
  <si>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</si>
  <si>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</si>
  <si>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</si>
  <si>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</si>
  <si>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</si>
  <si>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</si>
  <si>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</si>
  <si>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</si>
  <si>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</si>
  <si>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</si>
  <si>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</si>
  <si>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</si>
  <si>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</si>
  <si>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</si>
  <si>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</si>
  <si>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</si>
  <si>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</si>
  <si>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</si>
  <si>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</si>
  <si>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</si>
  <si>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</si>
  <si>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</si>
  <si>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</si>
  <si>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</si>
  <si>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</si>
  <si>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</si>
  <si>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</si>
  <si>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</si>
  <si>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</si>
  <si>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</si>
  <si>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</si>
  <si>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</si>
  <si>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</si>
  <si>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</si>
  <si>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</si>
  <si>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</si>
  <si>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</si>
  <si>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</si>
  <si>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</si>
  <si>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</si>
  <si>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</si>
  <si>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</si>
  <si>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</si>
  <si>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</si>
  <si>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</si>
  <si>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</si>
  <si>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</si>
  <si>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</si>
  <si>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</si>
  <si>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</si>
  <si>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</si>
  <si>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</si>
  <si>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</si>
  <si>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</si>
  <si>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</si>
  <si>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</si>
  <si>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</si>
  <si>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</si>
  <si>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</si>
  <si>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</si>
  <si>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</si>
  <si>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</si>
  <si>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</si>
  <si>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</si>
  <si>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</si>
  <si>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</si>
  <si>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</si>
  <si>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</si>
  <si>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</si>
  <si>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</si>
  <si>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</si>
  <si>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</si>
  <si>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</si>
  <si>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</si>
  <si>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</si>
  <si>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</si>
  <si>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</si>
  <si>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</si>
  <si>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</si>
  <si>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</si>
  <si>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</si>
  <si>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</si>
  <si>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</si>
  <si>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</si>
  <si>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</si>
  <si>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</si>
  <si>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</si>
  <si>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</si>
  <si>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</si>
  <si>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</si>
  <si>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</si>
  <si>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</si>
  <si>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</si>
  <si>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</si>
  <si>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</si>
  <si>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</si>
  <si>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</si>
  <si>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</si>
  <si>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</si>
  <si>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</si>
  <si>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</si>
  <si>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</si>
  <si>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</si>
  <si>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</si>
  <si>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</si>
  <si>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</si>
  <si>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</si>
  <si>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</si>
  <si>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</si>
  <si>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</si>
  <si>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</si>
  <si>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</si>
  <si>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</si>
  <si>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</si>
  <si>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</si>
  <si>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</si>
  <si>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</si>
  <si>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</si>
  <si>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</si>
  <si>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</si>
  <si>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</si>
  <si>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</si>
  <si>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</si>
  <si>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</si>
  <si>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</si>
  <si>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</si>
  <si>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</si>
  <si>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</si>
  <si>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</si>
  <si>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</si>
  <si>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</si>
  <si>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</si>
  <si>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</si>
  <si>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</si>
  <si>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</si>
  <si>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</si>
  <si>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</si>
  <si>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</si>
  <si>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</si>
  <si>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</si>
  <si>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</si>
  <si>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</si>
  <si>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</si>
  <si>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</si>
  <si>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</si>
  <si>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</si>
  <si>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</si>
  <si>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</si>
  <si>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</si>
  <si>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</si>
  <si>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</si>
  <si>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</si>
  <si>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</si>
  <si>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</si>
  <si>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</si>
  <si>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</si>
  <si>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</si>
  <si>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</si>
  <si>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</si>
  <si>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</si>
  <si>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</si>
  <si>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</si>
  <si>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</si>
  <si>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</si>
  <si>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</si>
  <si>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</si>
  <si>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</si>
  <si>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</si>
  <si>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</si>
  <si>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</si>
  <si>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</si>
  <si>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</si>
  <si>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</si>
  <si>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</si>
  <si>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</si>
  <si>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</si>
  <si>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</si>
  <si>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</si>
  <si>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</si>
  <si>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</si>
  <si>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</si>
  <si>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</si>
  <si>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</si>
  <si>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</si>
  <si>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</si>
  <si>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</si>
  <si>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</si>
  <si>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</si>
  <si>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</si>
  <si>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</si>
  <si>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</si>
  <si>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</si>
  <si>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</si>
  <si>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</si>
  <si>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</si>
  <si>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</si>
  <si>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</si>
  <si>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</si>
  <si>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</si>
  <si>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</si>
  <si>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</si>
  <si>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</si>
  <si>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</si>
  <si>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</si>
  <si>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</si>
  <si>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</si>
  <si>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</si>
  <si>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</si>
  <si>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</si>
  <si>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</si>
  <si>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</si>
  <si>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</si>
  <si>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</si>
  <si>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</si>
  <si>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</si>
  <si>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</si>
  <si>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</si>
  <si>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</si>
  <si>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</si>
  <si>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</si>
  <si>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</si>
  <si>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</si>
  <si>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</si>
  <si>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</si>
  <si>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</si>
  <si>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</si>
  <si>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</si>
  <si>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</si>
  <si>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</si>
  <si>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</si>
  <si>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</si>
  <si>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</si>
  <si>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</si>
  <si>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</si>
  <si>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</si>
  <si>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</si>
  <si>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</si>
  <si>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</si>
  <si>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</si>
  <si>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</si>
  <si>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</si>
  <si>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</si>
  <si>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</si>
  <si>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</si>
  <si>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</si>
  <si>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</si>
  <si>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</si>
  <si>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</si>
  <si>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</si>
  <si>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</si>
  <si>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</si>
  <si>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</si>
  <si>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</si>
  <si>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</si>
  <si>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</si>
  <si>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</si>
  <si>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</si>
  <si>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</si>
  <si>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</si>
  <si>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</si>
  <si>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</si>
  <si>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</si>
  <si>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</si>
  <si>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</si>
  <si>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</si>
  <si>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</si>
  <si>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</si>
  <si>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</si>
  <si>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</si>
  <si>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</si>
  <si>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</si>
  <si>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</si>
  <si>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</si>
  <si>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</si>
  <si>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</si>
  <si>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</si>
  <si>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</si>
  <si>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</si>
  <si>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</si>
  <si>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</si>
  <si>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</si>
  <si>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</si>
  <si>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</si>
  <si>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</si>
  <si>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</si>
  <si>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</si>
  <si>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</si>
  <si>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</si>
  <si>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</si>
  <si>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</si>
  <si>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</si>
  <si>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</si>
  <si>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</si>
  <si>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</si>
  <si>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</si>
  <si>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</si>
  <si>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</si>
  <si>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</si>
  <si>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</si>
  <si>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</si>
  <si>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</si>
  <si>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</si>
  <si>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</si>
  <si>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</si>
  <si>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</si>
  <si>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</si>
  <si>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</si>
  <si>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</si>
  <si>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</si>
  <si>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</si>
  <si>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</si>
  <si>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</si>
  <si>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</si>
  <si>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</si>
  <si>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</si>
  <si>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</si>
  <si>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</si>
  <si>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</si>
  <si>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</si>
  <si>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</si>
  <si>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</si>
  <si>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</si>
  <si>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</si>
  <si>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</si>
  <si>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</si>
  <si>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</si>
  <si>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</si>
  <si>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</si>
  <si>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</si>
  <si>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</si>
  <si>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</si>
  <si>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</si>
  <si>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</si>
  <si>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</si>
  <si>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</si>
  <si>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</si>
  <si>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</si>
  <si>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</si>
  <si>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</si>
  <si>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</si>
  <si>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</si>
  <si>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</si>
  <si>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</si>
  <si>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</si>
  <si>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</si>
  <si>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</si>
  <si>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</si>
  <si>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</si>
  <si>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</si>
  <si>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</si>
  <si>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</si>
  <si>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</si>
  <si>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</si>
  <si>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</si>
  <si>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</si>
  <si>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</si>
  <si>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</si>
  <si>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</si>
  <si>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</si>
  <si>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</si>
  <si>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</si>
  <si>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</si>
  <si>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</si>
  <si>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</si>
  <si>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</si>
  <si>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</si>
  <si>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</si>
  <si>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</si>
  <si>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</si>
  <si>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</si>
  <si>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</si>
  <si>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</si>
  <si>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</si>
  <si>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</si>
  <si>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</si>
  <si>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</si>
  <si>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</si>
  <si>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</si>
  <si>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</si>
  <si>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</si>
  <si>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</si>
  <si>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</si>
  <si>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</si>
  <si>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</si>
  <si>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</si>
  <si>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</si>
  <si>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</si>
  <si>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</si>
  <si>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</si>
  <si>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</si>
  <si>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</si>
  <si>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</si>
  <si>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</si>
  <si>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</si>
  <si>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</si>
  <si>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</si>
  <si>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</si>
  <si>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</si>
  <si>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</si>
  <si>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</si>
  <si>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</si>
  <si>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</si>
  <si>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</si>
  <si>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</si>
  <si>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</si>
  <si>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</si>
  <si>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</si>
  <si>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</si>
  <si>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</si>
  <si>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</si>
  <si>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</si>
  <si>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</si>
  <si>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</si>
  <si>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</si>
  <si>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</si>
  <si>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</si>
  <si>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</si>
  <si>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</si>
  <si>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</si>
  <si>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</si>
  <si>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</si>
  <si>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</si>
  <si>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</si>
  <si>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</si>
  <si>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</si>
  <si>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</si>
  <si>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</si>
  <si>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</si>
  <si>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</si>
  <si>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</si>
  <si>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</si>
  <si>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</si>
  <si>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</si>
  <si>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</si>
  <si>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</si>
  <si>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</si>
  <si>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</si>
  <si>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</si>
  <si>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</si>
  <si>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</si>
  <si>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</si>
  <si>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</si>
  <si>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</si>
  <si>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</si>
  <si>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</si>
  <si>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</si>
  <si>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</si>
  <si>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</si>
  <si>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</si>
  <si>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</si>
  <si>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</si>
  <si>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</si>
  <si>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</si>
  <si>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</si>
  <si>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</si>
  <si>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</si>
  <si>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</si>
  <si>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</si>
  <si>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</si>
  <si>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</si>
  <si>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</si>
  <si>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</si>
  <si>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</si>
  <si>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</si>
  <si>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</si>
  <si>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</si>
  <si>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</si>
  <si>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</si>
  <si>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</si>
  <si>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</si>
  <si>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</si>
  <si>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</si>
  <si>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</si>
  <si>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</si>
  <si>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</si>
  <si>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</si>
  <si>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</si>
  <si>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</si>
  <si>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</si>
  <si>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</si>
  <si>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</si>
  <si>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</si>
  <si>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</si>
  <si>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</si>
  <si>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</si>
  <si>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</si>
  <si>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</si>
  <si>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</si>
  <si>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</si>
  <si>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</si>
  <si>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</si>
  <si>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</si>
  <si>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</si>
  <si>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</si>
  <si>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</si>
  <si>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</si>
  <si>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</si>
  <si>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</si>
  <si>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</si>
  <si>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</si>
  <si>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</si>
  <si>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</si>
  <si>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</si>
  <si>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</si>
  <si>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</si>
  <si>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</si>
  <si>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</si>
  <si>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</si>
  <si>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</si>
  <si>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</si>
  <si>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</si>
  <si>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</si>
  <si>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</si>
  <si>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</si>
  <si>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</si>
  <si>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</si>
  <si>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</si>
  <si>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</si>
  <si>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</si>
  <si>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</si>
  <si>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</si>
  <si>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</si>
  <si>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</si>
  <si>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</si>
  <si>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</si>
  <si>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</si>
  <si>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</si>
  <si>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</si>
  <si>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</si>
  <si>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</si>
  <si>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</si>
  <si>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</si>
  <si>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</si>
  <si>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</si>
  <si>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</si>
  <si>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</si>
  <si>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</si>
  <si>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</si>
  <si>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</si>
  <si>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</si>
  <si>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</si>
  <si>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</si>
  <si>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</si>
  <si>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</si>
  <si>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</si>
  <si>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</si>
  <si>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</si>
  <si>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</si>
  <si>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</si>
  <si>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</si>
  <si>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</si>
  <si>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</si>
  <si>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</si>
  <si>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</si>
  <si>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</si>
  <si>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</si>
  <si>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</si>
  <si>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</si>
  <si>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</si>
  <si>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</si>
  <si>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</si>
  <si>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</si>
  <si>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</si>
  <si>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</si>
  <si>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</si>
  <si>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</si>
  <si>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</si>
  <si>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</si>
  <si>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</si>
  <si>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</si>
  <si>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</si>
  <si>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</si>
  <si>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</si>
  <si>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</si>
  <si>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</si>
  <si>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</si>
  <si>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</si>
  <si>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</si>
  <si>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</si>
  <si>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</si>
  <si>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</si>
  <si>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</si>
  <si>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</si>
  <si>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</si>
  <si>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</si>
  <si>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</si>
  <si>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</si>
  <si>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</si>
  <si>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</si>
  <si>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</si>
  <si>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</si>
  <si>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</si>
  <si>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</si>
  <si>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</si>
  <si>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</si>
  <si>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</si>
  <si>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</si>
  <si>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</si>
  <si>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</si>
  <si>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</si>
  <si>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</si>
  <si>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</si>
  <si>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</si>
  <si>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</si>
  <si>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</si>
  <si>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</si>
  <si>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</si>
  <si>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</si>
  <si>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</si>
  <si>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</si>
  <si>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</si>
  <si>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</si>
  <si>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</si>
  <si>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</si>
  <si>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</si>
  <si>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</si>
  <si>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</si>
  <si>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</si>
  <si>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</si>
  <si>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</si>
  <si>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</si>
  <si>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</si>
  <si>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</si>
  <si>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</si>
  <si>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</si>
  <si>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</si>
  <si>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</si>
  <si>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</si>
  <si>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</si>
  <si>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</si>
  <si>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</si>
  <si>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</si>
  <si>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</si>
  <si>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</si>
  <si>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</si>
  <si>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</si>
  <si>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</si>
  <si>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</si>
  <si>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</si>
  <si>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</si>
  <si>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</si>
  <si>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</si>
  <si>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</si>
  <si>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</si>
  <si>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</si>
  <si>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</si>
  <si>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</si>
  <si>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</si>
  <si>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</si>
  <si>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</si>
  <si>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</si>
  <si>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</si>
  <si>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</si>
  <si>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</si>
  <si>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</si>
  <si>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</si>
  <si>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</si>
  <si>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</si>
  <si>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</si>
  <si>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</si>
  <si>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</si>
  <si>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</si>
  <si>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</si>
  <si>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</si>
  <si>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</si>
  <si>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</si>
  <si>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</si>
  <si>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</si>
  <si>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</si>
  <si>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</si>
  <si>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</si>
  <si>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</si>
  <si>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</si>
  <si>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</si>
  <si>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</si>
  <si>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</si>
  <si>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</si>
  <si>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</si>
  <si>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</si>
  <si>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</si>
  <si>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</si>
  <si>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</si>
  <si>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</si>
  <si>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</si>
  <si>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</si>
  <si>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</si>
  <si>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</si>
  <si>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</si>
  <si>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</si>
  <si>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</si>
  <si>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</si>
  <si>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</si>
  <si>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</si>
  <si>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</si>
  <si>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</si>
  <si>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</si>
  <si>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</si>
  <si>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</si>
  <si>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</si>
  <si>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</si>
  <si>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</si>
  <si>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</si>
  <si>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</si>
  <si>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</si>
  <si>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</si>
  <si>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</si>
  <si>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</si>
  <si>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</si>
  <si>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</si>
  <si>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</si>
  <si>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</si>
  <si>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</si>
  <si>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</si>
  <si>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</si>
  <si>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</si>
  <si>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</si>
  <si>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</si>
  <si>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</si>
  <si>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</si>
  <si>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</si>
  <si>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</si>
  <si>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</si>
  <si>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</si>
  <si>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</si>
  <si>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</si>
  <si>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</si>
  <si>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</si>
  <si>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</si>
  <si>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</si>
  <si>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</si>
  <si>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</si>
  <si>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</si>
  <si>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</si>
  <si>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</si>
  <si>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</si>
  <si>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</si>
  <si>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</si>
  <si>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</si>
  <si>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</si>
  <si>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</si>
  <si>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</si>
  <si>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</si>
  <si>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</si>
  <si>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</si>
  <si>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</si>
  <si>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</si>
  <si>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</si>
  <si>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</si>
  <si>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</si>
  <si>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</si>
  <si>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</si>
  <si>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</si>
  <si>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</si>
  <si>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</si>
  <si>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</si>
  <si>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</si>
  <si>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</si>
  <si>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</si>
  <si>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</si>
  <si>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</si>
  <si>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</si>
  <si>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</si>
  <si>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</si>
  <si>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</si>
  <si>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</si>
  <si>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</si>
  <si>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</si>
  <si>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</si>
  <si>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</si>
  <si>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</si>
  <si>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</si>
  <si>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</si>
  <si>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</si>
  <si>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</si>
  <si>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</si>
  <si>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</si>
  <si>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</si>
  <si>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</si>
  <si>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</si>
  <si>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</si>
  <si>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</si>
  <si>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</si>
  <si>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</si>
  <si>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</si>
  <si>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</si>
  <si>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</si>
  <si>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</si>
  <si>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</si>
  <si>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</si>
  <si>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</si>
  <si>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</si>
  <si>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</si>
  <si>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</si>
  <si>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</si>
  <si>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</si>
  <si>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</si>
  <si>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</si>
  <si>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</si>
  <si>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</si>
  <si>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</si>
  <si>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</si>
  <si>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</si>
  <si>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</si>
  <si>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</si>
  <si>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</si>
  <si>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</si>
  <si>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</si>
  <si>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</si>
  <si>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</si>
  <si>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</si>
  <si>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</si>
  <si>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</si>
  <si>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</si>
  <si>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</si>
  <si>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</si>
  <si>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</si>
  <si>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</si>
  <si>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</si>
  <si>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</si>
  <si>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</si>
  <si>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</si>
  <si>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</si>
  <si>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</si>
  <si>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</si>
  <si>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</si>
  <si>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</si>
  <si>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</si>
  <si>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</si>
  <si>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</si>
  <si>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</si>
  <si>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</si>
  <si>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</si>
  <si>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</si>
  <si>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</si>
  <si>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</si>
  <si>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</si>
  <si>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</si>
  <si>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</si>
  <si>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</si>
  <si>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</si>
  <si>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</si>
  <si>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</si>
  <si>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</si>
  <si>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</si>
  <si>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</si>
  <si>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</si>
  <si>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</si>
  <si>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</si>
  <si>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</si>
  <si>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</si>
  <si>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</si>
  <si>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</si>
  <si>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</si>
  <si>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</si>
  <si>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</si>
  <si>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</si>
  <si>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</si>
  <si>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</si>
  <si>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</si>
  <si>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</si>
  <si>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</si>
  <si>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</si>
  <si>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</si>
  <si>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</si>
  <si>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</si>
  <si>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</si>
  <si>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</si>
  <si>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</si>
  <si>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</si>
  <si>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</si>
  <si>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</si>
  <si>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</si>
  <si>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</si>
  <si>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</si>
  <si>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</si>
  <si>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</si>
  <si>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</si>
  <si>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</si>
  <si>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</si>
  <si>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</si>
  <si>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</si>
  <si>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</si>
  <si>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</si>
  <si>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</si>
  <si>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</si>
  <si>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</si>
  <si>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</si>
  <si>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</si>
  <si>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</si>
  <si>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</si>
  <si>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</si>
  <si>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</si>
  <si>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</si>
  <si>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</si>
  <si>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</si>
  <si>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</si>
  <si>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</si>
  <si>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</si>
  <si>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</si>
  <si>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</si>
  <si>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</si>
  <si>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</si>
  <si>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</si>
  <si>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</si>
  <si>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</si>
  <si>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</si>
  <si>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</si>
  <si>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</si>
  <si>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</si>
  <si>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</si>
  <si>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</si>
  <si>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</si>
  <si>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</si>
  <si>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</si>
  <si>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</si>
  <si>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</si>
  <si>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</si>
  <si>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</si>
  <si>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</si>
  <si>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</si>
  <si>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</si>
  <si>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</si>
  <si>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</si>
  <si>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</si>
  <si>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</si>
  <si>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</si>
  <si>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</si>
  <si>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</si>
  <si>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</si>
  <si>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</si>
  <si>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</si>
  <si>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</si>
  <si>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</si>
  <si>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</si>
  <si>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</si>
  <si>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</si>
  <si>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</si>
  <si>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</si>
  <si>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</si>
  <si>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</si>
  <si>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</si>
  <si>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</si>
  <si>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</si>
  <si>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</si>
  <si>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</si>
  <si>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</si>
  <si>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</si>
  <si>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</si>
  <si>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</si>
  <si>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</si>
  <si>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</si>
  <si>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</si>
  <si>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</si>
  <si>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</si>
  <si>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</si>
  <si>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</si>
  <si>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</si>
  <si>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</si>
  <si>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</si>
  <si>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</si>
  <si>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</si>
  <si>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</si>
  <si>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</si>
  <si>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</si>
  <si>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</si>
  <si>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</si>
  <si>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</si>
  <si>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</si>
  <si>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</si>
  <si>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</si>
  <si>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</si>
  <si>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</si>
  <si>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</si>
  <si>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</si>
  <si>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</si>
  <si>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</si>
  <si>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</si>
  <si>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</si>
  <si>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</si>
  <si>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</si>
  <si>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</si>
  <si>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</si>
  <si>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</si>
  <si>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</si>
  <si>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</si>
  <si>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</si>
  <si>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</si>
  <si>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</si>
  <si>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</si>
  <si>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</si>
  <si>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</si>
  <si>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</si>
  <si>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</si>
  <si>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</si>
  <si>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</si>
  <si>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</si>
  <si>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</si>
  <si>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</si>
  <si>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</si>
  <si>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</si>
  <si>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</si>
  <si>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</si>
  <si>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</si>
  <si>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</si>
  <si>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</si>
  <si>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</si>
  <si>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</si>
  <si>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</si>
  <si>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</si>
  <si>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</si>
  <si>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</si>
  <si>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</si>
  <si>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</si>
  <si>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</si>
  <si>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</si>
  <si>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</si>
  <si>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</si>
  <si>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</si>
  <si>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</si>
  <si>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</si>
  <si>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</si>
  <si>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</si>
  <si>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</si>
  <si>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</si>
  <si>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</si>
  <si>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</si>
  <si>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</si>
  <si>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</si>
  <si>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</si>
  <si>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</si>
  <si>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</si>
  <si>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</si>
  <si>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</si>
  <si>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</si>
  <si>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</si>
  <si>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</si>
  <si>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</si>
  <si>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</si>
  <si>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</si>
  <si>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</si>
  <si>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</si>
  <si>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</si>
  <si>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</si>
  <si>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</si>
  <si>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</si>
  <si>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</si>
  <si>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</si>
  <si>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</si>
  <si>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</si>
  <si>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</si>
  <si>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</si>
  <si>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</si>
  <si>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</si>
  <si>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</si>
  <si>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</si>
  <si>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</si>
  <si>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</si>
  <si>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</si>
  <si>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</si>
  <si>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</si>
  <si>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</si>
  <si>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</si>
  <si>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</si>
  <si>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</si>
  <si>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</si>
  <si>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</si>
  <si>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</si>
  <si>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</si>
  <si>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</si>
  <si>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</si>
  <si>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</si>
  <si>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</si>
  <si>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</si>
  <si>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</si>
  <si>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</si>
  <si>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</si>
  <si>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</si>
  <si>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</si>
  <si>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</si>
  <si>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</si>
  <si>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</si>
  <si>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</si>
  <si>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</si>
  <si>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</si>
  <si>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</si>
  <si>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</si>
  <si>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</si>
  <si>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</si>
  <si>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</si>
  <si>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</si>
  <si>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</si>
  <si>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</si>
  <si>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</si>
  <si>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</si>
  <si>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</si>
  <si>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</si>
  <si>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</si>
  <si>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</si>
  <si>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</si>
  <si>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</si>
  <si>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</si>
  <si>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</si>
  <si>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</si>
  <si>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</si>
  <si>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</si>
  <si>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</si>
  <si>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</si>
  <si>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</si>
  <si>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</si>
  <si>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</si>
  <si>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</si>
  <si>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</si>
  <si>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</si>
  <si>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</si>
  <si>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</si>
  <si>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</si>
  <si>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</si>
  <si>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</si>
  <si>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</si>
  <si>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</si>
  <si>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</si>
  <si>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</si>
  <si>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</si>
  <si>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</si>
  <si>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</si>
  <si>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</si>
  <si>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</si>
  <si>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</si>
  <si>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</si>
  <si>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</si>
  <si>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</si>
  <si>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</si>
  <si>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</si>
  <si>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</si>
  <si>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</si>
  <si>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</si>
  <si>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</si>
  <si>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</si>
  <si>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</si>
  <si>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</si>
  <si>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</si>
  <si>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</si>
  <si>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</si>
  <si>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</si>
  <si>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</si>
  <si>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</si>
  <si>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</si>
  <si>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</si>
  <si>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</si>
  <si>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</si>
  <si>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</si>
  <si>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</si>
  <si>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</si>
  <si>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</si>
  <si>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</si>
  <si>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</si>
  <si>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</si>
  <si>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</si>
  <si>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</si>
  <si>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</si>
  <si>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</si>
  <si>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</si>
  <si>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</si>
  <si>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</si>
  <si>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</si>
  <si>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</si>
  <si>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</si>
  <si>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</si>
  <si>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</si>
  <si>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</si>
  <si>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</si>
  <si>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</si>
  <si>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</si>
  <si>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</si>
  <si>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</si>
  <si>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</si>
  <si>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</si>
  <si>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</si>
  <si>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</si>
  <si>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</si>
  <si>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</si>
  <si>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</si>
  <si>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</si>
  <si>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</si>
  <si>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</si>
  <si>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</si>
  <si>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</si>
  <si>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</si>
  <si>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</si>
  <si>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</si>
  <si>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</si>
  <si>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</si>
  <si>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</si>
  <si>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</si>
  <si>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</si>
  <si>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</si>
  <si>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</si>
  <si>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</si>
  <si>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</si>
  <si>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</si>
  <si>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</si>
  <si>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</si>
  <si>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</si>
  <si>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</si>
  <si>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</si>
  <si>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</si>
  <si>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</si>
  <si>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</si>
  <si>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</si>
  <si>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</si>
  <si>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</si>
  <si>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</si>
  <si>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</si>
  <si>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</si>
  <si>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</si>
  <si>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</si>
  <si>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</si>
  <si>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</si>
  <si>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</si>
  <si>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</si>
  <si>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</si>
  <si>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</si>
  <si>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</si>
  <si>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</si>
  <si>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</si>
  <si>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</si>
  <si>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</si>
  <si>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</si>
  <si>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</si>
  <si>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</si>
  <si>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</si>
  <si>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</si>
  <si>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</si>
  <si>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</si>
  <si>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</si>
  <si>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</si>
  <si>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</si>
  <si>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</si>
  <si>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</si>
  <si>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</si>
  <si>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</si>
  <si>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</si>
  <si>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</si>
  <si>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</si>
  <si>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</si>
  <si>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</si>
  <si>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</si>
  <si>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</si>
  <si>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</si>
  <si>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</si>
  <si>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</si>
  <si>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</si>
  <si>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</si>
  <si>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</si>
  <si>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</si>
  <si>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</si>
  <si>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</si>
  <si>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</si>
  <si>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</si>
  <si>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</si>
  <si>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</si>
  <si>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</si>
  <si>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</si>
  <si>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</si>
  <si>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</si>
  <si>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</si>
  <si>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</si>
  <si>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</si>
  <si>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</si>
  <si>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</si>
  <si>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</si>
  <si>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</si>
  <si>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</si>
  <si>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</si>
  <si>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</si>
  <si>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</si>
  <si>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</si>
  <si>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</si>
  <si>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</si>
  <si>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</si>
  <si>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</si>
  <si>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</si>
  <si>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</si>
  <si>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</si>
  <si>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</si>
  <si>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</si>
  <si>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</si>
  <si>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</si>
  <si>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</si>
  <si>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</si>
  <si>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</si>
  <si>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</si>
  <si>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</si>
  <si>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</si>
  <si>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</si>
  <si>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</si>
  <si>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</si>
  <si>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</si>
  <si>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</si>
  <si>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</si>
  <si>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</si>
  <si>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</si>
  <si>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</si>
  <si>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</si>
  <si>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</si>
  <si>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</si>
  <si>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</si>
  <si>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</si>
  <si>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</si>
  <si>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</si>
  <si>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</si>
  <si>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</si>
  <si>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</si>
  <si>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</si>
  <si>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</si>
  <si>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</si>
  <si>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</si>
  <si>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</si>
  <si>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</si>
  <si>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</si>
  <si>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</si>
  <si>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</si>
  <si>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</si>
  <si>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</si>
  <si>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</si>
  <si>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</si>
  <si>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</si>
  <si>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</si>
  <si>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</si>
  <si>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</si>
  <si>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</si>
  <si>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</si>
  <si>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</si>
  <si>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</si>
  <si>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</si>
  <si>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</si>
  <si>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</si>
  <si>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</si>
  <si>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</si>
  <si>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</si>
  <si>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</si>
  <si>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</si>
  <si>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</si>
  <si>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</si>
  <si>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</si>
  <si>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</si>
  <si>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</si>
  <si>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</si>
  <si>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</si>
  <si>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</si>
  <si>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</si>
  <si>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</si>
  <si>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</si>
  <si>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</si>
  <si>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</si>
  <si>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</si>
  <si>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</si>
  <si>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</si>
  <si>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</si>
  <si>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</si>
  <si>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</si>
  <si>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</si>
  <si>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</si>
  <si>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</si>
  <si>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</si>
  <si>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</si>
  <si>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</si>
  <si>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</si>
  <si>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</si>
  <si>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</si>
  <si>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</si>
  <si>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</si>
  <si>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</si>
  <si>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</si>
  <si>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</si>
  <si>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</si>
  <si>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</si>
  <si>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</si>
  <si>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</si>
  <si>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</si>
  <si>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</si>
  <si>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</si>
  <si>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</si>
  <si>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</si>
  <si>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</si>
  <si>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</si>
  <si>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</si>
  <si>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</si>
  <si>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</si>
  <si>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</si>
  <si>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</si>
  <si>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</si>
  <si>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</si>
  <si>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</si>
  <si>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</si>
  <si>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</si>
  <si>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</si>
  <si>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</si>
  <si>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</si>
  <si>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</si>
  <si>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</si>
  <si>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</si>
  <si>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</si>
  <si>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</si>
  <si>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</si>
  <si>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</si>
  <si>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</si>
  <si>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</si>
  <si>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</si>
  <si>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</si>
  <si>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</si>
  <si>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</si>
  <si>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</si>
  <si>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</si>
  <si>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</si>
  <si>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</si>
  <si>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</si>
  <si>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</si>
  <si>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</si>
  <si>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</si>
  <si>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</si>
  <si>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</si>
  <si>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</si>
  <si>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</si>
  <si>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</si>
  <si>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</si>
  <si>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</si>
  <si>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</si>
  <si>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</si>
  <si>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</si>
  <si>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</si>
  <si>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</si>
  <si>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</si>
  <si>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</si>
  <si>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</si>
  <si>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</si>
  <si>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</si>
  <si>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</si>
  <si>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</si>
  <si>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</si>
  <si>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</si>
  <si>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</si>
  <si>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</si>
  <si>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</si>
  <si>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</si>
  <si>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</si>
  <si>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</si>
  <si>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</si>
  <si>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</si>
  <si>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</si>
  <si>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</si>
  <si>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</si>
  <si>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</si>
  <si>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</si>
  <si>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</si>
  <si>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</si>
  <si>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</si>
  <si>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</si>
  <si>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</si>
  <si>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</si>
  <si>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</si>
  <si>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</si>
  <si>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</si>
  <si>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</si>
  <si>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</si>
  <si>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</si>
  <si>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</si>
  <si>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</si>
  <si>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</si>
  <si>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G.O. LIMITED TAX BONDS - 2011B</t>
  </si>
  <si>
    <t>G.O. LIMITED TAX SCHOOL BONDS - 2013A</t>
  </si>
  <si>
    <t>G.O. REFUNDING BONDS - 2013B</t>
  </si>
  <si>
    <t>G.O. LIMITED TAX BONDS - 2016A</t>
  </si>
  <si>
    <t>G.O. REFUNDING BONDS - 2016B</t>
  </si>
  <si>
    <t>X</t>
  </si>
  <si>
    <t>A)</t>
  </si>
  <si>
    <t>A) Rock Valley College Running Start Program, Regional Alternative High School</t>
  </si>
  <si>
    <t xml:space="preserve">Blackhawk Cooperative </t>
  </si>
  <si>
    <t>CEANCI</t>
  </si>
  <si>
    <t>04-101-3200-26</t>
  </si>
  <si>
    <t xml:space="preserve">WINNEBAGO </t>
  </si>
  <si>
    <t>COUNTY OF WINNEBAGO SCHOOL DISTRICT NO. 320</t>
  </si>
  <si>
    <t>850 HAYES AVE</t>
  </si>
  <si>
    <t>SOUTH BELOIT</t>
  </si>
  <si>
    <t xml:space="preserve">SCOTT FISHER </t>
  </si>
  <si>
    <t>sfisher@sbsobos.org</t>
  </si>
  <si>
    <t>815/389-3478</t>
  </si>
  <si>
    <t>815/389-3477</t>
  </si>
  <si>
    <t xml:space="preserve">BENNING GROUP, LLC </t>
  </si>
  <si>
    <t xml:space="preserve">JENNY L. BLOCKER </t>
  </si>
  <si>
    <t>50 W. DOUGLAS STREET, SUITE 801</t>
  </si>
  <si>
    <t xml:space="preserve">FREEPORT </t>
  </si>
  <si>
    <t>IL</t>
  </si>
  <si>
    <t>815/235-3157</t>
  </si>
  <si>
    <t>815/235-3158</t>
  </si>
  <si>
    <t>066-004238</t>
  </si>
  <si>
    <t>jblocker@benninggroup.com</t>
  </si>
  <si>
    <t>LORI FANELLO</t>
  </si>
  <si>
    <t>lfanello@kidsroe.org</t>
  </si>
  <si>
    <t>815/636-3060</t>
  </si>
  <si>
    <t>815/636-3069</t>
  </si>
  <si>
    <t xml:space="preserve">Account </t>
  </si>
  <si>
    <t xml:space="preserve">Page </t>
  </si>
  <si>
    <t xml:space="preserve">Fund </t>
  </si>
  <si>
    <t>Line #</t>
  </si>
  <si>
    <t xml:space="preserve">Description </t>
  </si>
  <si>
    <t xml:space="preserve">Amount </t>
  </si>
  <si>
    <t xml:space="preserve">Misc. lunch receipts </t>
  </si>
  <si>
    <t>Late fees</t>
  </si>
  <si>
    <t>NSF fees</t>
  </si>
  <si>
    <t xml:space="preserve">Misc. revenue </t>
  </si>
  <si>
    <t xml:space="preserve">School based health center grant </t>
  </si>
  <si>
    <t xml:space="preserve">Other support - salaries </t>
  </si>
  <si>
    <t xml:space="preserve">Other support - employee benefits </t>
  </si>
  <si>
    <t xml:space="preserve">Bond fees </t>
  </si>
  <si>
    <t>Other support - IMRF/SS/Medicare</t>
  </si>
  <si>
    <t xml:space="preserve">Beloit Health Systems </t>
  </si>
  <si>
    <t>10-2100-300</t>
  </si>
  <si>
    <t>20-2540-300</t>
  </si>
  <si>
    <t>CSA Services Group</t>
  </si>
  <si>
    <t>40-2550-300</t>
  </si>
  <si>
    <t xml:space="preserve">First Student </t>
  </si>
  <si>
    <t>N/A</t>
  </si>
  <si>
    <t>None</t>
  </si>
  <si>
    <t>U.S. DEPARTMENT OF AGRICULTURE:</t>
  </si>
  <si>
    <t xml:space="preserve"> Through Illinois State Board of Education:</t>
  </si>
  <si>
    <t xml:space="preserve">  DoD Fresh Fruits and Vegetables Program (non-cash)</t>
  </si>
  <si>
    <t xml:space="preserve">  Commodities Program (non-cash)</t>
  </si>
  <si>
    <t xml:space="preserve">  National School Lunch Program</t>
  </si>
  <si>
    <t xml:space="preserve">   Subtotal 10.555</t>
  </si>
  <si>
    <t>17-4210-00</t>
  </si>
  <si>
    <t>18-4210-00</t>
  </si>
  <si>
    <t>16-4210-00</t>
  </si>
  <si>
    <t xml:space="preserve">  National School Lunch Program (M)</t>
  </si>
  <si>
    <t xml:space="preserve">  School Breakfast Program (M)</t>
  </si>
  <si>
    <t>16-4220-00</t>
  </si>
  <si>
    <t>17-4220-00</t>
  </si>
  <si>
    <t>18-4220-00</t>
  </si>
  <si>
    <t xml:space="preserve">  School Breakfast Program </t>
  </si>
  <si>
    <t xml:space="preserve">   Subtotal 10.553</t>
  </si>
  <si>
    <t xml:space="preserve">  TOTAL THROUGH USDA PROGRAMS</t>
  </si>
  <si>
    <t>U.S. DEPARTMENT OF EDUCATION:</t>
  </si>
  <si>
    <t xml:space="preserve">  Title I - Low Income (M)</t>
  </si>
  <si>
    <t>84.010A</t>
  </si>
  <si>
    <t>17-4300-00</t>
  </si>
  <si>
    <t>16-4300-00</t>
  </si>
  <si>
    <t>18-4300-00</t>
  </si>
  <si>
    <t xml:space="preserve">   Subtotal 84.010A</t>
  </si>
  <si>
    <t xml:space="preserve">  Title II - Teacher Quality (M)</t>
  </si>
  <si>
    <t>84.367A</t>
  </si>
  <si>
    <t>17-4932-00</t>
  </si>
  <si>
    <t xml:space="preserve">  Title II - Teacher Quality </t>
  </si>
  <si>
    <t>18-4932-00</t>
  </si>
  <si>
    <t xml:space="preserve">   Subtotal 84.367A</t>
  </si>
  <si>
    <t xml:space="preserve">  Title IV - Student Support &amp; Academic Enrich</t>
  </si>
  <si>
    <t>84.424A</t>
  </si>
  <si>
    <t>18-4400-00</t>
  </si>
  <si>
    <t xml:space="preserve">   Subtotal 84.424A</t>
  </si>
  <si>
    <t xml:space="preserve"> Through Winnebago County Special Education Cooperative (04-101-1400-61):</t>
  </si>
  <si>
    <t xml:space="preserve">  Fed. Sp. Ed. IDEA Flow-Through</t>
  </si>
  <si>
    <t>84.027A</t>
  </si>
  <si>
    <t>16-4620-00</t>
  </si>
  <si>
    <t>17-4620-00</t>
  </si>
  <si>
    <t>18-4620-00</t>
  </si>
  <si>
    <t xml:space="preserve">   Subtotal 84.027A</t>
  </si>
  <si>
    <t xml:space="preserve">  Fed. Sp. Ed. Pre-School Flow-Through</t>
  </si>
  <si>
    <t>84.173A</t>
  </si>
  <si>
    <t>16-4600-00</t>
  </si>
  <si>
    <t>17-4600-00</t>
  </si>
  <si>
    <t>18-4600-00</t>
  </si>
  <si>
    <t xml:space="preserve">   Subtotal 84.173A</t>
  </si>
  <si>
    <t xml:space="preserve">  TOTAL THROUGH USDE PROGRAMS</t>
  </si>
  <si>
    <t>U.S. DEPARTMENT OF HEALTH AND HUMAN SERVICES</t>
  </si>
  <si>
    <t xml:space="preserve"> Through Illinois Dept. of Health and Family Services</t>
  </si>
  <si>
    <t xml:space="preserve">  Medicaid Administrative Outreach</t>
  </si>
  <si>
    <t>16-4991-00</t>
  </si>
  <si>
    <t>17-4991-00</t>
  </si>
  <si>
    <t>18-4991-00</t>
  </si>
  <si>
    <t xml:space="preserve">   Subtotal 93.778</t>
  </si>
  <si>
    <t xml:space="preserve">  TOTAL THROUGH USDHHS PROGRAMS</t>
  </si>
  <si>
    <t>TOTAL FEDERAL AWARDS</t>
  </si>
  <si>
    <r>
      <t xml:space="preserve">The accompanying Schedule of Expenditures of Federal Awards includes the federal grant activity of </t>
    </r>
    <r>
      <rPr>
        <b/>
        <sz val="9"/>
        <rFont val="Calibri"/>
        <family val="2"/>
        <scheme val="minor"/>
      </rPr>
      <t>County of Winnebago School District No. 320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 purpose financial statements.</t>
    </r>
  </si>
  <si>
    <r>
      <t xml:space="preserve">The following amounts were expended in the form of non-cash assistance by  </t>
    </r>
    <r>
      <rPr>
        <b/>
        <sz val="9"/>
        <rFont val="Calibri"/>
        <family val="2"/>
        <scheme val="minor"/>
      </rPr>
      <t>County of Winnebago School Distrct No. 320</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</si>
  <si>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 xml:space="preserve">  Fed. Sp. Ed. IDEA Flow-Through (M)</t>
  </si>
  <si>
    <t xml:space="preserve">  Fed. Sp. Ed. Pre-School Flow-Through (M)</t>
  </si>
  <si>
    <t>Adverse - GAAP / Unmodified - Cash Basis</t>
  </si>
  <si>
    <t>UNMODIFIED</t>
  </si>
  <si>
    <t>TITLE I - LOW INCOME</t>
  </si>
  <si>
    <t>84.173 / 84.027A</t>
  </si>
  <si>
    <t>SPECIAL EDUCATION CLUSTER</t>
  </si>
  <si>
    <t>NONE</t>
  </si>
  <si>
    <t>First Student with HHS, Rockton, Roscoe, PH</t>
  </si>
  <si>
    <t>Richardson School</t>
  </si>
  <si>
    <t>Restricted Tax Levies - Special Education</t>
  </si>
  <si>
    <t>Mobile home taxes</t>
  </si>
  <si>
    <t>BENNING GROUP, LLC</t>
  </si>
  <si>
    <t>ED-Instruction-Other</t>
  </si>
  <si>
    <t>OM-Oper. &amp; Maint of Plant Services-Purchased Services</t>
  </si>
  <si>
    <t>TR-Pupil Transportation Services-Purchased Services</t>
  </si>
  <si>
    <t xml:space="preserve">Rock Valley College Running Start </t>
  </si>
  <si>
    <t>Easter Seals Metropolitan Chicago</t>
  </si>
  <si>
    <t>ED-Health Services-Purchased Services</t>
  </si>
  <si>
    <t>Winnebago County Special Ed Cooperative</t>
  </si>
  <si>
    <r>
      <t xml:space="preserve">Of the federal expenditures presented in the schedule, </t>
    </r>
    <r>
      <rPr>
        <b/>
        <sz val="9"/>
        <rFont val="Calibri"/>
        <family val="2"/>
        <scheme val="minor"/>
      </rPr>
      <t xml:space="preserve">County of Winnebago School District No. 320 </t>
    </r>
    <r>
      <rPr>
        <sz val="9"/>
        <rFont val="Calibri"/>
        <family val="2"/>
        <scheme val="minor"/>
      </rPr>
      <t>provided federal awards to subrecipients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</si>
</sst>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cellStyleXfs>
  <cellXfs count="25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76" fillId="0" borderId="0" xfId="0" applyFont="1" applyAlignment="1">
      <alignment horizontal="left"/>
    </xf>
    <xf numFmtId="0" fontId="58" fillId="0" borderId="0" xfId="0" applyFont="1" applyAlignment="1">
      <alignment horizontal="right"/>
    </xf>
    <xf numFmtId="181" fontId="58" fillId="0" borderId="166" xfId="19" applyNumberFormat="1" applyFont="1" applyBorder="1" applyAlignment="1">
      <alignment horizontal="right"/>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3" fontId="99" fillId="0" borderId="22" xfId="3" applyNumberFormat="1" applyFont="1" applyBorder="1" applyAlignment="1" applyProtection="1">
      <alignment horizontal="center"/>
      <protection locked="0"/>
    </xf>
    <xf numFmtId="3" fontId="99" fillId="0" borderId="8" xfId="3"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181" fontId="58" fillId="0" borderId="0" xfId="19" applyNumberFormat="1" applyFont="1" applyAlignment="1">
      <alignment horizontal="right"/>
    </xf>
    <xf numFmtId="0" fontId="58" fillId="0" borderId="0" xfId="0" applyFont="1" applyAlignment="1">
      <alignment horizontal="center"/>
    </xf>
    <xf numFmtId="0" fontId="76" fillId="0" borderId="0" xfId="0" applyFont="1" applyAlignment="1">
      <alignment horizontal="center"/>
    </xf>
    <xf numFmtId="166" fontId="63" fillId="0" borderId="0" xfId="0" applyNumberFormat="1" applyFont="1" applyAlignment="1">
      <alignment horizontal="center"/>
    </xf>
    <xf numFmtId="182" fontId="58" fillId="0" borderId="78" xfId="1" applyNumberFormat="1" applyFont="1" applyBorder="1" applyAlignment="1">
      <alignment horizontal="right"/>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121226</xdr:colOff>
          <xdr:row>4</xdr:row>
          <xdr:rowOff>0</xdr:rowOff>
        </xdr:from>
        <xdr:to>
          <xdr:col>1</xdr:col>
          <xdr:colOff>972120</xdr:colOff>
          <xdr:row>9</xdr:row>
          <xdr:rowOff>8660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1402773</xdr:colOff>
          <xdr:row>3</xdr:row>
          <xdr:rowOff>121227</xdr:rowOff>
        </xdr:from>
        <xdr:to>
          <xdr:col>1</xdr:col>
          <xdr:colOff>2317173</xdr:colOff>
          <xdr:row>8</xdr:row>
          <xdr:rowOff>80529</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AB48"/>
  <sheetViews>
    <sheetView showGridLines="0" tabSelected="1" zoomScale="110" zoomScaleNormal="110" workbookViewId="0">
      <selection activeCell="H32" sqref="H3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5" t="s">
        <v>425</v>
      </c>
      <c r="J1" s="2016"/>
      <c r="K1" s="2016"/>
      <c r="L1" s="2016"/>
      <c r="M1" s="2016"/>
      <c r="N1" s="2016"/>
      <c r="O1" s="2016"/>
      <c r="P1" s="2016"/>
      <c r="Q1" s="2016"/>
      <c r="R1" s="2016"/>
      <c r="S1" s="2016"/>
    </row>
    <row r="2" spans="1:28" ht="12" customHeight="1" x14ac:dyDescent="0.2">
      <c r="A2" s="47" t="s">
        <v>1684</v>
      </c>
      <c r="D2" s="48"/>
      <c r="I2" s="2017" t="s">
        <v>1036</v>
      </c>
      <c r="J2" s="2016"/>
      <c r="K2" s="2016"/>
      <c r="L2" s="2016"/>
      <c r="M2" s="2016"/>
      <c r="N2" s="2016"/>
      <c r="O2" s="2016"/>
      <c r="P2" s="2016"/>
      <c r="Q2" s="2016"/>
      <c r="R2" s="2016"/>
      <c r="S2" s="2016"/>
    </row>
    <row r="3" spans="1:28" ht="12" customHeight="1" x14ac:dyDescent="0.2">
      <c r="A3" s="155" t="s">
        <v>1685</v>
      </c>
      <c r="B3" s="156"/>
      <c r="C3" s="156"/>
      <c r="D3" s="157"/>
      <c r="I3" s="2017" t="s">
        <v>54</v>
      </c>
      <c r="J3" s="2016"/>
      <c r="K3" s="2016"/>
      <c r="L3" s="2016"/>
      <c r="M3" s="2016"/>
      <c r="N3" s="2016"/>
      <c r="O3" s="2016"/>
      <c r="P3" s="2016"/>
      <c r="Q3" s="2016"/>
      <c r="R3" s="2016"/>
      <c r="S3" s="2016"/>
    </row>
    <row r="4" spans="1:28" ht="12" customHeight="1" x14ac:dyDescent="0.2">
      <c r="A4" s="37"/>
      <c r="I4" s="2017" t="s">
        <v>545</v>
      </c>
      <c r="J4" s="2016"/>
      <c r="K4" s="2016"/>
      <c r="L4" s="2016"/>
      <c r="M4" s="2016"/>
      <c r="N4" s="2016"/>
      <c r="O4" s="2016"/>
      <c r="P4" s="2016"/>
      <c r="Q4" s="2016"/>
      <c r="R4" s="2016"/>
      <c r="S4" s="2016"/>
    </row>
    <row r="5" spans="1:28" ht="14.1" customHeight="1" x14ac:dyDescent="0.2">
      <c r="B5" s="104" t="s">
        <v>2079</v>
      </c>
      <c r="C5" s="26" t="s">
        <v>966</v>
      </c>
      <c r="D5" s="84"/>
      <c r="E5" s="84"/>
      <c r="H5" s="38"/>
      <c r="I5" s="2025" t="s">
        <v>701</v>
      </c>
      <c r="J5" s="2024"/>
      <c r="K5" s="2024"/>
      <c r="L5" s="2024"/>
      <c r="M5" s="2024"/>
      <c r="N5" s="2024"/>
      <c r="O5" s="2024"/>
      <c r="P5" s="2024"/>
      <c r="Q5" s="2024"/>
      <c r="R5" s="2024"/>
      <c r="S5" s="2024"/>
    </row>
    <row r="6" spans="1:28" ht="14.1" customHeight="1" x14ac:dyDescent="0.2">
      <c r="B6" s="104"/>
      <c r="C6" s="26" t="s">
        <v>967</v>
      </c>
      <c r="D6" s="84"/>
      <c r="E6" s="84"/>
      <c r="I6" s="2023" t="s">
        <v>938</v>
      </c>
      <c r="J6" s="2024"/>
      <c r="K6" s="2024"/>
      <c r="L6" s="2024"/>
      <c r="M6" s="2024"/>
      <c r="N6" s="2024"/>
      <c r="O6" s="2024"/>
      <c r="P6" s="2024"/>
      <c r="Q6" s="2024"/>
      <c r="R6" s="2024"/>
      <c r="S6" s="2024"/>
    </row>
    <row r="7" spans="1:28" ht="12.2" customHeight="1" x14ac:dyDescent="0.2">
      <c r="I7" s="2018">
        <v>43281</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695</v>
      </c>
      <c r="J9" s="2021"/>
      <c r="K9" s="2021"/>
      <c r="L9" s="2021"/>
      <c r="M9" s="2021"/>
      <c r="N9" s="2021"/>
      <c r="O9" s="2021"/>
      <c r="P9" s="2021"/>
      <c r="Q9" s="2021"/>
      <c r="R9" s="2021"/>
      <c r="S9" s="2022"/>
      <c r="T9" s="2036" t="s">
        <v>554</v>
      </c>
      <c r="U9" s="2037"/>
      <c r="V9" s="2037"/>
      <c r="W9" s="2037"/>
      <c r="X9" s="2037"/>
      <c r="Y9" s="2037"/>
      <c r="Z9" s="2037"/>
      <c r="AA9" s="2038"/>
    </row>
    <row r="10" spans="1:28" ht="13.5" customHeight="1" x14ac:dyDescent="0.2">
      <c r="A10" s="2043" t="s">
        <v>696</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1012</v>
      </c>
      <c r="B11" s="2047"/>
      <c r="C11" s="2047"/>
      <c r="D11" s="2047"/>
      <c r="E11" s="2047"/>
      <c r="F11" s="2047"/>
      <c r="G11" s="2047"/>
      <c r="H11" s="2048"/>
      <c r="I11" s="27"/>
      <c r="J11" s="74"/>
      <c r="K11" s="27"/>
      <c r="O11" s="148" t="s">
        <v>2079</v>
      </c>
      <c r="P11" s="100" t="s">
        <v>210</v>
      </c>
      <c r="Q11" s="30"/>
      <c r="R11" s="28"/>
      <c r="S11" s="27"/>
      <c r="T11" s="2040"/>
      <c r="U11" s="2041"/>
      <c r="V11" s="2041"/>
      <c r="W11" s="2041"/>
      <c r="X11" s="2041"/>
      <c r="Y11" s="2041"/>
      <c r="Z11" s="2041"/>
      <c r="AA11" s="204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0" t="s">
        <v>2084</v>
      </c>
      <c r="B13" s="2051"/>
      <c r="C13" s="2051"/>
      <c r="D13" s="2051"/>
      <c r="E13" s="2051"/>
      <c r="F13" s="2051"/>
      <c r="G13" s="2051"/>
      <c r="H13" s="2052"/>
      <c r="I13" s="31"/>
      <c r="J13" s="30"/>
      <c r="K13" s="28"/>
      <c r="L13" s="30"/>
      <c r="M13" s="30"/>
      <c r="N13" s="30"/>
      <c r="O13" s="30"/>
      <c r="P13" s="30"/>
      <c r="Q13" s="30"/>
      <c r="R13" s="30"/>
      <c r="S13" s="30"/>
      <c r="T13" s="2055" t="s">
        <v>2093</v>
      </c>
      <c r="U13" s="2056"/>
      <c r="V13" s="2056"/>
      <c r="W13" s="2056"/>
      <c r="X13" s="2056"/>
      <c r="Y13" s="2057"/>
      <c r="Z13" s="2057"/>
      <c r="AA13" s="205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9" t="s">
        <v>2085</v>
      </c>
      <c r="B15" s="2053"/>
      <c r="C15" s="2053"/>
      <c r="D15" s="2053"/>
      <c r="E15" s="2053"/>
      <c r="F15" s="2053"/>
      <c r="G15" s="2053"/>
      <c r="H15" s="2054"/>
      <c r="T15" s="2059" t="s">
        <v>2094</v>
      </c>
      <c r="U15" s="2003"/>
      <c r="V15" s="2003"/>
      <c r="W15" s="2003"/>
      <c r="X15" s="2003"/>
      <c r="Y15" s="2060"/>
      <c r="Z15" s="2060"/>
      <c r="AA15" s="206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9" t="s">
        <v>2086</v>
      </c>
      <c r="B17" s="2010"/>
      <c r="C17" s="2010"/>
      <c r="D17" s="2010"/>
      <c r="E17" s="2010"/>
      <c r="F17" s="2010"/>
      <c r="G17" s="2010"/>
      <c r="H17" s="2035"/>
      <c r="T17" s="2066" t="s">
        <v>2095</v>
      </c>
      <c r="U17" s="2067"/>
      <c r="V17" s="2067"/>
      <c r="W17" s="2067"/>
      <c r="X17" s="2067"/>
      <c r="Y17" s="2067"/>
      <c r="Z17" s="2067"/>
      <c r="AA17" s="2068"/>
    </row>
    <row r="18" spans="1:27" ht="13.5" customHeight="1" x14ac:dyDescent="0.2">
      <c r="A18" s="85" t="s">
        <v>551</v>
      </c>
      <c r="B18" s="76"/>
      <c r="C18" s="72"/>
      <c r="D18" s="76"/>
      <c r="E18" s="76"/>
      <c r="F18" s="76"/>
      <c r="G18" s="76"/>
      <c r="H18" s="56"/>
      <c r="I18" s="2034" t="s">
        <v>697</v>
      </c>
      <c r="J18" s="1985"/>
      <c r="K18" s="1985"/>
      <c r="L18" s="1985"/>
      <c r="M18" s="1985"/>
      <c r="N18" s="1985"/>
      <c r="O18" s="1985"/>
      <c r="P18" s="1985"/>
      <c r="Q18" s="1985"/>
      <c r="R18" s="1985"/>
      <c r="S18" s="1986"/>
      <c r="T18" s="85" t="s">
        <v>735</v>
      </c>
      <c r="U18" s="51"/>
      <c r="V18" s="72"/>
      <c r="W18" s="50"/>
      <c r="X18" s="85" t="s">
        <v>284</v>
      </c>
      <c r="Y18" s="81"/>
      <c r="Z18" s="159" t="s">
        <v>698</v>
      </c>
      <c r="AA18" s="46"/>
    </row>
    <row r="19" spans="1:27" ht="13.5" customHeight="1" x14ac:dyDescent="0.2">
      <c r="A19" s="2049" t="s">
        <v>2087</v>
      </c>
      <c r="B19" s="1995"/>
      <c r="C19" s="1995"/>
      <c r="D19" s="1995"/>
      <c r="E19" s="1995"/>
      <c r="F19" s="1995"/>
      <c r="G19" s="1995"/>
      <c r="H19" s="1975"/>
      <c r="I19" s="30"/>
      <c r="J19" s="99"/>
      <c r="K19" s="40"/>
      <c r="L19" s="38"/>
      <c r="M19" s="112" t="s">
        <v>333</v>
      </c>
      <c r="P19" s="27"/>
      <c r="Q19" s="27"/>
      <c r="R19" s="27"/>
      <c r="S19" s="31"/>
      <c r="T19" s="2049" t="s">
        <v>2096</v>
      </c>
      <c r="U19" s="1974"/>
      <c r="V19" s="1974"/>
      <c r="W19" s="1975"/>
      <c r="X19" s="2064" t="s">
        <v>2097</v>
      </c>
      <c r="Y19" s="2065"/>
      <c r="Z19" s="2062">
        <v>61032</v>
      </c>
      <c r="AA19" s="206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3" t="s">
        <v>2088</v>
      </c>
      <c r="B21" s="1974"/>
      <c r="C21" s="1974"/>
      <c r="D21" s="1974"/>
      <c r="E21" s="1974"/>
      <c r="F21" s="1974"/>
      <c r="G21" s="1974"/>
      <c r="H21" s="1975"/>
      <c r="I21" s="2029" t="s">
        <v>699</v>
      </c>
      <c r="J21" s="2024"/>
      <c r="K21" s="2024"/>
      <c r="L21" s="2024"/>
      <c r="M21" s="2024"/>
      <c r="N21" s="2024"/>
      <c r="O21" s="2024"/>
      <c r="P21" s="2024"/>
      <c r="Q21" s="2024"/>
      <c r="R21" s="2024"/>
      <c r="S21" s="2030"/>
      <c r="T21" s="2073" t="s">
        <v>2098</v>
      </c>
      <c r="U21" s="2074"/>
      <c r="V21" s="2074"/>
      <c r="W21" s="2074"/>
      <c r="X21" s="2079" t="s">
        <v>2099</v>
      </c>
      <c r="Y21" s="2080"/>
      <c r="Z21" s="2080"/>
      <c r="AA21" s="2081"/>
    </row>
    <row r="22" spans="1:27" ht="13.5" customHeight="1" x14ac:dyDescent="0.2">
      <c r="A22" s="87" t="s">
        <v>552</v>
      </c>
      <c r="B22" s="59"/>
      <c r="C22" s="59"/>
      <c r="D22" s="59"/>
      <c r="E22" s="59"/>
      <c r="F22" s="59"/>
      <c r="G22" s="59"/>
      <c r="H22" s="60"/>
      <c r="I22" s="2031" t="s">
        <v>1504</v>
      </c>
      <c r="J22" s="2032"/>
      <c r="K22" s="2032"/>
      <c r="L22" s="2032"/>
      <c r="M22" s="2032"/>
      <c r="N22" s="2032"/>
      <c r="O22" s="2032"/>
      <c r="P22" s="2032"/>
      <c r="Q22" s="2032"/>
      <c r="R22" s="2032"/>
      <c r="S22" s="2033"/>
      <c r="T22" s="85" t="s">
        <v>1596</v>
      </c>
      <c r="U22" s="51"/>
      <c r="V22" s="72"/>
      <c r="W22" s="51"/>
      <c r="X22" s="160" t="s">
        <v>1385</v>
      </c>
      <c r="Z22" s="45"/>
      <c r="AA22" s="46"/>
    </row>
    <row r="23" spans="1:27" ht="13.5" customHeight="1" x14ac:dyDescent="0.2">
      <c r="A23" s="2026"/>
      <c r="B23" s="2027"/>
      <c r="C23" s="2027"/>
      <c r="D23" s="2027"/>
      <c r="E23" s="2027"/>
      <c r="F23" s="2027"/>
      <c r="G23" s="2027"/>
      <c r="H23" s="2028"/>
      <c r="T23" s="2009" t="s">
        <v>2100</v>
      </c>
      <c r="U23" s="2072"/>
      <c r="V23" s="2072"/>
      <c r="W23" s="2072"/>
      <c r="X23" s="2076">
        <v>43434</v>
      </c>
      <c r="Y23" s="2077"/>
      <c r="Z23" s="2077"/>
      <c r="AA23" s="2078"/>
    </row>
    <row r="24" spans="1:27" ht="14.1" customHeight="1" x14ac:dyDescent="0.2">
      <c r="A24" s="88" t="s">
        <v>698</v>
      </c>
      <c r="B24" s="49"/>
      <c r="C24" s="49"/>
      <c r="D24" s="49"/>
      <c r="E24" s="49"/>
      <c r="F24" s="49"/>
      <c r="G24" s="49"/>
      <c r="H24" s="61"/>
      <c r="J24" s="1996">
        <f>IF(B5="x",IF(AUDITCHECK!D29="AFR form Incomplete.","",IF(AUDITCHECK!D29="Deficit reduction plan is required.","School District must complete a deficit reduction plan in the 2018-2019 Budget",)),"")</f>
        <v>0</v>
      </c>
      <c r="K24" s="1996"/>
      <c r="L24" s="1996"/>
      <c r="M24" s="1996"/>
      <c r="N24" s="1996"/>
      <c r="O24" s="1996"/>
      <c r="P24" s="1996"/>
      <c r="Q24" s="1996"/>
      <c r="R24" s="1996"/>
      <c r="S24" s="1997"/>
      <c r="T24" s="105" t="s">
        <v>552</v>
      </c>
      <c r="U24" s="106"/>
      <c r="V24" s="106"/>
      <c r="W24" s="106"/>
      <c r="X24" s="107"/>
      <c r="Y24" s="107"/>
      <c r="Z24" s="107"/>
      <c r="AA24" s="108"/>
    </row>
    <row r="25" spans="1:27" ht="14.1" customHeight="1" x14ac:dyDescent="0.2">
      <c r="A25" s="1973">
        <v>61080</v>
      </c>
      <c r="B25" s="1974"/>
      <c r="C25" s="1974"/>
      <c r="D25" s="1974"/>
      <c r="E25" s="1974"/>
      <c r="F25" s="1974"/>
      <c r="G25" s="1974"/>
      <c r="H25" s="1975"/>
      <c r="I25" s="113"/>
      <c r="J25" s="1998"/>
      <c r="K25" s="1998"/>
      <c r="L25" s="1998"/>
      <c r="M25" s="1998"/>
      <c r="N25" s="1998"/>
      <c r="O25" s="1998"/>
      <c r="P25" s="1998"/>
      <c r="Q25" s="1998"/>
      <c r="R25" s="1998"/>
      <c r="S25" s="1999"/>
      <c r="T25" s="2069" t="s">
        <v>2101</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4" t="s">
        <v>1591</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2079</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2079</v>
      </c>
      <c r="C30" s="124" t="s">
        <v>1226</v>
      </c>
      <c r="D30" s="28"/>
      <c r="E30" s="28"/>
      <c r="F30" s="140"/>
      <c r="G30" s="114"/>
      <c r="H30" s="114"/>
      <c r="I30" s="54"/>
      <c r="J30" s="148" t="s">
        <v>2079</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9" t="s">
        <v>2089</v>
      </c>
      <c r="B38" s="2010"/>
      <c r="C38" s="2010"/>
      <c r="D38" s="2010"/>
      <c r="E38" s="2010"/>
      <c r="F38" s="1974"/>
      <c r="G38" s="1974"/>
      <c r="H38" s="1975"/>
      <c r="I38" s="2002"/>
      <c r="J38" s="2003"/>
      <c r="K38" s="2003"/>
      <c r="L38" s="2003"/>
      <c r="M38" s="2003"/>
      <c r="N38" s="2003"/>
      <c r="O38" s="2003"/>
      <c r="P38" s="2004"/>
      <c r="Q38" s="2004"/>
      <c r="R38" s="2004"/>
      <c r="S38" s="2005"/>
      <c r="T38" s="2059" t="s">
        <v>2102</v>
      </c>
      <c r="U38" s="2003"/>
      <c r="V38" s="2003"/>
      <c r="W38" s="2003"/>
      <c r="X38" s="2004"/>
      <c r="Y38" s="2004"/>
      <c r="Z38" s="2004"/>
      <c r="AA38" s="2005"/>
    </row>
    <row r="39" spans="1:27" ht="12" customHeight="1" x14ac:dyDescent="0.2">
      <c r="A39" s="1979" t="s">
        <v>552</v>
      </c>
      <c r="B39" s="1980"/>
      <c r="C39" s="72"/>
      <c r="D39" s="69"/>
      <c r="E39" s="69"/>
      <c r="F39" s="79"/>
      <c r="G39" s="69"/>
      <c r="H39" s="56"/>
      <c r="I39" s="1979" t="s">
        <v>552</v>
      </c>
      <c r="J39" s="1980"/>
      <c r="K39" s="1980"/>
      <c r="L39" s="1980"/>
      <c r="M39" s="1980"/>
      <c r="N39" s="67"/>
      <c r="O39" s="72"/>
      <c r="P39" s="72"/>
      <c r="Q39" s="78"/>
      <c r="R39" s="72"/>
      <c r="S39" s="56"/>
      <c r="T39" s="72" t="s">
        <v>552</v>
      </c>
      <c r="U39" s="51"/>
      <c r="V39" s="72"/>
      <c r="W39" s="50"/>
      <c r="X39" s="78"/>
      <c r="Y39" s="45"/>
      <c r="Z39" s="45"/>
      <c r="AA39" s="46"/>
    </row>
    <row r="40" spans="1:27" ht="13.5" customHeight="1" x14ac:dyDescent="0.2">
      <c r="A40" s="1987" t="s">
        <v>2090</v>
      </c>
      <c r="B40" s="1988"/>
      <c r="C40" s="1989"/>
      <c r="D40" s="1989"/>
      <c r="E40" s="1989"/>
      <c r="F40" s="1990"/>
      <c r="G40" s="1990"/>
      <c r="H40" s="1991"/>
      <c r="I40" s="2012"/>
      <c r="J40" s="2013"/>
      <c r="K40" s="2013"/>
      <c r="L40" s="2013"/>
      <c r="M40" s="2013"/>
      <c r="N40" s="2013"/>
      <c r="O40" s="2013"/>
      <c r="P40" s="2013"/>
      <c r="Q40" s="2013"/>
      <c r="R40" s="2013"/>
      <c r="S40" s="2014"/>
      <c r="T40" s="2012" t="s">
        <v>2103</v>
      </c>
      <c r="U40" s="2075"/>
      <c r="V40" s="2013"/>
      <c r="W40" s="2013"/>
      <c r="X40" s="2013"/>
      <c r="Y40" s="2013"/>
      <c r="Z40" s="2013"/>
      <c r="AA40" s="201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1" t="s">
        <v>2091</v>
      </c>
      <c r="B42" s="1993"/>
      <c r="C42" s="1994"/>
      <c r="D42" s="1992" t="s">
        <v>2092</v>
      </c>
      <c r="E42" s="1993"/>
      <c r="F42" s="1993"/>
      <c r="G42" s="1993"/>
      <c r="H42" s="1994"/>
      <c r="I42" s="1976"/>
      <c r="J42" s="1977"/>
      <c r="K42" s="1977"/>
      <c r="L42" s="1977"/>
      <c r="M42" s="1977"/>
      <c r="N42" s="1977"/>
      <c r="O42" s="1978"/>
      <c r="P42" s="2011"/>
      <c r="Q42" s="1977"/>
      <c r="R42" s="1977"/>
      <c r="S42" s="1978"/>
      <c r="T42" s="1976" t="s">
        <v>2104</v>
      </c>
      <c r="U42" s="1977"/>
      <c r="V42" s="1977"/>
      <c r="W42" s="1978"/>
      <c r="X42" s="2011" t="s">
        <v>2105</v>
      </c>
      <c r="Y42" s="1977"/>
      <c r="Z42" s="1977"/>
      <c r="AA42" s="197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8" t="s">
        <v>1709</v>
      </c>
    </row>
    <row r="23" spans="1:5" x14ac:dyDescent="0.2">
      <c r="A23" s="168"/>
      <c r="B23" s="162" t="s">
        <v>1966</v>
      </c>
      <c r="D23" s="167" t="s">
        <v>658</v>
      </c>
      <c r="E23" s="1858"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5" t="s">
        <v>1125</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715</v>
      </c>
      <c r="B40" s="2082"/>
      <c r="C40" s="2082"/>
      <c r="D40" s="2082"/>
      <c r="E40" s="2082"/>
    </row>
    <row r="41" spans="1:5" x14ac:dyDescent="0.2">
      <c r="A41" s="2083" t="s">
        <v>1706</v>
      </c>
      <c r="B41" s="2083"/>
      <c r="C41" s="2083"/>
      <c r="D41" s="2083"/>
      <c r="E41" s="2083"/>
    </row>
    <row r="42" spans="1:5" ht="12.75" customHeight="1" x14ac:dyDescent="0.2">
      <c r="A42" s="2084" t="s">
        <v>1080</v>
      </c>
      <c r="B42" s="2084"/>
      <c r="C42" s="2084"/>
      <c r="D42" s="2084"/>
      <c r="E42" s="2084"/>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6" t="s">
        <v>1876</v>
      </c>
    </row>
    <row r="60" spans="1:3" x14ac:dyDescent="0.2">
      <c r="A60" s="196"/>
      <c r="B60" s="150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K143"/>
  <sheetViews>
    <sheetView showGridLines="0" defaultGridColor="0" topLeftCell="A89"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1230</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0" t="s">
        <v>1731</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0" t="s">
        <v>331</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1390</v>
      </c>
      <c r="B70" s="2103"/>
      <c r="C70" s="2103"/>
      <c r="D70" s="2103"/>
      <c r="E70" s="2104"/>
      <c r="F70" s="2104"/>
      <c r="G70" s="2104"/>
      <c r="H70" s="2104"/>
      <c r="I70" s="210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1387</v>
      </c>
      <c r="B83" s="2105"/>
      <c r="C83" s="2105"/>
      <c r="D83" s="210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t="s">
        <v>2200</v>
      </c>
      <c r="D114" s="209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1397</v>
      </c>
      <c r="D117" s="2098"/>
      <c r="E117" s="2099"/>
      <c r="F117" s="2099"/>
      <c r="G117" s="2099"/>
      <c r="H117" s="2099"/>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2019</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N72"/>
  <sheetViews>
    <sheetView showGridLines="0" defaultGridColor="0" topLeftCell="A4" colorId="8" zoomScale="110" zoomScaleNormal="110" workbookViewId="0">
      <selection activeCell="O17" sqref="O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404</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77005641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3.8955999999999998E-2</v>
      </c>
      <c r="E10" s="356" t="s">
        <v>1062</v>
      </c>
      <c r="F10" s="355">
        <v>6.0169999999999998E-3</v>
      </c>
      <c r="G10" s="356" t="s">
        <v>1062</v>
      </c>
      <c r="H10" s="355">
        <v>2.5720000000000001E-3</v>
      </c>
      <c r="I10" s="356" t="s">
        <v>1063</v>
      </c>
      <c r="J10" s="1753">
        <f>ROUND(D10+F10+H10,5)</f>
        <v>4.7550000000000002E-2</v>
      </c>
      <c r="K10" s="222"/>
      <c r="L10" s="355">
        <v>4.5899999999999999E-4</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11045150</v>
      </c>
      <c r="E16" s="356"/>
      <c r="F16" s="1754">
        <f>SUM('Acct Summary 7-8'!C17,'Acct Summary 7-8'!D17,'Acct Summary 7-8'!F17)</f>
        <v>9937691</v>
      </c>
      <c r="G16" s="356"/>
      <c r="H16" s="1754">
        <f>SUM(D16-F16)</f>
        <v>1107459</v>
      </c>
      <c r="I16" s="222"/>
      <c r="J16" s="1754">
        <f>SUM('Acct Summary 7-8'!C81,'Acct Summary 7-8'!D81,'Acct Summary 7-8'!F81,'Acct Summary 7-8'!I81)</f>
        <v>7841296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10626778.458000001</v>
      </c>
      <c r="I31" s="368"/>
      <c r="J31" s="222"/>
      <c r="K31" s="222"/>
      <c r="L31" s="222"/>
      <c r="M31" s="222"/>
    </row>
    <row r="32" spans="1:13" ht="13.35" customHeight="1" x14ac:dyDescent="0.2">
      <c r="B32" s="369" t="s">
        <v>2079</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5662000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R44"/>
  <sheetViews>
    <sheetView showGridLines="0" topLeftCell="A13" zoomScale="110" zoomScaleNormal="110" workbookViewId="0">
      <selection activeCell="E44" sqref="E4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577</v>
      </c>
      <c r="B2" s="2135"/>
      <c r="C2" s="2135"/>
      <c r="D2" s="2135"/>
      <c r="E2" s="2135"/>
      <c r="F2" s="2135"/>
      <c r="G2" s="2135"/>
      <c r="H2" s="2135"/>
      <c r="I2" s="2135"/>
      <c r="J2" s="2135"/>
      <c r="K2" s="2135"/>
      <c r="L2" s="2135"/>
      <c r="M2" s="2135"/>
      <c r="N2" s="2135"/>
      <c r="O2" s="2135"/>
      <c r="P2" s="2135"/>
      <c r="Q2" s="2135"/>
      <c r="R2" s="2135"/>
    </row>
    <row r="3" spans="1:18" ht="12.75" x14ac:dyDescent="0.2">
      <c r="A3" s="2136" t="s">
        <v>1480</v>
      </c>
      <c r="B3" s="2136"/>
      <c r="C3" s="2136"/>
      <c r="D3" s="2136"/>
      <c r="E3" s="2136"/>
      <c r="F3" s="2136"/>
      <c r="G3" s="2136"/>
      <c r="H3" s="2136"/>
      <c r="I3" s="2136"/>
      <c r="J3" s="2136"/>
      <c r="K3" s="2136"/>
      <c r="L3" s="2136"/>
      <c r="M3" s="2136"/>
      <c r="N3" s="2136"/>
      <c r="O3" s="2136"/>
      <c r="P3" s="2136"/>
      <c r="Q3" s="2136"/>
      <c r="R3" s="2136"/>
    </row>
    <row r="4" spans="1:18" x14ac:dyDescent="0.2">
      <c r="A4" s="2137" t="s">
        <v>1635</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COUNTY OF WINNEBAGO SCHOOL DISTRICT NO. 320</v>
      </c>
      <c r="E7" s="391"/>
      <c r="G7" s="252"/>
      <c r="H7" s="387"/>
      <c r="I7" s="387"/>
      <c r="J7" s="387"/>
      <c r="K7" s="387"/>
      <c r="L7" s="329"/>
      <c r="M7" s="329"/>
      <c r="N7" s="329"/>
      <c r="O7" s="329"/>
      <c r="P7" s="329"/>
    </row>
    <row r="8" spans="1:18" ht="12.75" x14ac:dyDescent="0.2">
      <c r="A8" s="329"/>
      <c r="B8" s="329"/>
      <c r="C8" s="389" t="s">
        <v>1187</v>
      </c>
      <c r="D8" s="392" t="str">
        <f>COVER!A13</f>
        <v>04-101-3200-26</v>
      </c>
      <c r="E8" s="393"/>
      <c r="G8" s="329"/>
      <c r="H8" s="329"/>
      <c r="I8" s="329"/>
      <c r="J8" s="329"/>
      <c r="K8" s="329"/>
      <c r="L8" s="329"/>
      <c r="M8" s="329"/>
      <c r="N8" s="329"/>
      <c r="O8" s="329"/>
      <c r="P8" s="329"/>
    </row>
    <row r="9" spans="1:18" ht="12.75" x14ac:dyDescent="0.2">
      <c r="A9" s="329"/>
      <c r="B9" s="329"/>
      <c r="C9" s="389" t="s">
        <v>737</v>
      </c>
      <c r="D9" s="394" t="str">
        <f>COVER!A15</f>
        <v xml:space="preserve">WINNEBAGO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7841296</v>
      </c>
      <c r="I12" s="404"/>
      <c r="J12" s="404"/>
      <c r="K12" s="405">
        <f>TRUNC((H12/H13*100000),5)/100000</f>
        <v>0.70993114619999997</v>
      </c>
      <c r="L12" s="406"/>
      <c r="M12" s="360" t="s">
        <v>1206</v>
      </c>
      <c r="N12" s="360"/>
      <c r="O12" s="407">
        <v>0.35</v>
      </c>
      <c r="P12" s="218"/>
      <c r="Q12" s="218"/>
    </row>
    <row r="13" spans="1:18" s="408" customFormat="1" ht="12.75" x14ac:dyDescent="0.2">
      <c r="A13" s="218"/>
      <c r="B13" s="401"/>
      <c r="C13" s="2133" t="s">
        <v>1391</v>
      </c>
      <c r="D13" s="2134"/>
      <c r="E13" s="218"/>
      <c r="F13" s="409" t="s">
        <v>826</v>
      </c>
      <c r="G13" s="402"/>
      <c r="H13" s="403">
        <f>SUM('Acct Summary 7-8'!C8+'Acct Summary 7-8'!D8+'Acct Summary 7-8'!F8+'Acct Summary 7-8'!I8)+H14</f>
        <v>11045150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9937691</v>
      </c>
      <c r="I17" s="404"/>
      <c r="J17" s="416"/>
      <c r="K17" s="405">
        <f>TRUNC((H17/H18*100000),5)/100000</f>
        <v>0.89973345760000001</v>
      </c>
      <c r="L17" s="406"/>
      <c r="M17" s="417" t="s">
        <v>1233</v>
      </c>
      <c r="O17" s="418" t="str">
        <f>IF(AND(O16="2", J20 &gt; 2),"1",IF(AND(O16 = "1", J20 &gt; 2),"2",IF(AND(O16="1", J20 &gt;1),"1","0")))</f>
        <v>0</v>
      </c>
      <c r="P17" s="218"/>
    </row>
    <row r="18" spans="1:18" s="408" customFormat="1" ht="11.25" x14ac:dyDescent="0.2">
      <c r="A18" s="218"/>
      <c r="B18" s="401"/>
      <c r="C18" s="2133" t="s">
        <v>1384</v>
      </c>
      <c r="D18" s="2134"/>
      <c r="E18" s="218"/>
      <c r="F18" s="419" t="s">
        <v>827</v>
      </c>
      <c r="G18" s="402"/>
      <c r="H18" s="403">
        <f>SUM('Acct Summary 7-8'!C8+'Acct Summary 7-8'!D8+'Acct Summary 7-8'!F8+'Acct Summary 7-8'!I8)+H19</f>
        <v>11045150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0" t="s">
        <v>1479</v>
      </c>
      <c r="D24" s="2130"/>
      <c r="E24" s="218"/>
      <c r="F24" s="218" t="s">
        <v>465</v>
      </c>
      <c r="G24" s="402"/>
      <c r="H24" s="403">
        <f>SUM('Assets-Liab 5-6'!C4+'Assets-Liab 5-6'!D4+'Assets-Liab 5-6'!F4+'Assets-Liab 5-6'!I4+'Assets-Liab 5-6'!C5+'Assets-Liab 5-6'!D5+'Assets-Liab 5-6'!F5+'Assets-Liab 5-6'!I5)</f>
        <v>7841296</v>
      </c>
      <c r="I24" s="422"/>
      <c r="J24" s="422"/>
      <c r="K24" s="423">
        <f>TRUNC(((H24/H25*100000)/100000),2)</f>
        <v>284.05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27604.697219999998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3112375.4951200001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5662000</v>
      </c>
      <c r="I32" s="420"/>
      <c r="J32" s="420"/>
      <c r="K32" s="423">
        <f>TRUNC(100-((((H32/H33*100))*100)/100),2)</f>
        <v>46.71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10626778.458000001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sheetPr>
  <dimension ref="A1:N44"/>
  <sheetViews>
    <sheetView showGridLines="0" defaultGridColor="0" colorId="8" zoomScale="90" zoomScaleNormal="90" workbookViewId="0">
      <pane ySplit="2" topLeftCell="A9" activePane="bottomLeft" state="frozen"/>
      <selection activeCell="A47" sqref="A47"/>
      <selection pane="bottomLeft" activeCell="G41" sqref="G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0" t="s">
        <v>1030</v>
      </c>
      <c r="B3" s="2141"/>
      <c r="C3" s="1580"/>
      <c r="D3" s="1581"/>
      <c r="E3" s="1581"/>
      <c r="F3" s="1581"/>
      <c r="G3" s="1581"/>
      <c r="H3" s="1581"/>
      <c r="I3" s="1581"/>
      <c r="J3" s="1581"/>
      <c r="K3" s="1581"/>
      <c r="L3" s="1581"/>
      <c r="M3" s="1582"/>
      <c r="N3" s="1583"/>
    </row>
    <row r="4" spans="1:14" ht="13.5" customHeight="1" x14ac:dyDescent="0.2">
      <c r="A4" s="463" t="s">
        <v>1750</v>
      </c>
      <c r="B4" s="464"/>
      <c r="C4" s="465">
        <v>6610798</v>
      </c>
      <c r="D4" s="466">
        <v>740508</v>
      </c>
      <c r="E4" s="466">
        <v>569139</v>
      </c>
      <c r="F4" s="466">
        <v>132076</v>
      </c>
      <c r="G4" s="466">
        <v>184716</v>
      </c>
      <c r="H4" s="466"/>
      <c r="I4" s="466">
        <v>357914</v>
      </c>
      <c r="J4" s="467">
        <v>276102</v>
      </c>
      <c r="K4" s="466">
        <v>199097</v>
      </c>
      <c r="L4" s="466">
        <v>91293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6610798</v>
      </c>
      <c r="D13" s="1758">
        <f t="shared" ref="D13:L13" si="0">SUM(D4:D12)</f>
        <v>740508</v>
      </c>
      <c r="E13" s="1758">
        <f t="shared" si="0"/>
        <v>569139</v>
      </c>
      <c r="F13" s="1758">
        <f t="shared" si="0"/>
        <v>132076</v>
      </c>
      <c r="G13" s="1758">
        <f t="shared" si="0"/>
        <v>184716</v>
      </c>
      <c r="H13" s="1758">
        <f t="shared" si="0"/>
        <v>0</v>
      </c>
      <c r="I13" s="1758">
        <f t="shared" si="0"/>
        <v>357914</v>
      </c>
      <c r="J13" s="1758">
        <f t="shared" si="0"/>
        <v>276102</v>
      </c>
      <c r="K13" s="1758">
        <f t="shared" si="0"/>
        <v>199097</v>
      </c>
      <c r="L13" s="1758">
        <f t="shared" si="0"/>
        <v>91293</v>
      </c>
      <c r="M13" s="468"/>
      <c r="N13" s="469"/>
    </row>
    <row r="14" spans="1:14" ht="18" customHeight="1" thickTop="1" x14ac:dyDescent="0.2">
      <c r="A14" s="2142" t="s">
        <v>149</v>
      </c>
      <c r="B14" s="2143"/>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138937</v>
      </c>
      <c r="N16" s="484"/>
    </row>
    <row r="17" spans="1:14" s="485" customFormat="1" ht="12.75" customHeight="1" x14ac:dyDescent="0.2">
      <c r="A17" s="482" t="s">
        <v>1470</v>
      </c>
      <c r="B17" s="483">
        <v>230</v>
      </c>
      <c r="C17" s="477"/>
      <c r="D17" s="477"/>
      <c r="E17" s="477"/>
      <c r="F17" s="477"/>
      <c r="G17" s="477"/>
      <c r="H17" s="477"/>
      <c r="I17" s="477"/>
      <c r="J17" s="477"/>
      <c r="K17" s="477"/>
      <c r="L17" s="477"/>
      <c r="M17" s="467">
        <v>17701422</v>
      </c>
      <c r="N17" s="484"/>
    </row>
    <row r="18" spans="1:14" s="485" customFormat="1" ht="12.75" customHeight="1" x14ac:dyDescent="0.2">
      <c r="A18" s="482" t="s">
        <v>1471</v>
      </c>
      <c r="B18" s="483">
        <v>240</v>
      </c>
      <c r="C18" s="477"/>
      <c r="D18" s="477"/>
      <c r="E18" s="477"/>
      <c r="F18" s="477"/>
      <c r="G18" s="477"/>
      <c r="H18" s="477"/>
      <c r="I18" s="477"/>
      <c r="J18" s="477"/>
      <c r="K18" s="477"/>
      <c r="L18" s="477"/>
      <c r="M18" s="467">
        <v>480787</v>
      </c>
      <c r="N18" s="484"/>
    </row>
    <row r="19" spans="1:14" s="485" customFormat="1" ht="12.75" customHeight="1" x14ac:dyDescent="0.2">
      <c r="A19" s="482" t="s">
        <v>1472</v>
      </c>
      <c r="B19" s="483">
        <v>250</v>
      </c>
      <c r="C19" s="477"/>
      <c r="D19" s="477"/>
      <c r="E19" s="477"/>
      <c r="F19" s="477"/>
      <c r="G19" s="477"/>
      <c r="H19" s="477"/>
      <c r="I19" s="477"/>
      <c r="J19" s="477"/>
      <c r="K19" s="477"/>
      <c r="L19" s="477"/>
      <c r="M19" s="467">
        <v>1986310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569139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5092861</v>
      </c>
    </row>
    <row r="23" spans="1:14" ht="13.5" customHeight="1" thickBot="1" x14ac:dyDescent="0.25">
      <c r="A23" s="1757" t="s">
        <v>664</v>
      </c>
      <c r="B23" s="1762"/>
      <c r="C23" s="468"/>
      <c r="D23" s="468"/>
      <c r="E23" s="468"/>
      <c r="F23" s="468"/>
      <c r="G23" s="468"/>
      <c r="H23" s="468"/>
      <c r="I23" s="468"/>
      <c r="J23" s="468"/>
      <c r="K23" s="468"/>
      <c r="L23" s="468"/>
      <c r="M23" s="1709">
        <f>SUM(M15:M22)</f>
        <v>20307456</v>
      </c>
      <c r="N23" s="1709">
        <f>SUM(N21:N22)</f>
        <v>5662000</v>
      </c>
    </row>
    <row r="24" spans="1:14" ht="18" customHeight="1" thickTop="1" x14ac:dyDescent="0.2">
      <c r="A24" s="2144" t="s">
        <v>619</v>
      </c>
      <c r="B24" s="2145"/>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91293</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91293</v>
      </c>
      <c r="M34" s="468"/>
      <c r="N34" s="480"/>
    </row>
    <row r="35" spans="1:14" ht="18" customHeight="1" thickTop="1" x14ac:dyDescent="0.2">
      <c r="A35" s="2146" t="s">
        <v>550</v>
      </c>
      <c r="B35" s="2147"/>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5662000</v>
      </c>
    </row>
    <row r="37" spans="1:14" ht="13.5" thickBot="1" x14ac:dyDescent="0.25">
      <c r="A37" s="1757" t="s">
        <v>674</v>
      </c>
      <c r="B37" s="1762"/>
      <c r="C37" s="477"/>
      <c r="D37" s="477"/>
      <c r="E37" s="477"/>
      <c r="F37" s="477"/>
      <c r="G37" s="477"/>
      <c r="H37" s="477"/>
      <c r="I37" s="477"/>
      <c r="J37" s="477"/>
      <c r="K37" s="477"/>
      <c r="L37" s="480"/>
      <c r="M37" s="468"/>
      <c r="N37" s="1709">
        <f>SUM(N36:N36)</f>
        <v>5662000</v>
      </c>
    </row>
    <row r="38" spans="1:14" s="329" customFormat="1" ht="13.5" customHeight="1" thickTop="1" x14ac:dyDescent="0.2">
      <c r="A38" s="496" t="s">
        <v>440</v>
      </c>
      <c r="B38" s="483">
        <v>714</v>
      </c>
      <c r="C38" s="466">
        <v>580247</v>
      </c>
      <c r="D38" s="466"/>
      <c r="E38" s="466"/>
      <c r="F38" s="466"/>
      <c r="G38" s="466">
        <v>94034</v>
      </c>
      <c r="H38" s="466"/>
      <c r="I38" s="466"/>
      <c r="J38" s="467"/>
      <c r="K38" s="466"/>
      <c r="L38" s="481"/>
      <c r="M38" s="497"/>
      <c r="N38" s="497"/>
    </row>
    <row r="39" spans="1:14" s="329" customFormat="1" ht="13.5" customHeight="1" x14ac:dyDescent="0.2">
      <c r="A39" s="496" t="s">
        <v>360</v>
      </c>
      <c r="B39" s="483">
        <v>730</v>
      </c>
      <c r="C39" s="466">
        <v>6030551</v>
      </c>
      <c r="D39" s="466">
        <v>740508</v>
      </c>
      <c r="E39" s="466">
        <v>569139</v>
      </c>
      <c r="F39" s="466">
        <v>132076</v>
      </c>
      <c r="G39" s="466">
        <v>90682</v>
      </c>
      <c r="H39" s="466"/>
      <c r="I39" s="466">
        <v>357914</v>
      </c>
      <c r="J39" s="467">
        <v>276102</v>
      </c>
      <c r="K39" s="466">
        <v>199097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20307456</v>
      </c>
      <c r="N40" s="497"/>
    </row>
    <row r="41" spans="1:14" ht="13.5" customHeight="1" thickBot="1" x14ac:dyDescent="0.25">
      <c r="A41" s="1757" t="s">
        <v>676</v>
      </c>
      <c r="B41" s="1727"/>
      <c r="C41" s="1709">
        <f>(SUM(C34,C37,C38,C39))</f>
        <v>6610798</v>
      </c>
      <c r="D41" s="1709">
        <f t="shared" ref="D41:L41" si="2">SUM(D34,D37,D38:D39)</f>
        <v>740508</v>
      </c>
      <c r="E41" s="1709">
        <f t="shared" si="2"/>
        <v>569139</v>
      </c>
      <c r="F41" s="1709">
        <f t="shared" si="2"/>
        <v>132076</v>
      </c>
      <c r="G41" s="1709">
        <f t="shared" si="2"/>
        <v>184716</v>
      </c>
      <c r="H41" s="1709">
        <f t="shared" si="2"/>
        <v>0</v>
      </c>
      <c r="I41" s="1709">
        <f t="shared" si="2"/>
        <v>357914</v>
      </c>
      <c r="J41" s="1709">
        <f t="shared" si="2"/>
        <v>276102</v>
      </c>
      <c r="K41" s="1709">
        <f t="shared" si="2"/>
        <v>199097</v>
      </c>
      <c r="L41" s="1709">
        <f t="shared" si="2"/>
        <v>91293</v>
      </c>
      <c r="M41" s="1709">
        <f>SUM(M40)</f>
        <v>20307456</v>
      </c>
      <c r="N41" s="1709">
        <f>SUM(N37)</f>
        <v>5662000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sheetPr>
  <dimension ref="A1:M87"/>
  <sheetViews>
    <sheetView showGridLines="0" defaultGridColor="0" colorId="8" zoomScaleNormal="100" zoomScaleSheetLayoutView="100" workbookViewId="0">
      <pane ySplit="2" topLeftCell="A63" activePane="bottomLeft" state="frozenSplit"/>
      <selection activeCell="A47" sqref="A47"/>
      <selection pane="bottomLeft" activeCell="F84" sqref="F8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8" t="s">
        <v>1237</v>
      </c>
      <c r="B3" s="2169"/>
      <c r="C3" s="1594"/>
      <c r="D3" s="1595"/>
      <c r="E3" s="1595"/>
      <c r="F3" s="1595"/>
      <c r="G3" s="1595"/>
      <c r="H3" s="1595"/>
      <c r="I3" s="1595"/>
      <c r="J3" s="1595"/>
      <c r="K3" s="1596"/>
      <c r="L3" s="506"/>
    </row>
    <row r="4" spans="1:13" ht="15.75" customHeight="1" x14ac:dyDescent="0.2">
      <c r="A4" s="1953" t="s">
        <v>1579</v>
      </c>
      <c r="B4" s="1954">
        <v>1000</v>
      </c>
      <c r="C4" s="1763">
        <f>'Revenues 9-14'!C109</f>
        <v>3716702</v>
      </c>
      <c r="D4" s="1763">
        <f>'Revenues 9-14'!D109</f>
        <v>459846</v>
      </c>
      <c r="E4" s="1763">
        <f>'Revenues 9-14'!E109</f>
        <v>1010732</v>
      </c>
      <c r="F4" s="1763">
        <f>'Revenues 9-14'!F109</f>
        <v>188529</v>
      </c>
      <c r="G4" s="1763">
        <f>'Revenues 9-14'!G109</f>
        <v>282460</v>
      </c>
      <c r="H4" s="1763">
        <f>'Revenues 9-14'!H109</f>
        <v>0</v>
      </c>
      <c r="I4" s="1763">
        <f>'Revenues 9-14'!I109</f>
        <v>34907</v>
      </c>
      <c r="J4" s="1763">
        <f>'Revenues 9-14'!J109</f>
        <v>172828</v>
      </c>
      <c r="K4" s="1763">
        <f>'Revenues 9-14'!K109</f>
        <v>41008</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4321851</v>
      </c>
      <c r="D6" s="1764">
        <f>'Revenues 9-14'!D173</f>
        <v>791121</v>
      </c>
      <c r="E6" s="1764">
        <f>'Revenues 9-14'!E173</f>
        <v>0</v>
      </c>
      <c r="F6" s="1764">
        <f>'Revenues 9-14'!F173</f>
        <v>341485</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1190709</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9229262</v>
      </c>
      <c r="D8" s="1709">
        <f t="shared" ref="D8:K8" si="0">SUM(D4:D7)</f>
        <v>1250967</v>
      </c>
      <c r="E8" s="1709">
        <f t="shared" si="0"/>
        <v>1010732</v>
      </c>
      <c r="F8" s="1709">
        <f t="shared" si="0"/>
        <v>530014</v>
      </c>
      <c r="G8" s="1709">
        <f t="shared" si="0"/>
        <v>282460</v>
      </c>
      <c r="H8" s="1709">
        <f t="shared" si="0"/>
        <v>0</v>
      </c>
      <c r="I8" s="1709">
        <f t="shared" si="0"/>
        <v>34907</v>
      </c>
      <c r="J8" s="1709">
        <f t="shared" si="0"/>
        <v>172828</v>
      </c>
      <c r="K8" s="1709">
        <f t="shared" si="0"/>
        <v>41008</v>
      </c>
      <c r="L8" s="347"/>
    </row>
    <row r="9" spans="1:13" ht="15.75" thickTop="1" x14ac:dyDescent="0.2">
      <c r="A9" s="514" t="s">
        <v>1752</v>
      </c>
      <c r="B9" s="515">
        <v>3998</v>
      </c>
      <c r="C9" s="481">
        <v>497664</v>
      </c>
      <c r="D9" s="516"/>
      <c r="E9" s="481"/>
      <c r="F9" s="481"/>
      <c r="G9" s="517"/>
      <c r="H9" s="481"/>
      <c r="I9" s="509" t="s">
        <v>1231</v>
      </c>
      <c r="J9" s="478"/>
      <c r="K9" s="481"/>
      <c r="L9" s="347"/>
    </row>
    <row r="10" spans="1:13" s="519" customFormat="1" ht="13.5" thickBot="1" x14ac:dyDescent="0.25">
      <c r="A10" s="1757" t="s">
        <v>1235</v>
      </c>
      <c r="B10" s="1730"/>
      <c r="C10" s="1709">
        <f>SUM(C8:C9)</f>
        <v>9726926</v>
      </c>
      <c r="D10" s="1709">
        <f t="shared" ref="D10:K10" si="1">SUM(D8:D9)</f>
        <v>1250967</v>
      </c>
      <c r="E10" s="1709">
        <f t="shared" si="1"/>
        <v>1010732</v>
      </c>
      <c r="F10" s="1709">
        <f t="shared" si="1"/>
        <v>530014</v>
      </c>
      <c r="G10" s="1709">
        <f t="shared" si="1"/>
        <v>282460</v>
      </c>
      <c r="H10" s="1709">
        <f t="shared" si="1"/>
        <v>0</v>
      </c>
      <c r="I10" s="1709">
        <f t="shared" si="1"/>
        <v>34907</v>
      </c>
      <c r="J10" s="1709">
        <f t="shared" si="1"/>
        <v>172828</v>
      </c>
      <c r="K10" s="1709">
        <f t="shared" si="1"/>
        <v>41008</v>
      </c>
      <c r="L10" s="518"/>
    </row>
    <row r="11" spans="1:13" s="519" customFormat="1" ht="16.7" customHeight="1" thickTop="1" x14ac:dyDescent="0.2">
      <c r="A11" s="2142" t="s">
        <v>1238</v>
      </c>
      <c r="B11" s="2143"/>
      <c r="C11" s="1591"/>
      <c r="D11" s="1592"/>
      <c r="E11" s="1592"/>
      <c r="F11" s="1592"/>
      <c r="G11" s="1592"/>
      <c r="H11" s="1592"/>
      <c r="I11" s="1592"/>
      <c r="J11" s="1592"/>
      <c r="K11" s="1593"/>
      <c r="L11" s="518"/>
    </row>
    <row r="12" spans="1:13" ht="15.75" customHeight="1" x14ac:dyDescent="0.2">
      <c r="A12" s="1597" t="s">
        <v>476</v>
      </c>
      <c r="B12" s="1599">
        <v>1000</v>
      </c>
      <c r="C12" s="1763">
        <f>'Expenditures 15-22'!K33</f>
        <v>5337777</v>
      </c>
      <c r="D12" s="520" t="s">
        <v>1231</v>
      </c>
      <c r="E12" s="468" t="s">
        <v>1231</v>
      </c>
      <c r="F12" s="468" t="s">
        <v>1231</v>
      </c>
      <c r="G12" s="1763">
        <f>'Expenditures 15-22'!K229</f>
        <v>117459</v>
      </c>
      <c r="H12" s="521"/>
      <c r="I12" s="468" t="s">
        <v>1231</v>
      </c>
      <c r="J12" s="468" t="s">
        <v>1231</v>
      </c>
      <c r="K12" s="521" t="s">
        <v>1231</v>
      </c>
      <c r="L12" s="347"/>
    </row>
    <row r="13" spans="1:13" ht="15.75" customHeight="1" x14ac:dyDescent="0.2">
      <c r="A13" s="1597" t="s">
        <v>477</v>
      </c>
      <c r="B13" s="1599">
        <v>2000</v>
      </c>
      <c r="C13" s="1764">
        <f>'Expenditures 15-22'!K74</f>
        <v>2814554</v>
      </c>
      <c r="D13" s="1764">
        <f>'Expenditures 15-22'!K129</f>
        <v>1212354</v>
      </c>
      <c r="E13" s="469" t="s">
        <v>1231</v>
      </c>
      <c r="F13" s="1764">
        <f>'Expenditures 15-22'!K184</f>
        <v>407525</v>
      </c>
      <c r="G13" s="1764">
        <f>'Expenditures 15-22'!K279</f>
        <v>160789</v>
      </c>
      <c r="H13" s="1764">
        <f>'Expenditures 15-22'!K303</f>
        <v>0</v>
      </c>
      <c r="I13" s="468" t="s">
        <v>1231</v>
      </c>
      <c r="J13" s="1764">
        <f>'Expenditures 15-22'!K330</f>
        <v>148473</v>
      </c>
      <c r="K13" s="1768">
        <f>'Expenditures 15-22'!K352</f>
        <v>46591</v>
      </c>
      <c r="L13" s="347"/>
    </row>
    <row r="14" spans="1:13" ht="15.75" customHeight="1" x14ac:dyDescent="0.2">
      <c r="A14" s="1597" t="s">
        <v>469</v>
      </c>
      <c r="B14" s="1599">
        <v>3000</v>
      </c>
      <c r="C14" s="1764">
        <f>'Expenditures 15-22'!K75</f>
        <v>11458</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154023</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1028761</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8317812</v>
      </c>
      <c r="D17" s="1709">
        <f t="shared" si="2"/>
        <v>1212354</v>
      </c>
      <c r="E17" s="1709">
        <f t="shared" si="2"/>
        <v>1028761</v>
      </c>
      <c r="F17" s="1709">
        <f t="shared" si="2"/>
        <v>407525</v>
      </c>
      <c r="G17" s="1709">
        <f t="shared" si="2"/>
        <v>278248</v>
      </c>
      <c r="H17" s="1709">
        <f t="shared" si="2"/>
        <v>0</v>
      </c>
      <c r="I17" s="468"/>
      <c r="J17" s="1709">
        <f>SUM(J12:J16)</f>
        <v>148473</v>
      </c>
      <c r="K17" s="1709">
        <f>SUM(K12:K16)</f>
        <v>46591</v>
      </c>
      <c r="L17" s="347"/>
    </row>
    <row r="18" spans="1:12" ht="15" customHeight="1" thickTop="1" x14ac:dyDescent="0.2">
      <c r="A18" s="1765" t="s">
        <v>1753</v>
      </c>
      <c r="B18" s="1766">
        <v>4180</v>
      </c>
      <c r="C18" s="1763">
        <f t="shared" ref="C18:H18" si="3">C9</f>
        <v>497664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8815476</v>
      </c>
      <c r="D19" s="1709">
        <f t="shared" si="4"/>
        <v>1212354</v>
      </c>
      <c r="E19" s="1709">
        <f t="shared" si="4"/>
        <v>1028761</v>
      </c>
      <c r="F19" s="1709">
        <f t="shared" si="4"/>
        <v>407525</v>
      </c>
      <c r="G19" s="1709">
        <f t="shared" si="4"/>
        <v>278248</v>
      </c>
      <c r="H19" s="1709">
        <f t="shared" si="4"/>
        <v>0</v>
      </c>
      <c r="I19" s="468"/>
      <c r="J19" s="1709">
        <f>SUM(J17:J18)</f>
        <v>148473</v>
      </c>
      <c r="K19" s="1709">
        <f>SUM(K17:K18)</f>
        <v>46591</v>
      </c>
      <c r="L19" s="347"/>
    </row>
    <row r="20" spans="1:12" ht="16.5" thickTop="1" thickBot="1" x14ac:dyDescent="0.25">
      <c r="A20" s="2158" t="s">
        <v>1754</v>
      </c>
      <c r="B20" s="2159"/>
      <c r="C20" s="1767">
        <f>C8-C17</f>
        <v>911450</v>
      </c>
      <c r="D20" s="1767">
        <f t="shared" ref="D20:K20" si="5">D8-D17</f>
        <v>38613</v>
      </c>
      <c r="E20" s="1767">
        <f t="shared" si="5"/>
        <v>-18029</v>
      </c>
      <c r="F20" s="1767">
        <f t="shared" si="5"/>
        <v>122489</v>
      </c>
      <c r="G20" s="1767">
        <f t="shared" si="5"/>
        <v>4212</v>
      </c>
      <c r="H20" s="1767">
        <f t="shared" si="5"/>
        <v>0</v>
      </c>
      <c r="I20" s="1767">
        <f t="shared" si="5"/>
        <v>34907</v>
      </c>
      <c r="J20" s="1767">
        <f t="shared" si="5"/>
        <v>24355</v>
      </c>
      <c r="K20" s="1767">
        <f t="shared" si="5"/>
        <v>-5583</v>
      </c>
      <c r="L20" s="347"/>
    </row>
    <row r="21" spans="1:12" ht="16.7" customHeight="1" thickTop="1" x14ac:dyDescent="0.2">
      <c r="A21" s="2170" t="s">
        <v>616</v>
      </c>
      <c r="B21" s="2171"/>
      <c r="C21" s="1591"/>
      <c r="D21" s="1592"/>
      <c r="E21" s="1592"/>
      <c r="F21" s="1592"/>
      <c r="G21" s="1592"/>
      <c r="H21" s="1592"/>
      <c r="I21" s="1592"/>
      <c r="J21" s="1592"/>
      <c r="K21" s="1593"/>
      <c r="L21" s="524"/>
    </row>
    <row r="22" spans="1:12" ht="15.75" customHeight="1" collapsed="1" x14ac:dyDescent="0.2">
      <c r="A22" s="2166" t="s">
        <v>617</v>
      </c>
      <c r="B22" s="2167"/>
      <c r="C22" s="477"/>
      <c r="D22" s="477"/>
      <c r="E22" s="477"/>
      <c r="F22" s="477"/>
      <c r="G22" s="477"/>
      <c r="H22" s="477"/>
      <c r="I22" s="477"/>
      <c r="J22" s="477"/>
      <c r="K22" s="477"/>
      <c r="L22" s="347"/>
    </row>
    <row r="23" spans="1:12" s="485" customFormat="1" ht="15.75" customHeight="1" x14ac:dyDescent="0.2">
      <c r="A23" s="2162" t="s">
        <v>311</v>
      </c>
      <c r="B23" s="2163"/>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v>1357</v>
      </c>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v>2743</v>
      </c>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1894</v>
      </c>
      <c r="B30" s="527">
        <v>7160</v>
      </c>
      <c r="C30" s="477"/>
      <c r="D30" s="467"/>
      <c r="E30" s="477"/>
      <c r="F30" s="477"/>
      <c r="G30" s="477"/>
      <c r="H30" s="477"/>
      <c r="I30" s="477"/>
      <c r="J30" s="477"/>
      <c r="K30" s="477"/>
      <c r="L30" s="524"/>
    </row>
    <row r="31" spans="1:12" s="485" customFormat="1" ht="26.25" x14ac:dyDescent="0.2">
      <c r="A31" s="1510" t="s">
        <v>1898</v>
      </c>
      <c r="B31" s="527">
        <v>7170</v>
      </c>
      <c r="C31" s="477"/>
      <c r="D31" s="477"/>
      <c r="E31" s="474"/>
      <c r="F31" s="477"/>
      <c r="G31" s="477"/>
      <c r="H31" s="477"/>
      <c r="I31" s="477"/>
      <c r="J31" s="477"/>
      <c r="K31" s="477"/>
      <c r="L31" s="524"/>
    </row>
    <row r="32" spans="1:12" s="485" customFormat="1" ht="15.75" customHeight="1" x14ac:dyDescent="0.2">
      <c r="A32" s="2164" t="s">
        <v>1038</v>
      </c>
      <c r="B32" s="2165"/>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72" t="s">
        <v>392</v>
      </c>
      <c r="B44" s="2173"/>
      <c r="C44" s="1724">
        <f>SUM(C24:C43)</f>
        <v>2743</v>
      </c>
      <c r="D44" s="1724">
        <f t="shared" ref="D44:K44" si="6">SUM(D24:D43)</f>
        <v>1357</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6" t="s">
        <v>110</v>
      </c>
      <c r="B45" s="2167"/>
      <c r="C45" s="528"/>
      <c r="D45" s="528"/>
      <c r="E45" s="528"/>
      <c r="F45" s="528"/>
      <c r="G45" s="528"/>
      <c r="H45" s="528"/>
      <c r="I45" s="528"/>
      <c r="J45" s="528"/>
      <c r="K45" s="528"/>
      <c r="L45" s="347"/>
    </row>
    <row r="46" spans="1:12" s="485" customFormat="1" ht="15.75" customHeight="1" x14ac:dyDescent="0.2">
      <c r="A46" s="2174" t="s">
        <v>111</v>
      </c>
      <c r="B46" s="2175"/>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1357</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v>2743</v>
      </c>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1897</v>
      </c>
      <c r="B52" s="483">
        <v>8160</v>
      </c>
      <c r="C52" s="477"/>
      <c r="D52" s="477"/>
      <c r="E52" s="477"/>
      <c r="F52" s="477"/>
      <c r="G52" s="477"/>
      <c r="H52" s="477"/>
      <c r="I52" s="477"/>
      <c r="J52" s="477"/>
      <c r="K52" s="1764">
        <f>D30</f>
        <v>0</v>
      </c>
      <c r="L52" s="524"/>
    </row>
    <row r="53" spans="1:12" s="485" customFormat="1" ht="26.25" x14ac:dyDescent="0.2">
      <c r="A53" s="1511" t="s">
        <v>1896</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8" t="s">
        <v>460</v>
      </c>
      <c r="B76" s="2149"/>
      <c r="C76" s="1724">
        <f t="shared" ref="C76:K76" si="7">SUM(C47:C75)</f>
        <v>0</v>
      </c>
      <c r="D76" s="1724">
        <f t="shared" si="7"/>
        <v>0</v>
      </c>
      <c r="E76" s="1724">
        <f t="shared" si="7"/>
        <v>2743</v>
      </c>
      <c r="F76" s="1724">
        <f t="shared" si="7"/>
        <v>0</v>
      </c>
      <c r="G76" s="1724">
        <f t="shared" si="7"/>
        <v>0</v>
      </c>
      <c r="H76" s="1724">
        <f t="shared" si="7"/>
        <v>0</v>
      </c>
      <c r="I76" s="1724">
        <f t="shared" si="7"/>
        <v>1357</v>
      </c>
      <c r="J76" s="1724">
        <f t="shared" si="7"/>
        <v>0</v>
      </c>
      <c r="K76" s="1724">
        <f t="shared" si="7"/>
        <v>0</v>
      </c>
      <c r="L76" s="524"/>
    </row>
    <row r="77" spans="1:12" ht="14.25" thickTop="1" thickBot="1" x14ac:dyDescent="0.25">
      <c r="A77" s="2150" t="s">
        <v>1239</v>
      </c>
      <c r="B77" s="2151"/>
      <c r="C77" s="1724">
        <f t="shared" ref="C77:K77" si="8">C44-C76</f>
        <v>2743</v>
      </c>
      <c r="D77" s="1724">
        <f t="shared" si="8"/>
        <v>1357</v>
      </c>
      <c r="E77" s="1724">
        <f t="shared" si="8"/>
        <v>-2743</v>
      </c>
      <c r="F77" s="1724">
        <f t="shared" si="8"/>
        <v>0</v>
      </c>
      <c r="G77" s="1724">
        <f t="shared" si="8"/>
        <v>0</v>
      </c>
      <c r="H77" s="1724">
        <f t="shared" si="8"/>
        <v>0</v>
      </c>
      <c r="I77" s="1724">
        <f t="shared" si="8"/>
        <v>-1357</v>
      </c>
      <c r="J77" s="1724">
        <f t="shared" si="8"/>
        <v>0</v>
      </c>
      <c r="K77" s="1724">
        <f t="shared" si="8"/>
        <v>0</v>
      </c>
      <c r="L77" s="347"/>
    </row>
    <row r="78" spans="1:12" ht="21.75" customHeight="1" thickTop="1" thickBot="1" x14ac:dyDescent="0.25">
      <c r="A78" s="2154" t="s">
        <v>618</v>
      </c>
      <c r="B78" s="2155"/>
      <c r="C78" s="1723">
        <f t="shared" ref="C78:K78" si="9">C20+C77</f>
        <v>914193</v>
      </c>
      <c r="D78" s="1723">
        <f t="shared" si="9"/>
        <v>39970</v>
      </c>
      <c r="E78" s="1723">
        <f t="shared" si="9"/>
        <v>-20772</v>
      </c>
      <c r="F78" s="1723">
        <f t="shared" si="9"/>
        <v>122489</v>
      </c>
      <c r="G78" s="1723">
        <f t="shared" si="9"/>
        <v>4212</v>
      </c>
      <c r="H78" s="1723">
        <f t="shared" si="9"/>
        <v>0</v>
      </c>
      <c r="I78" s="1723">
        <f t="shared" si="9"/>
        <v>33550</v>
      </c>
      <c r="J78" s="1723">
        <f t="shared" si="9"/>
        <v>24355</v>
      </c>
      <c r="K78" s="1723">
        <f t="shared" si="9"/>
        <v>-5583</v>
      </c>
      <c r="L78" s="533"/>
    </row>
    <row r="79" spans="1:12" ht="13.5" thickTop="1" x14ac:dyDescent="0.2">
      <c r="A79" s="1515" t="s">
        <v>2070</v>
      </c>
      <c r="B79" s="534"/>
      <c r="C79" s="478">
        <v>5696605</v>
      </c>
      <c r="D79" s="535">
        <v>700538</v>
      </c>
      <c r="E79" s="535">
        <v>589911</v>
      </c>
      <c r="F79" s="535">
        <v>9587</v>
      </c>
      <c r="G79" s="535">
        <v>180504</v>
      </c>
      <c r="H79" s="535">
        <v>0</v>
      </c>
      <c r="I79" s="535">
        <v>324364</v>
      </c>
      <c r="J79" s="535">
        <v>251747</v>
      </c>
      <c r="K79" s="535">
        <v>204680</v>
      </c>
      <c r="L79" s="347"/>
    </row>
    <row r="80" spans="1:12" x14ac:dyDescent="0.2">
      <c r="A80" s="2160" t="s">
        <v>1895</v>
      </c>
      <c r="B80" s="2161"/>
      <c r="C80" s="467"/>
      <c r="D80" s="467"/>
      <c r="E80" s="467"/>
      <c r="F80" s="467"/>
      <c r="G80" s="467"/>
      <c r="H80" s="467"/>
      <c r="I80" s="467"/>
      <c r="J80" s="467"/>
      <c r="K80" s="467"/>
      <c r="L80" s="347"/>
    </row>
    <row r="81" spans="1:12" ht="13.5" thickBot="1" x14ac:dyDescent="0.25">
      <c r="A81" s="2152" t="s">
        <v>2071</v>
      </c>
      <c r="B81" s="2153"/>
      <c r="C81" s="1709">
        <f>(SUM(C78:C80))</f>
        <v>6610798</v>
      </c>
      <c r="D81" s="1709">
        <f>SUM(D78:D80)</f>
        <v>740508</v>
      </c>
      <c r="E81" s="1709">
        <f t="shared" ref="E81:K81" si="10">SUM(E78:E80)</f>
        <v>569139</v>
      </c>
      <c r="F81" s="1709">
        <f t="shared" si="10"/>
        <v>132076</v>
      </c>
      <c r="G81" s="1709">
        <f t="shared" si="10"/>
        <v>184716</v>
      </c>
      <c r="H81" s="1709">
        <f t="shared" si="10"/>
        <v>0</v>
      </c>
      <c r="I81" s="1709">
        <f t="shared" si="10"/>
        <v>357914</v>
      </c>
      <c r="J81" s="1709">
        <f t="shared" si="10"/>
        <v>276102</v>
      </c>
      <c r="K81" s="1709">
        <f t="shared" si="10"/>
        <v>199097</v>
      </c>
      <c r="L81" s="347"/>
    </row>
    <row r="82" spans="1:12" ht="0.75" customHeight="1" thickTop="1" thickBot="1" x14ac:dyDescent="0.25">
      <c r="A82" s="536" t="s">
        <v>361</v>
      </c>
      <c r="B82" s="537"/>
      <c r="C82" s="538">
        <f>(C81-C79)</f>
        <v>914193</v>
      </c>
      <c r="D82" s="538">
        <f t="shared" ref="D82:K82" si="11">(D81-D79)</f>
        <v>39970</v>
      </c>
      <c r="E82" s="538">
        <f t="shared" si="11"/>
        <v>-20772</v>
      </c>
      <c r="F82" s="538">
        <f t="shared" si="11"/>
        <v>122489</v>
      </c>
      <c r="G82" s="538">
        <f t="shared" si="11"/>
        <v>4212</v>
      </c>
      <c r="H82" s="538">
        <f t="shared" si="11"/>
        <v>0</v>
      </c>
      <c r="I82" s="538">
        <f t="shared" si="11"/>
        <v>33550</v>
      </c>
      <c r="J82" s="538">
        <f t="shared" si="11"/>
        <v>24355</v>
      </c>
      <c r="K82" s="538">
        <f t="shared" si="11"/>
        <v>-5583</v>
      </c>
    </row>
    <row r="83" spans="1:12" ht="14.25" hidden="1" thickTop="1" thickBot="1" x14ac:dyDescent="0.25">
      <c r="A83" s="539" t="s">
        <v>362</v>
      </c>
      <c r="B83" s="464"/>
      <c r="C83" s="540">
        <f>C82/C81</f>
        <v>0.13828784361585394</v>
      </c>
      <c r="D83" s="540">
        <f t="shared" ref="D83:K83" si="12">D82/D81</f>
        <v>5.3976459403544591E-2</v>
      </c>
      <c r="E83" s="540">
        <f t="shared" si="12"/>
        <v>-3.6497235297528373E-2</v>
      </c>
      <c r="F83" s="540">
        <f t="shared" si="12"/>
        <v>0.9274130046336958</v>
      </c>
      <c r="G83" s="540">
        <f t="shared" si="12"/>
        <v>2.2802572597934126E-2</v>
      </c>
      <c r="H83" s="540" t="e">
        <f t="shared" si="12"/>
        <v>#DIV/0!</v>
      </c>
      <c r="I83" s="540">
        <f t="shared" si="12"/>
        <v>9.3737601770257653E-2</v>
      </c>
      <c r="J83" s="540">
        <f t="shared" si="12"/>
        <v>8.8210154218368572E-2</v>
      </c>
      <c r="K83" s="540">
        <f t="shared" si="12"/>
        <v>-2.8041607859485576E-2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sheetPr>
  <dimension ref="A1:L286"/>
  <sheetViews>
    <sheetView showGridLines="0" defaultGridColor="0" colorId="8" zoomScaleNormal="100" zoomScaleSheetLayoutView="75" workbookViewId="0">
      <pane ySplit="2" topLeftCell="A261" activePane="bottomLeft" state="frozen"/>
      <selection activeCell="A47" sqref="A47"/>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6" t="s">
        <v>1902</v>
      </c>
      <c r="B1" s="452"/>
      <c r="C1" s="453" t="s">
        <v>445</v>
      </c>
      <c r="D1" s="453" t="s">
        <v>446</v>
      </c>
      <c r="E1" s="453" t="s">
        <v>447</v>
      </c>
      <c r="F1" s="453" t="s">
        <v>448</v>
      </c>
      <c r="G1" s="453" t="s">
        <v>449</v>
      </c>
      <c r="H1" s="453" t="s">
        <v>450</v>
      </c>
      <c r="I1" s="453" t="s">
        <v>451</v>
      </c>
      <c r="J1" s="453" t="s">
        <v>452</v>
      </c>
      <c r="K1" s="453" t="s">
        <v>780</v>
      </c>
    </row>
    <row r="2" spans="1:12" ht="36" x14ac:dyDescent="0.2">
      <c r="A2" s="215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2910342</v>
      </c>
      <c r="D5" s="481">
        <v>451944</v>
      </c>
      <c r="E5" s="466">
        <v>1005677</v>
      </c>
      <c r="F5" s="548">
        <v>187924</v>
      </c>
      <c r="G5" s="466">
        <v>38933</v>
      </c>
      <c r="H5" s="466"/>
      <c r="I5" s="466">
        <v>31879</v>
      </c>
      <c r="J5" s="467">
        <v>156487</v>
      </c>
      <c r="K5" s="466">
        <v>39266</v>
      </c>
    </row>
    <row r="6" spans="1:12" ht="15" x14ac:dyDescent="0.2">
      <c r="A6" s="463" t="s">
        <v>1761</v>
      </c>
      <c r="B6" s="470">
        <v>1130</v>
      </c>
      <c r="C6" s="466">
        <v>43373</v>
      </c>
      <c r="D6" s="466"/>
      <c r="E6" s="475"/>
      <c r="F6" s="475"/>
      <c r="G6" s="468"/>
      <c r="H6" s="468"/>
      <c r="I6" s="468"/>
      <c r="J6" s="468"/>
      <c r="K6" s="468"/>
    </row>
    <row r="7" spans="1:12" x14ac:dyDescent="0.2">
      <c r="A7" s="463" t="s">
        <v>112</v>
      </c>
      <c r="B7" s="549">
        <v>1140</v>
      </c>
      <c r="C7" s="466">
        <v>41578</v>
      </c>
      <c r="D7" s="466"/>
      <c r="E7" s="468"/>
      <c r="F7" s="467"/>
      <c r="G7" s="467"/>
      <c r="H7" s="467"/>
      <c r="I7" s="468"/>
      <c r="J7" s="468"/>
      <c r="K7" s="468"/>
    </row>
    <row r="8" spans="1:12" x14ac:dyDescent="0.2">
      <c r="A8" s="463" t="s">
        <v>433</v>
      </c>
      <c r="B8" s="470">
        <v>1150</v>
      </c>
      <c r="C8" s="475"/>
      <c r="D8" s="475"/>
      <c r="E8" s="477"/>
      <c r="F8" s="477"/>
      <c r="G8" s="481">
        <v>178933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2995293</v>
      </c>
      <c r="D12" s="1728">
        <f t="shared" si="0"/>
        <v>451944</v>
      </c>
      <c r="E12" s="1728">
        <f t="shared" si="0"/>
        <v>1005677</v>
      </c>
      <c r="F12" s="1728">
        <f t="shared" si="0"/>
        <v>187924</v>
      </c>
      <c r="G12" s="1728">
        <f t="shared" si="0"/>
        <v>217866</v>
      </c>
      <c r="H12" s="1728">
        <f t="shared" si="0"/>
        <v>0</v>
      </c>
      <c r="I12" s="1728">
        <f t="shared" si="0"/>
        <v>31879</v>
      </c>
      <c r="J12" s="1728">
        <f t="shared" si="0"/>
        <v>156487</v>
      </c>
      <c r="K12" s="1709">
        <f t="shared" si="0"/>
        <v>39266</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6843</v>
      </c>
      <c r="D14" s="466">
        <v>1041</v>
      </c>
      <c r="E14" s="466">
        <v>2312</v>
      </c>
      <c r="F14" s="466">
        <v>419</v>
      </c>
      <c r="G14" s="466">
        <v>481</v>
      </c>
      <c r="H14" s="466"/>
      <c r="I14" s="466">
        <v>67</v>
      </c>
      <c r="J14" s="467">
        <v>366</v>
      </c>
      <c r="K14" s="466">
        <v>95</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592797</v>
      </c>
      <c r="D16" s="466"/>
      <c r="E16" s="466"/>
      <c r="F16" s="466"/>
      <c r="G16" s="466">
        <v>63466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599640</v>
      </c>
      <c r="D18" s="1731">
        <f t="shared" ref="D18:K18" si="1">SUM(D14:D17)</f>
        <v>1041</v>
      </c>
      <c r="E18" s="1731">
        <f t="shared" si="1"/>
        <v>2312</v>
      </c>
      <c r="F18" s="1731">
        <f t="shared" si="1"/>
        <v>419</v>
      </c>
      <c r="G18" s="1731">
        <f t="shared" si="1"/>
        <v>63947</v>
      </c>
      <c r="H18" s="1731">
        <f t="shared" si="1"/>
        <v>0</v>
      </c>
      <c r="I18" s="1731">
        <f t="shared" si="1"/>
        <v>67</v>
      </c>
      <c r="J18" s="1731">
        <f t="shared" si="1"/>
        <v>366</v>
      </c>
      <c r="K18" s="1732">
        <f t="shared" si="1"/>
        <v>95</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51675</v>
      </c>
      <c r="D65" s="466">
        <v>5221</v>
      </c>
      <c r="E65" s="466">
        <v>2743</v>
      </c>
      <c r="F65" s="467">
        <v>186</v>
      </c>
      <c r="G65" s="466">
        <v>647</v>
      </c>
      <c r="H65" s="466"/>
      <c r="I65" s="466">
        <v>2961</v>
      </c>
      <c r="J65" s="467">
        <v>1741</v>
      </c>
      <c r="K65" s="466">
        <v>1647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51675</v>
      </c>
      <c r="D67" s="1709">
        <f t="shared" ref="D67:K67" si="2">SUM(D65:D66)</f>
        <v>5221</v>
      </c>
      <c r="E67" s="1709">
        <f t="shared" si="2"/>
        <v>2743</v>
      </c>
      <c r="F67" s="1709">
        <f t="shared" si="2"/>
        <v>186</v>
      </c>
      <c r="G67" s="1709">
        <f t="shared" si="2"/>
        <v>647</v>
      </c>
      <c r="H67" s="1709">
        <f t="shared" si="2"/>
        <v>0</v>
      </c>
      <c r="I67" s="1709">
        <f t="shared" si="2"/>
        <v>2961</v>
      </c>
      <c r="J67" s="1709">
        <f t="shared" si="2"/>
        <v>1741</v>
      </c>
      <c r="K67" s="1709">
        <f t="shared" si="2"/>
        <v>1647</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243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597</v>
      </c>
      <c r="D73" s="468"/>
      <c r="E73" s="468"/>
      <c r="F73" s="468"/>
      <c r="G73" s="468"/>
      <c r="H73" s="468"/>
      <c r="I73" s="468"/>
      <c r="J73" s="468"/>
      <c r="K73" s="468"/>
    </row>
    <row r="74" spans="1:11" ht="12.75" customHeight="1" x14ac:dyDescent="0.2">
      <c r="A74" s="463" t="s">
        <v>25</v>
      </c>
      <c r="B74" s="470">
        <v>1690</v>
      </c>
      <c r="C74" s="551">
        <v>8235</v>
      </c>
      <c r="D74" s="468"/>
      <c r="E74" s="468"/>
      <c r="F74" s="468"/>
      <c r="G74" s="468"/>
      <c r="H74" s="468"/>
      <c r="I74" s="468"/>
      <c r="J74" s="468"/>
      <c r="K74" s="468"/>
    </row>
    <row r="75" spans="1:11" ht="12.75" customHeight="1" thickBot="1" x14ac:dyDescent="0.25">
      <c r="A75" s="1729" t="s">
        <v>569</v>
      </c>
      <c r="B75" s="1730"/>
      <c r="C75" s="1709">
        <f>SUM(C69:C74)</f>
        <v>9075</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13538</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39254</v>
      </c>
      <c r="D79" s="466"/>
      <c r="E79" s="468"/>
      <c r="F79" s="468"/>
      <c r="G79" s="468"/>
      <c r="H79" s="468"/>
      <c r="I79" s="468"/>
      <c r="J79" s="468"/>
      <c r="K79" s="468"/>
    </row>
    <row r="80" spans="1:11" ht="12.75" customHeight="1" x14ac:dyDescent="0.2">
      <c r="A80" s="463" t="s">
        <v>572</v>
      </c>
      <c r="B80" s="470">
        <v>1730</v>
      </c>
      <c r="C80" s="551">
        <v>32</v>
      </c>
      <c r="D80" s="466"/>
      <c r="E80" s="468"/>
      <c r="F80" s="468"/>
      <c r="G80" s="468"/>
      <c r="H80" s="468"/>
      <c r="I80" s="468"/>
      <c r="J80" s="468"/>
      <c r="K80" s="468"/>
    </row>
    <row r="81" spans="1:11" ht="12.75" customHeight="1" x14ac:dyDescent="0.2">
      <c r="A81" s="463" t="s">
        <v>26</v>
      </c>
      <c r="B81" s="470">
        <v>1790</v>
      </c>
      <c r="C81" s="551">
        <v>150</v>
      </c>
      <c r="D81" s="466"/>
      <c r="E81" s="468"/>
      <c r="F81" s="468"/>
      <c r="G81" s="468"/>
      <c r="H81" s="468"/>
      <c r="I81" s="468"/>
      <c r="J81" s="468"/>
      <c r="K81" s="468"/>
    </row>
    <row r="82" spans="1:11" ht="12.75" customHeight="1" thickBot="1" x14ac:dyDescent="0.25">
      <c r="A82" s="1729" t="s">
        <v>259</v>
      </c>
      <c r="B82" s="1730"/>
      <c r="C82" s="1728">
        <f>SUM(C77:C81)</f>
        <v>52974</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1640</v>
      </c>
      <c r="E95" s="521"/>
      <c r="F95" s="521"/>
      <c r="G95" s="521"/>
      <c r="H95" s="521"/>
      <c r="I95" s="521"/>
      <c r="J95" s="521"/>
      <c r="K95" s="521"/>
    </row>
    <row r="96" spans="1:11" ht="12.75" customHeight="1" x14ac:dyDescent="0.2">
      <c r="A96" s="463" t="s">
        <v>409</v>
      </c>
      <c r="B96" s="470">
        <v>1920</v>
      </c>
      <c r="C96" s="551">
        <v>7400</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14234</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645</v>
      </c>
      <c r="D107" s="466"/>
      <c r="E107" s="466"/>
      <c r="F107" s="466"/>
      <c r="G107" s="466"/>
      <c r="H107" s="466"/>
      <c r="I107" s="466"/>
      <c r="J107" s="467"/>
      <c r="K107" s="466"/>
    </row>
    <row r="108" spans="1:12" ht="12.75" customHeight="1" thickBot="1" x14ac:dyDescent="0.25">
      <c r="A108" s="1729" t="s">
        <v>508</v>
      </c>
      <c r="B108" s="1733"/>
      <c r="C108" s="1728">
        <f>SUM(C95:C107)</f>
        <v>8045</v>
      </c>
      <c r="D108" s="1728">
        <f t="shared" ref="D108:K108" si="3">SUM(D95:D107)</f>
        <v>1640</v>
      </c>
      <c r="E108" s="1728">
        <f t="shared" si="3"/>
        <v>0</v>
      </c>
      <c r="F108" s="1728">
        <f t="shared" si="3"/>
        <v>0</v>
      </c>
      <c r="G108" s="1728">
        <f t="shared" si="3"/>
        <v>0</v>
      </c>
      <c r="H108" s="1728">
        <f t="shared" si="3"/>
        <v>0</v>
      </c>
      <c r="I108" s="1728">
        <f t="shared" si="3"/>
        <v>0</v>
      </c>
      <c r="J108" s="1728">
        <f t="shared" si="3"/>
        <v>14234</v>
      </c>
      <c r="K108" s="1709">
        <f t="shared" si="3"/>
        <v>0</v>
      </c>
    </row>
    <row r="109" spans="1:12" ht="14.25" thickTop="1" thickBot="1" x14ac:dyDescent="0.25">
      <c r="A109" s="1734" t="s">
        <v>266</v>
      </c>
      <c r="B109" s="1735" t="s">
        <v>591</v>
      </c>
      <c r="C109" s="1736">
        <f t="shared" ref="C109:K109" si="4">SUM(C12,C18,C40,C63,C67,C75,C82,C93,C108,)</f>
        <v>3716702</v>
      </c>
      <c r="D109" s="1736">
        <f t="shared" si="4"/>
        <v>459846</v>
      </c>
      <c r="E109" s="1736">
        <f t="shared" si="4"/>
        <v>1010732</v>
      </c>
      <c r="F109" s="1736">
        <f t="shared" si="4"/>
        <v>188529</v>
      </c>
      <c r="G109" s="1736">
        <f t="shared" si="4"/>
        <v>282460</v>
      </c>
      <c r="H109" s="1736">
        <f t="shared" si="4"/>
        <v>0</v>
      </c>
      <c r="I109" s="1736">
        <f t="shared" si="4"/>
        <v>34907</v>
      </c>
      <c r="J109" s="1736">
        <f t="shared" si="4"/>
        <v>172828</v>
      </c>
      <c r="K109" s="1723">
        <f t="shared" si="4"/>
        <v>41008</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3633367</v>
      </c>
      <c r="D117" s="481">
        <v>791121</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7" t="s">
        <v>1901</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3633367</v>
      </c>
      <c r="D121" s="1728">
        <f t="shared" si="5"/>
        <v>791121</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198352</v>
      </c>
      <c r="D124" s="561"/>
      <c r="E124" s="468"/>
      <c r="F124" s="548"/>
      <c r="G124" s="468"/>
      <c r="H124" s="468"/>
      <c r="I124" s="468"/>
      <c r="J124" s="468"/>
      <c r="K124" s="468"/>
    </row>
    <row r="125" spans="1:11" ht="12.75" customHeight="1" x14ac:dyDescent="0.2">
      <c r="A125" s="463" t="s">
        <v>1521</v>
      </c>
      <c r="B125" s="562">
        <v>3105</v>
      </c>
      <c r="C125" s="466">
        <v>70801</v>
      </c>
      <c r="D125" s="561"/>
      <c r="E125" s="468"/>
      <c r="F125" s="466"/>
      <c r="G125" s="468"/>
      <c r="H125" s="468"/>
      <c r="I125" s="468"/>
      <c r="J125" s="468"/>
      <c r="K125" s="468"/>
    </row>
    <row r="126" spans="1:11" ht="12.75" customHeight="1" x14ac:dyDescent="0.2">
      <c r="A126" s="463" t="s">
        <v>922</v>
      </c>
      <c r="B126" s="562">
        <v>3110</v>
      </c>
      <c r="C126" s="551">
        <v>70026</v>
      </c>
      <c r="D126" s="466"/>
      <c r="E126" s="468"/>
      <c r="F126" s="466"/>
      <c r="G126" s="468"/>
      <c r="H126" s="468"/>
      <c r="I126" s="468"/>
      <c r="J126" s="468"/>
      <c r="K126" s="468"/>
    </row>
    <row r="127" spans="1:11" ht="12.75" customHeight="1" x14ac:dyDescent="0.2">
      <c r="A127" s="463" t="s">
        <v>107</v>
      </c>
      <c r="B127" s="562">
        <v>3120</v>
      </c>
      <c r="C127" s="466">
        <v>11230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2342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352751</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2143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2143</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6397</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343</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206081</v>
      </c>
      <c r="G151" s="467"/>
      <c r="H151" s="468"/>
      <c r="I151" s="468"/>
      <c r="J151" s="468"/>
      <c r="K151" s="468"/>
    </row>
    <row r="152" spans="1:11" ht="12.75" customHeight="1" x14ac:dyDescent="0.2">
      <c r="A152" s="463" t="s">
        <v>1117</v>
      </c>
      <c r="B152" s="562">
        <v>3510</v>
      </c>
      <c r="C152" s="551"/>
      <c r="D152" s="466"/>
      <c r="E152" s="561"/>
      <c r="F152" s="466">
        <v>111404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317485</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306850</v>
      </c>
      <c r="D158" s="578"/>
      <c r="E158" s="561"/>
      <c r="F158" s="576">
        <v>24000</v>
      </c>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20000</v>
      </c>
      <c r="D171" s="580"/>
      <c r="E171" s="580"/>
      <c r="F171" s="580"/>
      <c r="G171" s="581"/>
      <c r="H171" s="582"/>
      <c r="I171" s="581"/>
      <c r="J171" s="581"/>
      <c r="K171" s="582"/>
    </row>
    <row r="172" spans="1:11" ht="12.75" customHeight="1" thickTop="1" thickBot="1" x14ac:dyDescent="0.25">
      <c r="A172" s="2176" t="s">
        <v>418</v>
      </c>
      <c r="B172" s="2177"/>
      <c r="C172" s="1743">
        <f t="shared" ref="C172:K172" si="6">SUM(C131,C140,C144,C145:C149,C154,C155:C170,C171)</f>
        <v>688484</v>
      </c>
      <c r="D172" s="1743">
        <f t="shared" si="6"/>
        <v>0</v>
      </c>
      <c r="E172" s="1743">
        <f t="shared" si="6"/>
        <v>0</v>
      </c>
      <c r="F172" s="1743">
        <f t="shared" si="6"/>
        <v>341485</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4321851</v>
      </c>
      <c r="D173" s="1736">
        <f>SUM(D121,D172)</f>
        <v>791121</v>
      </c>
      <c r="E173" s="1736">
        <f>SUM(E121,E172)</f>
        <v>0</v>
      </c>
      <c r="F173" s="1736">
        <f t="shared" ref="F173:K173" si="7">SUM(F121,F172)</f>
        <v>341485</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8" t="s">
        <v>1572</v>
      </c>
      <c r="B175" s="217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2" t="s">
        <v>1764</v>
      </c>
      <c r="B178" s="2183"/>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6" t="s">
        <v>1763</v>
      </c>
      <c r="B179" s="218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4" t="s">
        <v>818</v>
      </c>
      <c r="B184" s="2185"/>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80" t="s">
        <v>1903</v>
      </c>
      <c r="B185" s="2181"/>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292598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94955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387553</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424704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424704</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14701</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14701</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14031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274378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288409</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41694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16782</v>
      </c>
      <c r="D270" s="576"/>
      <c r="E270" s="468"/>
      <c r="F270" s="576"/>
      <c r="G270" s="576"/>
      <c r="H270" s="468"/>
      <c r="I270" s="468"/>
      <c r="J270" s="468"/>
      <c r="K270" s="468"/>
    </row>
    <row r="271" spans="1:11" ht="12.75" customHeight="1" thickTop="1" thickBot="1" x14ac:dyDescent="0.25">
      <c r="A271" s="463" t="s">
        <v>395</v>
      </c>
      <c r="B271" s="470">
        <v>4992</v>
      </c>
      <c r="C271" s="575">
        <v>16866</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1190709</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1190709</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9229262</v>
      </c>
      <c r="D275" s="1736">
        <f t="shared" si="12"/>
        <v>1250967</v>
      </c>
      <c r="E275" s="1736">
        <f t="shared" si="12"/>
        <v>1010732</v>
      </c>
      <c r="F275" s="1736">
        <f t="shared" si="12"/>
        <v>530014</v>
      </c>
      <c r="G275" s="1736">
        <f t="shared" si="12"/>
        <v>282460</v>
      </c>
      <c r="H275" s="1736">
        <f t="shared" si="12"/>
        <v>0</v>
      </c>
      <c r="I275" s="1736">
        <f t="shared" si="12"/>
        <v>34907</v>
      </c>
      <c r="J275" s="1736">
        <f t="shared" si="12"/>
        <v>172828</v>
      </c>
      <c r="K275" s="1723">
        <f t="shared" si="12"/>
        <v>41008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sheetPr>
  <dimension ref="A1:N368"/>
  <sheetViews>
    <sheetView showGridLines="0" defaultGridColor="0" colorId="8" zoomScaleNormal="100" workbookViewId="0">
      <pane ySplit="2" topLeftCell="A201" activePane="bottomLeft" state="frozen"/>
      <selection activeCell="A47" sqref="A47"/>
      <selection pane="bottomLeft" activeCell="D216" sqref="D21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6"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6" t="s">
        <v>315</v>
      </c>
      <c r="B3" s="2197"/>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2720391</v>
      </c>
      <c r="D5" s="466">
        <v>475638</v>
      </c>
      <c r="E5" s="466">
        <v>19303</v>
      </c>
      <c r="F5" s="466">
        <v>155083</v>
      </c>
      <c r="G5" s="466">
        <v>41971</v>
      </c>
      <c r="H5" s="466">
        <v>74250</v>
      </c>
      <c r="I5" s="467"/>
      <c r="J5" s="467"/>
      <c r="K5" s="1692">
        <f>SUM(C5:J5)</f>
        <v>3486636</v>
      </c>
      <c r="L5" s="466">
        <v>3769405</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149687</v>
      </c>
      <c r="D7" s="467">
        <v>12455</v>
      </c>
      <c r="E7" s="467"/>
      <c r="F7" s="467">
        <v>5628</v>
      </c>
      <c r="G7" s="467">
        <v>13112</v>
      </c>
      <c r="H7" s="467"/>
      <c r="I7" s="467"/>
      <c r="J7" s="467"/>
      <c r="K7" s="1692">
        <f t="shared" ref="K7:K32" si="0">SUM(C7:J7)</f>
        <v>180882</v>
      </c>
      <c r="L7" s="466">
        <v>183510</v>
      </c>
    </row>
    <row r="8" spans="1:14" x14ac:dyDescent="0.2">
      <c r="A8" s="1525" t="s">
        <v>166</v>
      </c>
      <c r="B8" s="615">
        <v>1200</v>
      </c>
      <c r="C8" s="466">
        <v>761116</v>
      </c>
      <c r="D8" s="466">
        <v>140142</v>
      </c>
      <c r="E8" s="466">
        <v>446</v>
      </c>
      <c r="F8" s="466">
        <v>2073</v>
      </c>
      <c r="G8" s="466"/>
      <c r="H8" s="466">
        <v>180</v>
      </c>
      <c r="I8" s="467"/>
      <c r="J8" s="467"/>
      <c r="K8" s="1692">
        <f t="shared" si="0"/>
        <v>903957</v>
      </c>
      <c r="L8" s="466">
        <v>957335</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113412</v>
      </c>
      <c r="D10" s="466">
        <v>46267</v>
      </c>
      <c r="E10" s="466">
        <v>34083</v>
      </c>
      <c r="F10" s="466">
        <v>12015</v>
      </c>
      <c r="G10" s="466"/>
      <c r="H10" s="466"/>
      <c r="I10" s="467"/>
      <c r="J10" s="467"/>
      <c r="K10" s="1692">
        <f t="shared" si="0"/>
        <v>205777</v>
      </c>
      <c r="L10" s="466">
        <v>217009</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71977</v>
      </c>
      <c r="D13" s="466">
        <v>8217</v>
      </c>
      <c r="E13" s="466"/>
      <c r="F13" s="466">
        <v>3868</v>
      </c>
      <c r="G13" s="466"/>
      <c r="H13" s="466"/>
      <c r="I13" s="467"/>
      <c r="J13" s="467"/>
      <c r="K13" s="1692">
        <f t="shared" si="0"/>
        <v>84062</v>
      </c>
      <c r="L13" s="466">
        <v>89545</v>
      </c>
    </row>
    <row r="14" spans="1:14" x14ac:dyDescent="0.2">
      <c r="A14" s="1525" t="s">
        <v>1020</v>
      </c>
      <c r="B14" s="615">
        <v>1500</v>
      </c>
      <c r="C14" s="466">
        <v>129529</v>
      </c>
      <c r="D14" s="466">
        <v>2893</v>
      </c>
      <c r="E14" s="466">
        <v>20918</v>
      </c>
      <c r="F14" s="466">
        <v>44380</v>
      </c>
      <c r="G14" s="466">
        <v>12833</v>
      </c>
      <c r="H14" s="466">
        <v>6715</v>
      </c>
      <c r="I14" s="467"/>
      <c r="J14" s="467"/>
      <c r="K14" s="1692">
        <f t="shared" si="0"/>
        <v>217268</v>
      </c>
      <c r="L14" s="466">
        <v>263157</v>
      </c>
    </row>
    <row r="15" spans="1:14" x14ac:dyDescent="0.2">
      <c r="A15" s="1525" t="s">
        <v>1021</v>
      </c>
      <c r="B15" s="615">
        <v>1600</v>
      </c>
      <c r="C15" s="466">
        <v>2038</v>
      </c>
      <c r="D15" s="466">
        <v>72</v>
      </c>
      <c r="E15" s="466"/>
      <c r="F15" s="466"/>
      <c r="G15" s="466"/>
      <c r="H15" s="466"/>
      <c r="I15" s="467"/>
      <c r="J15" s="467"/>
      <c r="K15" s="1692">
        <f t="shared" si="0"/>
        <v>2110</v>
      </c>
      <c r="L15" s="466">
        <v>2110</v>
      </c>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c r="D17" s="467"/>
      <c r="E17" s="467">
        <v>7375</v>
      </c>
      <c r="F17" s="467"/>
      <c r="G17" s="467"/>
      <c r="H17" s="467"/>
      <c r="I17" s="467"/>
      <c r="J17" s="467"/>
      <c r="K17" s="1692">
        <f t="shared" si="0"/>
        <v>7375</v>
      </c>
      <c r="L17" s="466">
        <v>7400</v>
      </c>
    </row>
    <row r="18" spans="1:12" x14ac:dyDescent="0.2">
      <c r="A18" s="1525" t="s">
        <v>1148</v>
      </c>
      <c r="B18" s="615">
        <v>1800</v>
      </c>
      <c r="C18" s="466">
        <v>39274</v>
      </c>
      <c r="D18" s="466"/>
      <c r="E18" s="466">
        <v>1038</v>
      </c>
      <c r="F18" s="466"/>
      <c r="G18" s="466"/>
      <c r="H18" s="466"/>
      <c r="I18" s="467"/>
      <c r="J18" s="467"/>
      <c r="K18" s="1692">
        <f t="shared" si="0"/>
        <v>40312</v>
      </c>
      <c r="L18" s="466">
        <v>44531</v>
      </c>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v>209398</v>
      </c>
      <c r="I22" s="617"/>
      <c r="J22" s="477"/>
      <c r="K22" s="1692">
        <f t="shared" si="0"/>
        <v>209398</v>
      </c>
      <c r="L22" s="471">
        <v>215342</v>
      </c>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3987424</v>
      </c>
      <c r="D33" s="1691">
        <f t="shared" ref="D33:L33" si="1">SUM(D5:D32)</f>
        <v>685684</v>
      </c>
      <c r="E33" s="1691">
        <f t="shared" si="1"/>
        <v>83163</v>
      </c>
      <c r="F33" s="1691">
        <f t="shared" si="1"/>
        <v>223047</v>
      </c>
      <c r="G33" s="1691">
        <f t="shared" si="1"/>
        <v>67916</v>
      </c>
      <c r="H33" s="1691">
        <f t="shared" si="1"/>
        <v>290543</v>
      </c>
      <c r="I33" s="1691">
        <f t="shared" si="1"/>
        <v>0</v>
      </c>
      <c r="J33" s="1691">
        <f t="shared" si="1"/>
        <v>0</v>
      </c>
      <c r="K33" s="1691">
        <f t="shared" si="1"/>
        <v>5337777</v>
      </c>
      <c r="L33" s="1691">
        <f t="shared" si="1"/>
        <v>5749344</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142544</v>
      </c>
      <c r="D36" s="481">
        <v>22245</v>
      </c>
      <c r="E36" s="481">
        <v>2339</v>
      </c>
      <c r="F36" s="481">
        <v>279</v>
      </c>
      <c r="G36" s="481"/>
      <c r="H36" s="481"/>
      <c r="I36" s="467"/>
      <c r="J36" s="467"/>
      <c r="K36" s="1692">
        <f t="shared" ref="K36:K41" si="2">SUM(C36:J36)</f>
        <v>167407</v>
      </c>
      <c r="L36" s="466">
        <v>169954</v>
      </c>
    </row>
    <row r="37" spans="1:14" x14ac:dyDescent="0.2">
      <c r="A37" s="1525" t="s">
        <v>1151</v>
      </c>
      <c r="B37" s="615">
        <v>2120</v>
      </c>
      <c r="C37" s="466">
        <v>70495</v>
      </c>
      <c r="D37" s="466">
        <v>9976</v>
      </c>
      <c r="E37" s="466">
        <v>37</v>
      </c>
      <c r="F37" s="466"/>
      <c r="G37" s="466"/>
      <c r="H37" s="466"/>
      <c r="I37" s="467"/>
      <c r="J37" s="467"/>
      <c r="K37" s="1692">
        <f t="shared" si="2"/>
        <v>80508</v>
      </c>
      <c r="L37" s="466">
        <v>82978</v>
      </c>
    </row>
    <row r="38" spans="1:14" x14ac:dyDescent="0.2">
      <c r="A38" s="1525" t="s">
        <v>207</v>
      </c>
      <c r="B38" s="615">
        <v>2130</v>
      </c>
      <c r="C38" s="466">
        <v>154452</v>
      </c>
      <c r="D38" s="466">
        <v>44564</v>
      </c>
      <c r="E38" s="466">
        <v>82425</v>
      </c>
      <c r="F38" s="466">
        <v>732</v>
      </c>
      <c r="G38" s="466"/>
      <c r="H38" s="466">
        <v>84</v>
      </c>
      <c r="I38" s="467"/>
      <c r="J38" s="467"/>
      <c r="K38" s="1692">
        <f t="shared" si="2"/>
        <v>282257</v>
      </c>
      <c r="L38" s="466">
        <v>284791</v>
      </c>
    </row>
    <row r="39" spans="1:14" x14ac:dyDescent="0.2">
      <c r="A39" s="1525" t="s">
        <v>208</v>
      </c>
      <c r="B39" s="615">
        <v>2140</v>
      </c>
      <c r="C39" s="466">
        <v>74751</v>
      </c>
      <c r="D39" s="466">
        <v>9123</v>
      </c>
      <c r="E39" s="466">
        <v>714</v>
      </c>
      <c r="F39" s="466">
        <v>2360</v>
      </c>
      <c r="G39" s="466"/>
      <c r="H39" s="466">
        <v>442</v>
      </c>
      <c r="I39" s="467"/>
      <c r="J39" s="467"/>
      <c r="K39" s="1692">
        <f t="shared" si="2"/>
        <v>87390</v>
      </c>
      <c r="L39" s="466">
        <v>88878</v>
      </c>
    </row>
    <row r="40" spans="1:14" x14ac:dyDescent="0.2">
      <c r="A40" s="1525" t="s">
        <v>209</v>
      </c>
      <c r="B40" s="615">
        <v>2150</v>
      </c>
      <c r="C40" s="466">
        <v>80309</v>
      </c>
      <c r="D40" s="466">
        <v>3605</v>
      </c>
      <c r="E40" s="466">
        <v>1026</v>
      </c>
      <c r="F40" s="466">
        <v>1778</v>
      </c>
      <c r="G40" s="466"/>
      <c r="H40" s="466"/>
      <c r="I40" s="467"/>
      <c r="J40" s="467"/>
      <c r="K40" s="1692">
        <f t="shared" si="2"/>
        <v>86718</v>
      </c>
      <c r="L40" s="466">
        <v>91701</v>
      </c>
    </row>
    <row r="41" spans="1:14" x14ac:dyDescent="0.2">
      <c r="A41" s="1525" t="s">
        <v>1768</v>
      </c>
      <c r="B41" s="615">
        <v>2190</v>
      </c>
      <c r="C41" s="466">
        <v>16381</v>
      </c>
      <c r="D41" s="466">
        <v>578</v>
      </c>
      <c r="E41" s="466"/>
      <c r="F41" s="466"/>
      <c r="G41" s="466"/>
      <c r="H41" s="466"/>
      <c r="I41" s="467"/>
      <c r="J41" s="467"/>
      <c r="K41" s="1692">
        <f t="shared" si="2"/>
        <v>16959</v>
      </c>
      <c r="L41" s="466">
        <v>21595</v>
      </c>
    </row>
    <row r="42" spans="1:14" ht="12.75" customHeight="1" thickBot="1" x14ac:dyDescent="0.25">
      <c r="A42" s="1689" t="s">
        <v>581</v>
      </c>
      <c r="B42" s="1690" t="s">
        <v>740</v>
      </c>
      <c r="C42" s="1691">
        <f>SUM(C36:C41)</f>
        <v>538932</v>
      </c>
      <c r="D42" s="1691">
        <f t="shared" ref="D42:L42" si="3">SUM(D36:D41)</f>
        <v>90091</v>
      </c>
      <c r="E42" s="1691">
        <f t="shared" si="3"/>
        <v>86541</v>
      </c>
      <c r="F42" s="1691">
        <f t="shared" si="3"/>
        <v>5149</v>
      </c>
      <c r="G42" s="1691">
        <f t="shared" si="3"/>
        <v>0</v>
      </c>
      <c r="H42" s="1691">
        <f t="shared" si="3"/>
        <v>526</v>
      </c>
      <c r="I42" s="1691">
        <f t="shared" si="3"/>
        <v>0</v>
      </c>
      <c r="J42" s="1691">
        <f t="shared" si="3"/>
        <v>0</v>
      </c>
      <c r="K42" s="1691">
        <f t="shared" si="3"/>
        <v>721239</v>
      </c>
      <c r="L42" s="1691">
        <f t="shared" si="3"/>
        <v>739897</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380</v>
      </c>
      <c r="D44" s="481"/>
      <c r="E44" s="481">
        <v>32572</v>
      </c>
      <c r="F44" s="481">
        <v>5658</v>
      </c>
      <c r="G44" s="481"/>
      <c r="H44" s="481"/>
      <c r="I44" s="467"/>
      <c r="J44" s="467"/>
      <c r="K44" s="1693">
        <f>SUM(C44:J44)</f>
        <v>38610</v>
      </c>
      <c r="L44" s="481">
        <v>47270</v>
      </c>
    </row>
    <row r="45" spans="1:14" x14ac:dyDescent="0.2">
      <c r="A45" s="1525" t="s">
        <v>869</v>
      </c>
      <c r="B45" s="615">
        <v>2220</v>
      </c>
      <c r="C45" s="466">
        <v>169144</v>
      </c>
      <c r="D45" s="466">
        <v>43452</v>
      </c>
      <c r="E45" s="466"/>
      <c r="F45" s="466">
        <v>2597</v>
      </c>
      <c r="G45" s="466"/>
      <c r="H45" s="466"/>
      <c r="I45" s="467"/>
      <c r="J45" s="467"/>
      <c r="K45" s="1693">
        <f>SUM(C45:J45)</f>
        <v>215193</v>
      </c>
      <c r="L45" s="466">
        <v>215120</v>
      </c>
    </row>
    <row r="46" spans="1:14" x14ac:dyDescent="0.2">
      <c r="A46" s="1525" t="s">
        <v>870</v>
      </c>
      <c r="B46" s="615">
        <v>2230</v>
      </c>
      <c r="C46" s="466"/>
      <c r="D46" s="466"/>
      <c r="E46" s="466">
        <v>2913</v>
      </c>
      <c r="F46" s="466"/>
      <c r="G46" s="466"/>
      <c r="H46" s="466"/>
      <c r="I46" s="467"/>
      <c r="J46" s="467"/>
      <c r="K46" s="1693">
        <f>SUM(C46:J46)</f>
        <v>2913</v>
      </c>
      <c r="L46" s="466">
        <v>1000</v>
      </c>
    </row>
    <row r="47" spans="1:14" ht="12.75" customHeight="1" thickBot="1" x14ac:dyDescent="0.25">
      <c r="A47" s="1689" t="s">
        <v>582</v>
      </c>
      <c r="B47" s="1690" t="s">
        <v>32</v>
      </c>
      <c r="C47" s="1691">
        <f>SUM(C44:C46)</f>
        <v>169524</v>
      </c>
      <c r="D47" s="1691">
        <f t="shared" ref="D47:K47" si="4">SUM(D44:D46)</f>
        <v>43452</v>
      </c>
      <c r="E47" s="1691">
        <f t="shared" si="4"/>
        <v>35485</v>
      </c>
      <c r="F47" s="1691">
        <f t="shared" si="4"/>
        <v>8255</v>
      </c>
      <c r="G47" s="1691">
        <f t="shared" si="4"/>
        <v>0</v>
      </c>
      <c r="H47" s="1691">
        <f t="shared" si="4"/>
        <v>0</v>
      </c>
      <c r="I47" s="1691">
        <f t="shared" si="4"/>
        <v>0</v>
      </c>
      <c r="J47" s="1691">
        <f t="shared" si="4"/>
        <v>0</v>
      </c>
      <c r="K47" s="1691">
        <f t="shared" si="4"/>
        <v>256716</v>
      </c>
      <c r="L47" s="1691">
        <f>SUM(L44:L46)</f>
        <v>263390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1371</v>
      </c>
      <c r="D49" s="481"/>
      <c r="E49" s="481">
        <v>14987</v>
      </c>
      <c r="F49" s="481">
        <v>13583</v>
      </c>
      <c r="G49" s="481"/>
      <c r="H49" s="481">
        <v>19039</v>
      </c>
      <c r="I49" s="467"/>
      <c r="J49" s="467"/>
      <c r="K49" s="1693">
        <f>SUM(C49:J49)</f>
        <v>48980</v>
      </c>
      <c r="L49" s="481">
        <v>62746</v>
      </c>
    </row>
    <row r="50" spans="1:14" x14ac:dyDescent="0.2">
      <c r="A50" s="1525" t="s">
        <v>872</v>
      </c>
      <c r="B50" s="615">
        <v>2320</v>
      </c>
      <c r="C50" s="466">
        <v>180579</v>
      </c>
      <c r="D50" s="466">
        <v>47165</v>
      </c>
      <c r="E50" s="466">
        <v>5232</v>
      </c>
      <c r="F50" s="466">
        <v>5768</v>
      </c>
      <c r="G50" s="466"/>
      <c r="H50" s="466">
        <v>1022</v>
      </c>
      <c r="I50" s="467"/>
      <c r="J50" s="467"/>
      <c r="K50" s="1693">
        <f>SUM(C50:J50)</f>
        <v>239766</v>
      </c>
      <c r="L50" s="466">
        <v>242562</v>
      </c>
    </row>
    <row r="51" spans="1:14" x14ac:dyDescent="0.2">
      <c r="A51" s="1525" t="s">
        <v>44</v>
      </c>
      <c r="B51" s="615">
        <v>2330</v>
      </c>
      <c r="C51" s="466">
        <v>3500</v>
      </c>
      <c r="D51" s="466"/>
      <c r="E51" s="466"/>
      <c r="F51" s="466"/>
      <c r="G51" s="466"/>
      <c r="H51" s="466"/>
      <c r="I51" s="467"/>
      <c r="J51" s="467"/>
      <c r="K51" s="1693">
        <f>SUM(C51:J51)</f>
        <v>3500</v>
      </c>
      <c r="L51" s="466">
        <v>3500</v>
      </c>
    </row>
    <row r="52" spans="1:14" ht="22.5" x14ac:dyDescent="0.2">
      <c r="A52" s="1526" t="s">
        <v>316</v>
      </c>
      <c r="B52" s="628" t="s">
        <v>384</v>
      </c>
      <c r="C52" s="474"/>
      <c r="D52" s="474"/>
      <c r="E52" s="474">
        <v>1393</v>
      </c>
      <c r="F52" s="474"/>
      <c r="G52" s="474"/>
      <c r="H52" s="474"/>
      <c r="I52" s="474"/>
      <c r="J52" s="474"/>
      <c r="K52" s="1693">
        <f>SUM(C52:J52)</f>
        <v>1393</v>
      </c>
      <c r="L52" s="474">
        <v>6000</v>
      </c>
    </row>
    <row r="53" spans="1:14" ht="12.75" customHeight="1" thickBot="1" x14ac:dyDescent="0.25">
      <c r="A53" s="1689" t="s">
        <v>741</v>
      </c>
      <c r="B53" s="1690" t="s">
        <v>33</v>
      </c>
      <c r="C53" s="1691">
        <f>SUM(C49:C52)</f>
        <v>185450</v>
      </c>
      <c r="D53" s="1691">
        <f t="shared" ref="D53:L53" si="5">SUM(D49:D52)</f>
        <v>47165</v>
      </c>
      <c r="E53" s="1691">
        <f t="shared" si="5"/>
        <v>21612</v>
      </c>
      <c r="F53" s="1691">
        <f t="shared" si="5"/>
        <v>19351</v>
      </c>
      <c r="G53" s="1691">
        <f t="shared" si="5"/>
        <v>0</v>
      </c>
      <c r="H53" s="1691">
        <f t="shared" si="5"/>
        <v>20061</v>
      </c>
      <c r="I53" s="1691">
        <f t="shared" si="5"/>
        <v>0</v>
      </c>
      <c r="J53" s="1691">
        <f t="shared" si="5"/>
        <v>0</v>
      </c>
      <c r="K53" s="1691">
        <f t="shared" si="5"/>
        <v>293639</v>
      </c>
      <c r="L53" s="1691">
        <f t="shared" si="5"/>
        <v>314808</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588309</v>
      </c>
      <c r="D55" s="481">
        <v>151076</v>
      </c>
      <c r="E55" s="481">
        <v>19996</v>
      </c>
      <c r="F55" s="481">
        <v>1748</v>
      </c>
      <c r="G55" s="481"/>
      <c r="H55" s="481">
        <v>3533</v>
      </c>
      <c r="I55" s="467"/>
      <c r="J55" s="467"/>
      <c r="K55" s="1693">
        <f>SUM(C55:J55)</f>
        <v>764662</v>
      </c>
      <c r="L55" s="481">
        <v>787988</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588309</v>
      </c>
      <c r="D57" s="1695">
        <f t="shared" ref="D57:K57" si="6">SUM(D55:D56)</f>
        <v>151076</v>
      </c>
      <c r="E57" s="1695">
        <f t="shared" si="6"/>
        <v>19996</v>
      </c>
      <c r="F57" s="1695">
        <f t="shared" si="6"/>
        <v>1748</v>
      </c>
      <c r="G57" s="1695">
        <f t="shared" si="6"/>
        <v>0</v>
      </c>
      <c r="H57" s="1695">
        <f t="shared" si="6"/>
        <v>3533</v>
      </c>
      <c r="I57" s="1695">
        <f t="shared" si="6"/>
        <v>0</v>
      </c>
      <c r="J57" s="1695">
        <f t="shared" si="6"/>
        <v>0</v>
      </c>
      <c r="K57" s="1695">
        <f t="shared" si="6"/>
        <v>764662</v>
      </c>
      <c r="L57" s="1691">
        <f>SUM(L55:L56)</f>
        <v>787988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33377</v>
      </c>
      <c r="D59" s="481">
        <v>10369</v>
      </c>
      <c r="E59" s="481">
        <v>4177</v>
      </c>
      <c r="F59" s="481">
        <v>3143</v>
      </c>
      <c r="G59" s="481"/>
      <c r="H59" s="481">
        <v>225</v>
      </c>
      <c r="I59" s="467"/>
      <c r="J59" s="467"/>
      <c r="K59" s="1693">
        <f t="shared" ref="K59:K64" si="7">SUM(C59:J59)</f>
        <v>51291</v>
      </c>
      <c r="L59" s="481">
        <v>52022</v>
      </c>
      <c r="M59" s="610"/>
      <c r="N59" s="610"/>
    </row>
    <row r="60" spans="1:14" s="343" customFormat="1" x14ac:dyDescent="0.2">
      <c r="A60" s="1525" t="s">
        <v>483</v>
      </c>
      <c r="B60" s="615">
        <v>2520</v>
      </c>
      <c r="C60" s="466">
        <v>33377</v>
      </c>
      <c r="D60" s="466">
        <v>8650</v>
      </c>
      <c r="E60" s="466">
        <v>12000</v>
      </c>
      <c r="F60" s="466">
        <v>510</v>
      </c>
      <c r="G60" s="466"/>
      <c r="H60" s="466"/>
      <c r="I60" s="467"/>
      <c r="J60" s="467"/>
      <c r="K60" s="1693">
        <f t="shared" si="7"/>
        <v>54537</v>
      </c>
      <c r="L60" s="466">
        <v>63712</v>
      </c>
      <c r="M60" s="610"/>
      <c r="N60" s="610"/>
    </row>
    <row r="61" spans="1:14" s="343" customFormat="1" x14ac:dyDescent="0.2">
      <c r="A61" s="1525" t="s">
        <v>206</v>
      </c>
      <c r="B61" s="615">
        <v>2540</v>
      </c>
      <c r="C61" s="466"/>
      <c r="D61" s="466"/>
      <c r="E61" s="466">
        <v>8000</v>
      </c>
      <c r="F61" s="466">
        <v>5000</v>
      </c>
      <c r="G61" s="466">
        <v>40710</v>
      </c>
      <c r="H61" s="466"/>
      <c r="I61" s="467"/>
      <c r="J61" s="467"/>
      <c r="K61" s="1693">
        <f t="shared" si="7"/>
        <v>53710</v>
      </c>
      <c r="L61" s="466">
        <v>66299</v>
      </c>
      <c r="M61" s="610"/>
      <c r="N61" s="610"/>
    </row>
    <row r="62" spans="1:14" s="343" customFormat="1" x14ac:dyDescent="0.2">
      <c r="A62" s="1525" t="s">
        <v>1010</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162030</v>
      </c>
      <c r="D63" s="466">
        <v>9016</v>
      </c>
      <c r="E63" s="466">
        <v>14100</v>
      </c>
      <c r="F63" s="466">
        <v>178579</v>
      </c>
      <c r="G63" s="466">
        <v>24981</v>
      </c>
      <c r="H63" s="466">
        <v>138</v>
      </c>
      <c r="I63" s="467"/>
      <c r="J63" s="467"/>
      <c r="K63" s="1693">
        <f t="shared" si="7"/>
        <v>388844</v>
      </c>
      <c r="L63" s="466">
        <v>411394</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228784</v>
      </c>
      <c r="D65" s="1691">
        <f t="shared" ref="D65:L65" si="8">SUM(D59:D64)</f>
        <v>28035</v>
      </c>
      <c r="E65" s="1691">
        <f t="shared" si="8"/>
        <v>38277</v>
      </c>
      <c r="F65" s="1691">
        <f t="shared" si="8"/>
        <v>187232</v>
      </c>
      <c r="G65" s="1691">
        <f t="shared" si="8"/>
        <v>65691</v>
      </c>
      <c r="H65" s="1691">
        <f t="shared" si="8"/>
        <v>363</v>
      </c>
      <c r="I65" s="1691">
        <f t="shared" si="8"/>
        <v>0</v>
      </c>
      <c r="J65" s="1691">
        <f t="shared" si="8"/>
        <v>0</v>
      </c>
      <c r="K65" s="1691">
        <f t="shared" si="8"/>
        <v>548382</v>
      </c>
      <c r="L65" s="1691">
        <f t="shared" si="8"/>
        <v>593427</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v>19380</v>
      </c>
      <c r="D69" s="466">
        <v>19352</v>
      </c>
      <c r="E69" s="466">
        <v>73999</v>
      </c>
      <c r="F69" s="466">
        <v>20030</v>
      </c>
      <c r="G69" s="466">
        <v>41610</v>
      </c>
      <c r="H69" s="466"/>
      <c r="I69" s="467"/>
      <c r="J69" s="467"/>
      <c r="K69" s="1693">
        <f>SUM(C69:J69)</f>
        <v>174371</v>
      </c>
      <c r="L69" s="466">
        <v>184445</v>
      </c>
      <c r="M69" s="610"/>
      <c r="N69" s="610"/>
    </row>
    <row r="70" spans="1:14" s="343" customFormat="1" x14ac:dyDescent="0.2">
      <c r="A70" s="1525" t="s">
        <v>423</v>
      </c>
      <c r="B70" s="615">
        <v>2640</v>
      </c>
      <c r="C70" s="466"/>
      <c r="D70" s="466"/>
      <c r="E70" s="466"/>
      <c r="F70" s="466"/>
      <c r="G70" s="466"/>
      <c r="H70" s="466"/>
      <c r="I70" s="467"/>
      <c r="J70" s="467"/>
      <c r="K70" s="1693">
        <f>SUM(C70:J70)</f>
        <v>0</v>
      </c>
      <c r="L70" s="466"/>
      <c r="M70" s="610"/>
      <c r="N70" s="610"/>
    </row>
    <row r="71" spans="1:14" s="343" customFormat="1" x14ac:dyDescent="0.2">
      <c r="A71" s="1525" t="s">
        <v>424</v>
      </c>
      <c r="B71" s="615">
        <v>2660</v>
      </c>
      <c r="C71" s="466">
        <v>40671</v>
      </c>
      <c r="D71" s="466">
        <v>8421</v>
      </c>
      <c r="E71" s="466">
        <v>5646</v>
      </c>
      <c r="F71" s="466">
        <v>807</v>
      </c>
      <c r="G71" s="466"/>
      <c r="H71" s="466"/>
      <c r="I71" s="467"/>
      <c r="J71" s="467"/>
      <c r="K71" s="1693">
        <f>SUM(C71:J71)</f>
        <v>55545</v>
      </c>
      <c r="L71" s="466">
        <v>52555</v>
      </c>
      <c r="M71" s="610"/>
      <c r="N71" s="610"/>
    </row>
    <row r="72" spans="1:14" s="343" customFormat="1" ht="12.75" customHeight="1" thickBot="1" x14ac:dyDescent="0.25">
      <c r="A72" s="1689" t="s">
        <v>37</v>
      </c>
      <c r="B72" s="1696" t="s">
        <v>36</v>
      </c>
      <c r="C72" s="1691">
        <f>SUM(C67:C71)</f>
        <v>60051</v>
      </c>
      <c r="D72" s="1691">
        <f t="shared" ref="D72:K72" si="9">SUM(D67:D71)</f>
        <v>27773</v>
      </c>
      <c r="E72" s="1691">
        <f t="shared" si="9"/>
        <v>79645</v>
      </c>
      <c r="F72" s="1691">
        <f t="shared" si="9"/>
        <v>20837</v>
      </c>
      <c r="G72" s="1691">
        <f t="shared" si="9"/>
        <v>41610</v>
      </c>
      <c r="H72" s="1691">
        <f t="shared" si="9"/>
        <v>0</v>
      </c>
      <c r="I72" s="1691">
        <f t="shared" si="9"/>
        <v>0</v>
      </c>
      <c r="J72" s="1691">
        <f t="shared" si="9"/>
        <v>0</v>
      </c>
      <c r="K72" s="1691">
        <f t="shared" si="9"/>
        <v>229916</v>
      </c>
      <c r="L72" s="1691">
        <f>SUM(L67:L71)</f>
        <v>237000</v>
      </c>
      <c r="M72" s="610"/>
      <c r="N72" s="610"/>
    </row>
    <row r="73" spans="1:14" s="343" customFormat="1" ht="14.25" thickTop="1" thickBot="1" x14ac:dyDescent="0.25">
      <c r="A73" s="1531"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1771050</v>
      </c>
      <c r="D74" s="1698">
        <f t="shared" ref="D74:K74" si="10">SUM(D42,D47,D53,D57,D65,D72,D73)</f>
        <v>387592</v>
      </c>
      <c r="E74" s="1698">
        <f t="shared" si="10"/>
        <v>281556</v>
      </c>
      <c r="F74" s="1698">
        <f t="shared" si="10"/>
        <v>242572</v>
      </c>
      <c r="G74" s="1698">
        <f t="shared" si="10"/>
        <v>107301</v>
      </c>
      <c r="H74" s="1698">
        <f t="shared" si="10"/>
        <v>24483</v>
      </c>
      <c r="I74" s="1698">
        <f t="shared" si="10"/>
        <v>0</v>
      </c>
      <c r="J74" s="1698">
        <f t="shared" si="10"/>
        <v>0</v>
      </c>
      <c r="K74" s="1698">
        <f t="shared" si="10"/>
        <v>2814554</v>
      </c>
      <c r="L74" s="1698">
        <f>SUM(L42,L47,L53,L57,L65,L72,L73)</f>
        <v>2936510</v>
      </c>
    </row>
    <row r="75" spans="1:14" s="259" customFormat="1" ht="15.75" customHeight="1" thickTop="1" thickBot="1" x14ac:dyDescent="0.25">
      <c r="A75" s="1631" t="s">
        <v>49</v>
      </c>
      <c r="B75" s="1632" t="s">
        <v>596</v>
      </c>
      <c r="C75" s="573"/>
      <c r="D75" s="573"/>
      <c r="E75" s="573">
        <v>7990</v>
      </c>
      <c r="F75" s="573">
        <v>3468</v>
      </c>
      <c r="G75" s="573"/>
      <c r="H75" s="573"/>
      <c r="I75" s="531"/>
      <c r="J75" s="531"/>
      <c r="K75" s="1691">
        <f>SUM(C75:J75)</f>
        <v>11458</v>
      </c>
      <c r="L75" s="576">
        <v>16637</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v>16524</v>
      </c>
      <c r="F79" s="617"/>
      <c r="G79" s="617"/>
      <c r="H79" s="466">
        <v>67371</v>
      </c>
      <c r="I79" s="477"/>
      <c r="J79" s="477"/>
      <c r="K79" s="1692">
        <f t="shared" si="11"/>
        <v>83895</v>
      </c>
      <c r="L79" s="466">
        <v>89233</v>
      </c>
    </row>
    <row r="80" spans="1:14" x14ac:dyDescent="0.2">
      <c r="A80" s="1525" t="s">
        <v>323</v>
      </c>
      <c r="B80" s="615">
        <v>4130</v>
      </c>
      <c r="C80" s="617"/>
      <c r="D80" s="617"/>
      <c r="E80" s="466"/>
      <c r="F80" s="617"/>
      <c r="G80" s="617"/>
      <c r="H80" s="466"/>
      <c r="I80" s="477"/>
      <c r="J80" s="477"/>
      <c r="K80" s="1692">
        <f t="shared" si="11"/>
        <v>0</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v>1397</v>
      </c>
    </row>
    <row r="84" spans="1:12" ht="13.5" thickBot="1" x14ac:dyDescent="0.25">
      <c r="A84" s="1689" t="s">
        <v>1565</v>
      </c>
      <c r="B84" s="1699">
        <v>4100</v>
      </c>
      <c r="C84" s="617"/>
      <c r="D84" s="617"/>
      <c r="E84" s="1691">
        <f>SUM(E78:E83)</f>
        <v>16524</v>
      </c>
      <c r="F84" s="617"/>
      <c r="G84" s="617"/>
      <c r="H84" s="1691">
        <f>SUM(H78:H83)</f>
        <v>67371</v>
      </c>
      <c r="I84" s="477"/>
      <c r="J84" s="477"/>
      <c r="K84" s="1691">
        <f>SUM(K78:K83)</f>
        <v>83895</v>
      </c>
      <c r="L84" s="1691">
        <f>SUM(L78:L83)</f>
        <v>90630</v>
      </c>
    </row>
    <row r="85" spans="1:12" ht="12.75" customHeight="1" thickTop="1" thickBot="1" x14ac:dyDescent="0.25">
      <c r="A85" s="1532" t="s">
        <v>273</v>
      </c>
      <c r="B85" s="636">
        <v>4210</v>
      </c>
      <c r="C85" s="617"/>
      <c r="D85" s="617"/>
      <c r="E85" s="637"/>
      <c r="F85" s="617"/>
      <c r="G85" s="617"/>
      <c r="H85" s="535">
        <v>24745</v>
      </c>
      <c r="I85" s="477"/>
      <c r="J85" s="477"/>
      <c r="K85" s="1698">
        <f>H85</f>
        <v>24745</v>
      </c>
      <c r="L85" s="530">
        <v>24315</v>
      </c>
    </row>
    <row r="86" spans="1:12" ht="12.75" customHeight="1" thickTop="1" thickBot="1" x14ac:dyDescent="0.25">
      <c r="A86" s="1533" t="s">
        <v>723</v>
      </c>
      <c r="B86" s="638">
        <v>4220</v>
      </c>
      <c r="C86" s="617"/>
      <c r="D86" s="617"/>
      <c r="E86" s="639"/>
      <c r="F86" s="617"/>
      <c r="G86" s="617"/>
      <c r="H86" s="467">
        <v>45383</v>
      </c>
      <c r="I86" s="477"/>
      <c r="J86" s="477"/>
      <c r="K86" s="1698">
        <f t="shared" ref="K86:K98" si="12">H86</f>
        <v>45383</v>
      </c>
      <c r="L86" s="530">
        <v>45143</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c r="I88" s="477"/>
      <c r="J88" s="477"/>
      <c r="K88" s="1698">
        <f t="shared" si="12"/>
        <v>0</v>
      </c>
      <c r="L88" s="530"/>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70128</v>
      </c>
      <c r="I92" s="477"/>
      <c r="J92" s="477"/>
      <c r="K92" s="1698">
        <f t="shared" si="12"/>
        <v>70128</v>
      </c>
      <c r="L92" s="1691">
        <f>SUM(L85:L91)</f>
        <v>69458</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16524</v>
      </c>
      <c r="F102" s="617"/>
      <c r="G102" s="617"/>
      <c r="H102" s="1698">
        <f>SUM(H84,H92,H100,H101)</f>
        <v>137499</v>
      </c>
      <c r="I102" s="477"/>
      <c r="J102" s="477"/>
      <c r="K102" s="1698">
        <f>SUM(K84,K92,K100,K101)</f>
        <v>154023</v>
      </c>
      <c r="L102" s="1698">
        <f>SUM(L84,L92,L100,L101)</f>
        <v>160088</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5758474</v>
      </c>
      <c r="D114" s="1691">
        <f t="shared" ref="D114:K114" si="13">SUM(D33,D74,D75,D102,D112,D113)</f>
        <v>1073276</v>
      </c>
      <c r="E114" s="1691">
        <f t="shared" si="13"/>
        <v>389233</v>
      </c>
      <c r="F114" s="1691">
        <f t="shared" si="13"/>
        <v>469087</v>
      </c>
      <c r="G114" s="1691">
        <f t="shared" si="13"/>
        <v>175217</v>
      </c>
      <c r="H114" s="1691">
        <f>SUM(H33,H74,H75,H102,H112,H113)</f>
        <v>452525</v>
      </c>
      <c r="I114" s="1691">
        <f t="shared" si="13"/>
        <v>0</v>
      </c>
      <c r="J114" s="1691">
        <f t="shared" si="13"/>
        <v>0</v>
      </c>
      <c r="K114" s="1691">
        <f t="shared" si="13"/>
        <v>8317812</v>
      </c>
      <c r="L114" s="1691">
        <f>SUM(L33,L74,L75,L102,L112,L113)</f>
        <v>8862579</v>
      </c>
    </row>
    <row r="115" spans="1:14" ht="13.5" thickTop="1" x14ac:dyDescent="0.2">
      <c r="A115" s="2188" t="s">
        <v>1053</v>
      </c>
      <c r="B115" s="2189"/>
      <c r="C115" s="619"/>
      <c r="D115" s="619"/>
      <c r="E115" s="619"/>
      <c r="F115" s="619"/>
      <c r="G115" s="619"/>
      <c r="H115" s="619"/>
      <c r="I115" s="619"/>
      <c r="J115" s="619"/>
      <c r="K115" s="1705">
        <f>'Revenues 9-14'!C275-'Expenditures 15-22'!K114</f>
        <v>911450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3" t="s">
        <v>314</v>
      </c>
      <c r="B117" s="2194"/>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203292</v>
      </c>
      <c r="D124" s="466">
        <v>31481</v>
      </c>
      <c r="E124" s="466">
        <v>454865</v>
      </c>
      <c r="F124" s="466">
        <v>441351</v>
      </c>
      <c r="G124" s="466">
        <v>81365</v>
      </c>
      <c r="H124" s="466"/>
      <c r="I124" s="467"/>
      <c r="J124" s="467"/>
      <c r="K124" s="1691">
        <f>SUM(C124:J124)</f>
        <v>1212354</v>
      </c>
      <c r="L124" s="466">
        <v>1305146</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203292</v>
      </c>
      <c r="D127" s="1691">
        <f t="shared" ref="D127:L127" si="14">SUM(D122:D126)</f>
        <v>31481</v>
      </c>
      <c r="E127" s="1691">
        <f t="shared" si="14"/>
        <v>454865</v>
      </c>
      <c r="F127" s="1691">
        <f t="shared" si="14"/>
        <v>441351</v>
      </c>
      <c r="G127" s="1691">
        <f t="shared" si="14"/>
        <v>81365</v>
      </c>
      <c r="H127" s="1691">
        <f t="shared" si="14"/>
        <v>0</v>
      </c>
      <c r="I127" s="1691">
        <f t="shared" si="14"/>
        <v>0</v>
      </c>
      <c r="J127" s="1691">
        <f t="shared" si="14"/>
        <v>0</v>
      </c>
      <c r="K127" s="1691">
        <f t="shared" si="14"/>
        <v>1212354</v>
      </c>
      <c r="L127" s="1691">
        <f t="shared" si="14"/>
        <v>1305146</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203292</v>
      </c>
      <c r="D129" s="1698">
        <f t="shared" ref="D129:L129" si="15">SUM(D120,D127,D128)</f>
        <v>31481</v>
      </c>
      <c r="E129" s="1698">
        <f t="shared" si="15"/>
        <v>454865</v>
      </c>
      <c r="F129" s="1698">
        <f t="shared" si="15"/>
        <v>441351</v>
      </c>
      <c r="G129" s="1698">
        <f t="shared" si="15"/>
        <v>81365</v>
      </c>
      <c r="H129" s="1698">
        <f t="shared" si="15"/>
        <v>0</v>
      </c>
      <c r="I129" s="1698">
        <f t="shared" si="15"/>
        <v>0</v>
      </c>
      <c r="J129" s="1698">
        <f t="shared" si="15"/>
        <v>0</v>
      </c>
      <c r="K129" s="1698">
        <f t="shared" si="15"/>
        <v>1212354</v>
      </c>
      <c r="L129" s="1698">
        <f t="shared" si="15"/>
        <v>1305146</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1954</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c r="I135" s="477"/>
      <c r="J135" s="617"/>
      <c r="K135" s="1693">
        <f>SUM(E135,H135)</f>
        <v>0</v>
      </c>
      <c r="L135" s="466"/>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5" t="s">
        <v>641</v>
      </c>
      <c r="B151" s="2185"/>
      <c r="C151" s="1691">
        <f>SUM(C129,C130,C139,C149,C150)</f>
        <v>203292</v>
      </c>
      <c r="D151" s="1691">
        <f t="shared" ref="D151:K151" si="16">SUM(D129,D130,D139,D149,D150)</f>
        <v>31481</v>
      </c>
      <c r="E151" s="1691">
        <f t="shared" si="16"/>
        <v>454865</v>
      </c>
      <c r="F151" s="1691">
        <f t="shared" si="16"/>
        <v>441351</v>
      </c>
      <c r="G151" s="1691">
        <f t="shared" si="16"/>
        <v>81365</v>
      </c>
      <c r="H151" s="1691">
        <f t="shared" si="16"/>
        <v>0</v>
      </c>
      <c r="I151" s="1691">
        <f t="shared" si="16"/>
        <v>0</v>
      </c>
      <c r="J151" s="1691">
        <f t="shared" si="16"/>
        <v>0</v>
      </c>
      <c r="K151" s="1691">
        <f t="shared" si="16"/>
        <v>1212354</v>
      </c>
      <c r="L151" s="1691">
        <f>SUM(L129,L130,L139,L149,L150)</f>
        <v>1305146</v>
      </c>
    </row>
    <row r="152" spans="1:14" ht="12.75" customHeight="1" thickTop="1" x14ac:dyDescent="0.2">
      <c r="A152" s="2208" t="s">
        <v>1240</v>
      </c>
      <c r="B152" s="2209"/>
      <c r="C152" s="619"/>
      <c r="D152" s="619"/>
      <c r="E152" s="619"/>
      <c r="F152" s="619"/>
      <c r="G152" s="619"/>
      <c r="H152" s="619"/>
      <c r="I152" s="619"/>
      <c r="J152" s="617"/>
      <c r="K152" s="1705">
        <f>'Revenues 9-14'!D275-'Expenditures 15-22'!K151</f>
        <v>38613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3" t="s">
        <v>642</v>
      </c>
      <c r="B154" s="2195"/>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1955</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1954</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1956</v>
      </c>
      <c r="C158" s="617"/>
      <c r="D158" s="617"/>
      <c r="E158" s="617"/>
      <c r="F158" s="617"/>
      <c r="G158" s="617"/>
      <c r="H158" s="467"/>
      <c r="I158" s="617"/>
      <c r="J158" s="617"/>
      <c r="K158" s="1692">
        <f>H158</f>
        <v>0</v>
      </c>
      <c r="L158" s="467"/>
      <c r="M158" s="620"/>
      <c r="N158" s="620"/>
    </row>
    <row r="159" spans="1:14" s="621" customFormat="1" ht="12" x14ac:dyDescent="0.2">
      <c r="A159" s="1848" t="s">
        <v>1957</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1958</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177011</v>
      </c>
      <c r="I169" s="617"/>
      <c r="J169" s="617"/>
      <c r="K169" s="1692">
        <f>SUM(C169:H169)</f>
        <v>177011</v>
      </c>
      <c r="L169" s="657">
        <v>177011</v>
      </c>
    </row>
    <row r="170" spans="1:14" ht="33.75" customHeight="1" x14ac:dyDescent="0.2">
      <c r="A170" s="670" t="s">
        <v>1769</v>
      </c>
      <c r="B170" s="672" t="s">
        <v>31</v>
      </c>
      <c r="C170" s="617"/>
      <c r="D170" s="617"/>
      <c r="E170" s="617"/>
      <c r="F170" s="617"/>
      <c r="G170" s="617"/>
      <c r="H170" s="569">
        <v>850000</v>
      </c>
      <c r="I170" s="617"/>
      <c r="J170" s="617"/>
      <c r="K170" s="1692">
        <f>SUM(C170:J170)</f>
        <v>850000</v>
      </c>
      <c r="L170" s="569">
        <v>850000</v>
      </c>
    </row>
    <row r="171" spans="1:14" ht="15.75" customHeight="1" x14ac:dyDescent="0.2">
      <c r="A171" s="622" t="s">
        <v>790</v>
      </c>
      <c r="B171" s="673" t="s">
        <v>86</v>
      </c>
      <c r="C171" s="617"/>
      <c r="D171" s="617"/>
      <c r="E171" s="466"/>
      <c r="F171" s="617"/>
      <c r="G171" s="617"/>
      <c r="H171" s="569">
        <v>1750</v>
      </c>
      <c r="I171" s="477"/>
      <c r="J171" s="617"/>
      <c r="K171" s="1692">
        <f>SUM(C171:J171)</f>
        <v>1750</v>
      </c>
      <c r="L171" s="569">
        <v>1750</v>
      </c>
    </row>
    <row r="172" spans="1:14" ht="12.75" customHeight="1" thickBot="1" x14ac:dyDescent="0.25">
      <c r="A172" s="1689" t="s">
        <v>659</v>
      </c>
      <c r="B172" s="1690" t="s">
        <v>513</v>
      </c>
      <c r="C172" s="617"/>
      <c r="D172" s="617"/>
      <c r="E172" s="1698">
        <f>SUM(E168,E169,E170,E171)</f>
        <v>0</v>
      </c>
      <c r="F172" s="617"/>
      <c r="G172" s="617"/>
      <c r="H172" s="1698">
        <f>SUM(H168,H169,H170,H171)</f>
        <v>1028761</v>
      </c>
      <c r="I172" s="639"/>
      <c r="J172" s="617"/>
      <c r="K172" s="1698">
        <f>SUM(K168,K169,K170,K171)</f>
        <v>1028761</v>
      </c>
      <c r="L172" s="1698">
        <f>SUM(L168,L169,L170,L171)</f>
        <v>1028761</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1028761</v>
      </c>
      <c r="I174" s="639"/>
      <c r="J174" s="617"/>
      <c r="K174" s="1698">
        <f>SUM(K160,K172,K173)</f>
        <v>1028761</v>
      </c>
      <c r="L174" s="1698">
        <f>SUM(L160,L172,L173)</f>
        <v>1028761</v>
      </c>
    </row>
    <row r="175" spans="1:14" ht="13.5" thickTop="1" x14ac:dyDescent="0.2">
      <c r="A175" s="2188" t="s">
        <v>1053</v>
      </c>
      <c r="B175" s="2189"/>
      <c r="C175" s="617"/>
      <c r="D175" s="617"/>
      <c r="E175" s="617"/>
      <c r="F175" s="617"/>
      <c r="G175" s="617"/>
      <c r="H175" s="619"/>
      <c r="I175" s="617"/>
      <c r="J175" s="617"/>
      <c r="K175" s="1705">
        <f>'Revenues 9-14'!E275-'Expenditures 15-22'!K174</f>
        <v>-18029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c r="D182" s="466"/>
      <c r="E182" s="466">
        <v>407525</v>
      </c>
      <c r="F182" s="466"/>
      <c r="G182" s="466"/>
      <c r="H182" s="466"/>
      <c r="I182" s="467"/>
      <c r="J182" s="467"/>
      <c r="K182" s="1692">
        <f>SUM(C182:J182)</f>
        <v>407525</v>
      </c>
      <c r="L182" s="466">
        <v>432960</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0</v>
      </c>
      <c r="D184" s="1698">
        <f t="shared" ref="D184:J184" si="17">SUM(D180,D182,D183)</f>
        <v>0</v>
      </c>
      <c r="E184" s="1698">
        <f t="shared" si="17"/>
        <v>407525</v>
      </c>
      <c r="F184" s="1698">
        <f t="shared" si="17"/>
        <v>0</v>
      </c>
      <c r="G184" s="1698">
        <f t="shared" si="17"/>
        <v>0</v>
      </c>
      <c r="H184" s="1698">
        <f t="shared" si="17"/>
        <v>0</v>
      </c>
      <c r="I184" s="1698">
        <f t="shared" si="17"/>
        <v>0</v>
      </c>
      <c r="J184" s="1698">
        <f t="shared" si="17"/>
        <v>0</v>
      </c>
      <c r="K184" s="1698">
        <f>SUM(K180,K182,K183)</f>
        <v>407525</v>
      </c>
      <c r="L184" s="1698">
        <f>SUM(L180, L182:L183)</f>
        <v>432960</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0</v>
      </c>
      <c r="D210" s="1691">
        <f>SUM(D184,D185)</f>
        <v>0</v>
      </c>
      <c r="E210" s="1691">
        <f>SUM(E184,E185,E196)</f>
        <v>407525</v>
      </c>
      <c r="F210" s="1691">
        <f>SUM(F184,F185)</f>
        <v>0</v>
      </c>
      <c r="G210" s="1691">
        <f>SUM(G184,G185)</f>
        <v>0</v>
      </c>
      <c r="H210" s="1691">
        <f>SUM(H184,H185,H196,H208,H209)</f>
        <v>0</v>
      </c>
      <c r="I210" s="1691">
        <f>SUM(I184,I185)</f>
        <v>0</v>
      </c>
      <c r="J210" s="1691">
        <f>SUM(J184,J185)</f>
        <v>0</v>
      </c>
      <c r="K210" s="1692">
        <f>SUM(K184,K185,K196,K208,K209)</f>
        <v>407525</v>
      </c>
      <c r="L210" s="1691">
        <f>SUM(L184,L185,L196,L208,L209)</f>
        <v>432960</v>
      </c>
    </row>
    <row r="211" spans="1:14" ht="13.5" thickTop="1" x14ac:dyDescent="0.2">
      <c r="A211" s="2188" t="s">
        <v>1053</v>
      </c>
      <c r="B211" s="2189"/>
      <c r="C211" s="619"/>
      <c r="D211" s="619"/>
      <c r="E211" s="619"/>
      <c r="F211" s="619"/>
      <c r="G211" s="619"/>
      <c r="H211" s="619"/>
      <c r="I211" s="617"/>
      <c r="J211" s="617"/>
      <c r="K211" s="1705">
        <f>'Revenues 9-14'!F275-'Expenditures 15-22'!K210</f>
        <v>122489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0" t="s">
        <v>1022</v>
      </c>
      <c r="B213" s="2211"/>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41376</v>
      </c>
      <c r="E215" s="617"/>
      <c r="F215" s="617"/>
      <c r="G215" s="617"/>
      <c r="H215" s="617"/>
      <c r="I215" s="617"/>
      <c r="J215" s="617"/>
      <c r="K215" s="1692">
        <f>D215</f>
        <v>41376</v>
      </c>
      <c r="L215" s="466">
        <v>42331</v>
      </c>
    </row>
    <row r="216" spans="1:14" x14ac:dyDescent="0.2">
      <c r="A216" s="1525" t="s">
        <v>165</v>
      </c>
      <c r="B216" s="615" t="s">
        <v>1024</v>
      </c>
      <c r="C216" s="617"/>
      <c r="D216" s="467">
        <v>8798</v>
      </c>
      <c r="E216" s="617"/>
      <c r="F216" s="617"/>
      <c r="G216" s="617"/>
      <c r="H216" s="617"/>
      <c r="I216" s="617"/>
      <c r="J216" s="617"/>
      <c r="K216" s="1692">
        <f t="shared" ref="K216:K228" si="19">D216</f>
        <v>8798</v>
      </c>
      <c r="L216" s="466">
        <v>8337</v>
      </c>
    </row>
    <row r="217" spans="1:14" x14ac:dyDescent="0.2">
      <c r="A217" s="1525" t="s">
        <v>166</v>
      </c>
      <c r="B217" s="615">
        <v>1200</v>
      </c>
      <c r="C217" s="617"/>
      <c r="D217" s="466">
        <v>48455</v>
      </c>
      <c r="E217" s="617"/>
      <c r="F217" s="617"/>
      <c r="G217" s="617"/>
      <c r="H217" s="617"/>
      <c r="I217" s="617"/>
      <c r="J217" s="617"/>
      <c r="K217" s="1692">
        <f t="shared" si="19"/>
        <v>48455</v>
      </c>
      <c r="L217" s="466">
        <v>55131</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5596</v>
      </c>
      <c r="E219" s="617"/>
      <c r="F219" s="617"/>
      <c r="G219" s="617"/>
      <c r="H219" s="617"/>
      <c r="I219" s="617"/>
      <c r="J219" s="617"/>
      <c r="K219" s="1692">
        <f t="shared" si="19"/>
        <v>5596</v>
      </c>
      <c r="L219" s="466">
        <v>7014</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1039</v>
      </c>
      <c r="E222" s="617"/>
      <c r="F222" s="617"/>
      <c r="G222" s="617"/>
      <c r="H222" s="617"/>
      <c r="I222" s="617"/>
      <c r="J222" s="617"/>
      <c r="K222" s="1692">
        <f t="shared" si="19"/>
        <v>1039</v>
      </c>
      <c r="L222" s="466">
        <v>1040</v>
      </c>
    </row>
    <row r="223" spans="1:14" x14ac:dyDescent="0.2">
      <c r="A223" s="1525" t="s">
        <v>1020</v>
      </c>
      <c r="B223" s="615">
        <v>1500</v>
      </c>
      <c r="C223" s="617"/>
      <c r="D223" s="466">
        <v>5948</v>
      </c>
      <c r="E223" s="617"/>
      <c r="F223" s="617"/>
      <c r="G223" s="617"/>
      <c r="H223" s="617"/>
      <c r="I223" s="617"/>
      <c r="J223" s="617"/>
      <c r="K223" s="1692">
        <f t="shared" si="19"/>
        <v>5948</v>
      </c>
      <c r="L223" s="466">
        <v>6540</v>
      </c>
    </row>
    <row r="224" spans="1:14" x14ac:dyDescent="0.2">
      <c r="A224" s="1525" t="s">
        <v>1021</v>
      </c>
      <c r="B224" s="615">
        <v>1600</v>
      </c>
      <c r="C224" s="617"/>
      <c r="D224" s="466">
        <v>30</v>
      </c>
      <c r="E224" s="617"/>
      <c r="F224" s="617"/>
      <c r="G224" s="617"/>
      <c r="H224" s="617"/>
      <c r="I224" s="617"/>
      <c r="J224" s="617"/>
      <c r="K224" s="1692">
        <f t="shared" si="19"/>
        <v>30</v>
      </c>
      <c r="L224" s="466">
        <v>50</v>
      </c>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c r="E226" s="617"/>
      <c r="F226" s="617"/>
      <c r="G226" s="617"/>
      <c r="H226" s="617"/>
      <c r="I226" s="617"/>
      <c r="J226" s="617"/>
      <c r="K226" s="1692">
        <f t="shared" si="19"/>
        <v>0</v>
      </c>
      <c r="L226" s="466"/>
    </row>
    <row r="227" spans="1:12" x14ac:dyDescent="0.2">
      <c r="A227" s="1525" t="s">
        <v>1148</v>
      </c>
      <c r="B227" s="615">
        <v>1800</v>
      </c>
      <c r="C227" s="617"/>
      <c r="D227" s="466">
        <v>6217</v>
      </c>
      <c r="E227" s="617"/>
      <c r="F227" s="617"/>
      <c r="G227" s="617"/>
      <c r="H227" s="617"/>
      <c r="I227" s="617"/>
      <c r="J227" s="617"/>
      <c r="K227" s="1692">
        <f t="shared" si="19"/>
        <v>6217</v>
      </c>
      <c r="L227" s="466">
        <v>6523</v>
      </c>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117459</v>
      </c>
      <c r="E229" s="617"/>
      <c r="F229" s="617"/>
      <c r="G229" s="617"/>
      <c r="H229" s="617"/>
      <c r="I229" s="617"/>
      <c r="J229" s="617"/>
      <c r="K229" s="1691">
        <f>SUM(K215:K228)</f>
        <v>117459</v>
      </c>
      <c r="L229" s="1691">
        <f>SUM(L215:L228)</f>
        <v>126966</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4982</v>
      </c>
      <c r="E232" s="617"/>
      <c r="F232" s="617"/>
      <c r="G232" s="617"/>
      <c r="H232" s="617"/>
      <c r="I232" s="617"/>
      <c r="J232" s="617"/>
      <c r="K232" s="1692">
        <f t="shared" ref="K232:K237" si="20">D232</f>
        <v>4982</v>
      </c>
      <c r="L232" s="466">
        <v>5120</v>
      </c>
    </row>
    <row r="233" spans="1:12" x14ac:dyDescent="0.2">
      <c r="A233" s="1525" t="s">
        <v>1151</v>
      </c>
      <c r="B233" s="615">
        <v>2120</v>
      </c>
      <c r="C233" s="617"/>
      <c r="D233" s="466">
        <v>1026</v>
      </c>
      <c r="E233" s="617"/>
      <c r="F233" s="617"/>
      <c r="G233" s="617"/>
      <c r="H233" s="617"/>
      <c r="I233" s="617"/>
      <c r="J233" s="617"/>
      <c r="K233" s="1692">
        <f t="shared" si="20"/>
        <v>1026</v>
      </c>
      <c r="L233" s="466">
        <v>1000</v>
      </c>
    </row>
    <row r="234" spans="1:12" x14ac:dyDescent="0.2">
      <c r="A234" s="1525" t="s">
        <v>207</v>
      </c>
      <c r="B234" s="615">
        <v>2130</v>
      </c>
      <c r="C234" s="617"/>
      <c r="D234" s="466">
        <v>16923</v>
      </c>
      <c r="E234" s="617"/>
      <c r="F234" s="617"/>
      <c r="G234" s="617"/>
      <c r="H234" s="617"/>
      <c r="I234" s="617"/>
      <c r="J234" s="617"/>
      <c r="K234" s="1692">
        <f t="shared" si="20"/>
        <v>16923</v>
      </c>
      <c r="L234" s="466">
        <v>17149</v>
      </c>
    </row>
    <row r="235" spans="1:12" x14ac:dyDescent="0.2">
      <c r="A235" s="1525" t="s">
        <v>208</v>
      </c>
      <c r="B235" s="615">
        <v>2140</v>
      </c>
      <c r="C235" s="617"/>
      <c r="D235" s="466">
        <v>4107</v>
      </c>
      <c r="E235" s="617"/>
      <c r="F235" s="617"/>
      <c r="G235" s="617"/>
      <c r="H235" s="617"/>
      <c r="I235" s="617"/>
      <c r="J235" s="617"/>
      <c r="K235" s="1692">
        <f t="shared" si="20"/>
        <v>4107</v>
      </c>
      <c r="L235" s="466">
        <v>4099</v>
      </c>
    </row>
    <row r="236" spans="1:12" x14ac:dyDescent="0.2">
      <c r="A236" s="1525" t="s">
        <v>209</v>
      </c>
      <c r="B236" s="615">
        <v>2150</v>
      </c>
      <c r="C236" s="617"/>
      <c r="D236" s="466">
        <v>1188</v>
      </c>
      <c r="E236" s="617"/>
      <c r="F236" s="617"/>
      <c r="G236" s="617"/>
      <c r="H236" s="617"/>
      <c r="I236" s="617"/>
      <c r="J236" s="617"/>
      <c r="K236" s="1692">
        <f t="shared" si="20"/>
        <v>1188</v>
      </c>
      <c r="L236" s="466">
        <v>1185</v>
      </c>
    </row>
    <row r="237" spans="1:12" x14ac:dyDescent="0.2">
      <c r="A237" s="1525" t="s">
        <v>167</v>
      </c>
      <c r="B237" s="615">
        <v>2190</v>
      </c>
      <c r="C237" s="617"/>
      <c r="D237" s="466">
        <v>241</v>
      </c>
      <c r="E237" s="617"/>
      <c r="F237" s="617"/>
      <c r="G237" s="617"/>
      <c r="H237" s="617"/>
      <c r="I237" s="617"/>
      <c r="J237" s="617"/>
      <c r="K237" s="1692">
        <f t="shared" si="20"/>
        <v>241</v>
      </c>
      <c r="L237" s="466">
        <v>303</v>
      </c>
    </row>
    <row r="238" spans="1:12" ht="12.75" customHeight="1" thickBot="1" x14ac:dyDescent="0.25">
      <c r="A238" s="1689" t="s">
        <v>581</v>
      </c>
      <c r="B238" s="1696" t="s">
        <v>740</v>
      </c>
      <c r="C238" s="617"/>
      <c r="D238" s="1691">
        <f>SUM(D232:D237)</f>
        <v>28467</v>
      </c>
      <c r="E238" s="617"/>
      <c r="F238" s="617"/>
      <c r="G238" s="617"/>
      <c r="H238" s="617"/>
      <c r="I238" s="617"/>
      <c r="J238" s="617"/>
      <c r="K238" s="1691">
        <f>SUM(K232:K237)</f>
        <v>28467</v>
      </c>
      <c r="L238" s="1691">
        <f>SUM(L232:L237)</f>
        <v>28856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row>
    <row r="241" spans="1:12" x14ac:dyDescent="0.2">
      <c r="A241" s="1525" t="s">
        <v>869</v>
      </c>
      <c r="B241" s="615">
        <v>2220</v>
      </c>
      <c r="C241" s="617"/>
      <c r="D241" s="466">
        <v>25620</v>
      </c>
      <c r="E241" s="617"/>
      <c r="F241" s="617"/>
      <c r="G241" s="617"/>
      <c r="H241" s="617"/>
      <c r="I241" s="617"/>
      <c r="J241" s="617"/>
      <c r="K241" s="1693">
        <f>D241</f>
        <v>25620</v>
      </c>
      <c r="L241" s="466">
        <v>27006</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25620</v>
      </c>
      <c r="E243" s="617"/>
      <c r="F243" s="617"/>
      <c r="G243" s="617"/>
      <c r="H243" s="617"/>
      <c r="I243" s="617"/>
      <c r="J243" s="617"/>
      <c r="K243" s="1691">
        <f>SUM(K240:K242)</f>
        <v>25620</v>
      </c>
      <c r="L243" s="1691">
        <f>SUM(L240:L242)</f>
        <v>27006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202</v>
      </c>
      <c r="E245" s="617"/>
      <c r="F245" s="617"/>
      <c r="G245" s="617"/>
      <c r="H245" s="617"/>
      <c r="I245" s="617"/>
      <c r="J245" s="617"/>
      <c r="K245" s="1693">
        <f>D245</f>
        <v>202</v>
      </c>
      <c r="L245" s="481">
        <v>218</v>
      </c>
    </row>
    <row r="246" spans="1:12" x14ac:dyDescent="0.2">
      <c r="A246" s="1525" t="s">
        <v>872</v>
      </c>
      <c r="B246" s="615">
        <v>2320</v>
      </c>
      <c r="C246" s="617"/>
      <c r="D246" s="466">
        <v>6106</v>
      </c>
      <c r="E246" s="617"/>
      <c r="F246" s="617"/>
      <c r="G246" s="617"/>
      <c r="H246" s="617"/>
      <c r="I246" s="617"/>
      <c r="J246" s="617"/>
      <c r="K246" s="1693">
        <f t="shared" ref="K246:K256" si="21">D246</f>
        <v>6106</v>
      </c>
      <c r="L246" s="466">
        <v>6784</v>
      </c>
    </row>
    <row r="247" spans="1:12" x14ac:dyDescent="0.2">
      <c r="A247" s="1525" t="s">
        <v>873</v>
      </c>
      <c r="B247" s="615">
        <v>2330</v>
      </c>
      <c r="C247" s="617"/>
      <c r="D247" s="466"/>
      <c r="E247" s="617"/>
      <c r="F247" s="617"/>
      <c r="G247" s="617"/>
      <c r="H247" s="617"/>
      <c r="I247" s="617"/>
      <c r="J247" s="617"/>
      <c r="K247" s="1693">
        <f t="shared" si="21"/>
        <v>0</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1905</v>
      </c>
      <c r="B249" s="684" t="s">
        <v>300</v>
      </c>
      <c r="C249" s="617"/>
      <c r="D249" s="474"/>
      <c r="E249" s="617"/>
      <c r="F249" s="617"/>
      <c r="G249" s="617"/>
      <c r="H249" s="617"/>
      <c r="I249" s="617"/>
      <c r="J249" s="617"/>
      <c r="K249" s="1693">
        <f t="shared" si="21"/>
        <v>0</v>
      </c>
      <c r="L249" s="466"/>
    </row>
    <row r="250" spans="1:12" x14ac:dyDescent="0.2">
      <c r="A250" s="1526" t="s">
        <v>1906</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6308</v>
      </c>
      <c r="E257" s="617"/>
      <c r="F257" s="617"/>
      <c r="G257" s="617"/>
      <c r="H257" s="617"/>
      <c r="I257" s="617"/>
      <c r="J257" s="617"/>
      <c r="K257" s="1691">
        <f>SUM(K245:K256)</f>
        <v>6308</v>
      </c>
      <c r="L257" s="1691">
        <f>SUM(L245:L256)</f>
        <v>7002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26451</v>
      </c>
      <c r="E259" s="617"/>
      <c r="F259" s="617"/>
      <c r="G259" s="617"/>
      <c r="H259" s="617"/>
      <c r="I259" s="617"/>
      <c r="J259" s="617"/>
      <c r="K259" s="1693">
        <f>D259</f>
        <v>26451</v>
      </c>
      <c r="L259" s="481">
        <v>26642</v>
      </c>
    </row>
    <row r="260" spans="1:14" s="598" customFormat="1" x14ac:dyDescent="0.2">
      <c r="A260" s="1543" t="s">
        <v>1904</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26451</v>
      </c>
      <c r="E261" s="617"/>
      <c r="F261" s="617"/>
      <c r="G261" s="617"/>
      <c r="H261" s="617"/>
      <c r="I261" s="617"/>
      <c r="J261" s="617"/>
      <c r="K261" s="1691">
        <f>SUM(K259:K260)</f>
        <v>26451</v>
      </c>
      <c r="L261" s="1691">
        <f>SUM(L259:L260)</f>
        <v>26642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5092</v>
      </c>
      <c r="E263" s="617"/>
      <c r="F263" s="617"/>
      <c r="G263" s="617"/>
      <c r="H263" s="617"/>
      <c r="I263" s="617"/>
      <c r="J263" s="617"/>
      <c r="K263" s="1693">
        <f>D263</f>
        <v>5092</v>
      </c>
      <c r="L263" s="481">
        <v>5090</v>
      </c>
    </row>
    <row r="264" spans="1:14" x14ac:dyDescent="0.2">
      <c r="A264" s="1525" t="s">
        <v>483</v>
      </c>
      <c r="B264" s="686">
        <v>2520</v>
      </c>
      <c r="C264" s="617"/>
      <c r="D264" s="466">
        <v>5091</v>
      </c>
      <c r="E264" s="617"/>
      <c r="F264" s="617"/>
      <c r="G264" s="617"/>
      <c r="H264" s="617"/>
      <c r="I264" s="617"/>
      <c r="J264" s="617"/>
      <c r="K264" s="1693">
        <f t="shared" ref="K264:K269" si="22">D264</f>
        <v>5091</v>
      </c>
      <c r="L264" s="466">
        <v>5090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30321</v>
      </c>
      <c r="E266" s="617"/>
      <c r="F266" s="617"/>
      <c r="G266" s="617"/>
      <c r="H266" s="617"/>
      <c r="I266" s="617"/>
      <c r="J266" s="617"/>
      <c r="K266" s="1693">
        <f t="shared" si="22"/>
        <v>30321</v>
      </c>
      <c r="L266" s="466">
        <v>30826</v>
      </c>
    </row>
    <row r="267" spans="1:14" x14ac:dyDescent="0.2">
      <c r="A267" s="1525" t="s">
        <v>1010</v>
      </c>
      <c r="B267" s="615">
        <v>2550</v>
      </c>
      <c r="C267" s="617"/>
      <c r="D267" s="466"/>
      <c r="E267" s="617"/>
      <c r="F267" s="617"/>
      <c r="G267" s="617"/>
      <c r="H267" s="617"/>
      <c r="I267" s="617"/>
      <c r="J267" s="617"/>
      <c r="K267" s="1693">
        <f t="shared" si="22"/>
        <v>0</v>
      </c>
      <c r="L267" s="466"/>
    </row>
    <row r="268" spans="1:14" x14ac:dyDescent="0.2">
      <c r="A268" s="1525" t="s">
        <v>102</v>
      </c>
      <c r="B268" s="615">
        <v>2560</v>
      </c>
      <c r="C268" s="617"/>
      <c r="D268" s="466">
        <v>24917</v>
      </c>
      <c r="E268" s="617"/>
      <c r="F268" s="617"/>
      <c r="G268" s="617"/>
      <c r="H268" s="617"/>
      <c r="I268" s="617"/>
      <c r="J268" s="617"/>
      <c r="K268" s="1693">
        <f t="shared" si="22"/>
        <v>24917</v>
      </c>
      <c r="L268" s="466">
        <v>25220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65421</v>
      </c>
      <c r="E270" s="617"/>
      <c r="F270" s="617"/>
      <c r="G270" s="617"/>
      <c r="H270" s="617"/>
      <c r="I270" s="617"/>
      <c r="J270" s="617"/>
      <c r="K270" s="1691">
        <f>SUM(K263:K269)</f>
        <v>65421</v>
      </c>
      <c r="L270" s="1691">
        <f>SUM(L263:L269)</f>
        <v>66226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v>2227</v>
      </c>
      <c r="E274" s="617"/>
      <c r="F274" s="617"/>
      <c r="G274" s="617"/>
      <c r="H274" s="617"/>
      <c r="I274" s="617"/>
      <c r="J274" s="617"/>
      <c r="K274" s="1693">
        <f>D274</f>
        <v>2227</v>
      </c>
      <c r="L274" s="466">
        <v>2393</v>
      </c>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v>6295</v>
      </c>
      <c r="E276" s="617"/>
      <c r="F276" s="617"/>
      <c r="G276" s="617"/>
      <c r="H276" s="617"/>
      <c r="I276" s="617"/>
      <c r="J276" s="617"/>
      <c r="K276" s="1693">
        <f>D276</f>
        <v>6295</v>
      </c>
      <c r="L276" s="466">
        <v>6427</v>
      </c>
    </row>
    <row r="277" spans="1:12" ht="12.75" customHeight="1" thickBot="1" x14ac:dyDescent="0.25">
      <c r="A277" s="1712" t="s">
        <v>37</v>
      </c>
      <c r="B277" s="1690" t="s">
        <v>36</v>
      </c>
      <c r="C277" s="617"/>
      <c r="D277" s="1691">
        <f>SUM(D272:D276)</f>
        <v>8522</v>
      </c>
      <c r="E277" s="617"/>
      <c r="F277" s="617"/>
      <c r="G277" s="617"/>
      <c r="H277" s="617"/>
      <c r="I277" s="617"/>
      <c r="J277" s="617"/>
      <c r="K277" s="1691">
        <f>SUM(K272:K276)</f>
        <v>8522</v>
      </c>
      <c r="L277" s="1691">
        <f>SUM(L272:L276)</f>
        <v>8820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160789</v>
      </c>
      <c r="E279" s="617"/>
      <c r="F279" s="617"/>
      <c r="G279" s="617"/>
      <c r="H279" s="617"/>
      <c r="I279" s="617"/>
      <c r="J279" s="617"/>
      <c r="K279" s="1698">
        <f>SUM(K238,K243,K257,K261,K270,K277,K278)</f>
        <v>160789</v>
      </c>
      <c r="L279" s="1698">
        <f>SUM(L238,L243,L257,L261,L270,L277,L278)</f>
        <v>164552</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1954</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6" t="s">
        <v>526</v>
      </c>
      <c r="B295" s="2207"/>
      <c r="C295" s="617"/>
      <c r="D295" s="1691">
        <f>SUM(D229,D279,D280,D285)</f>
        <v>278248</v>
      </c>
      <c r="E295" s="617"/>
      <c r="F295" s="617"/>
      <c r="G295" s="617"/>
      <c r="H295" s="1691">
        <f>H293</f>
        <v>0</v>
      </c>
      <c r="I295" s="617"/>
      <c r="J295" s="617"/>
      <c r="K295" s="1691">
        <f>SUM(K229,K279,K280,K285,K293,K294)</f>
        <v>278248</v>
      </c>
      <c r="L295" s="1691">
        <f>SUM(L229,L279,L280,L285,L293,L294)</f>
        <v>291518</v>
      </c>
    </row>
    <row r="296" spans="1:14" ht="13.5" thickTop="1" x14ac:dyDescent="0.2">
      <c r="A296" s="2188" t="s">
        <v>1053</v>
      </c>
      <c r="B296" s="2189"/>
      <c r="C296" s="617"/>
      <c r="D296" s="619"/>
      <c r="E296" s="617"/>
      <c r="F296" s="617"/>
      <c r="G296" s="617"/>
      <c r="H296" s="688"/>
      <c r="I296" s="617"/>
      <c r="J296" s="617"/>
      <c r="K296" s="1705">
        <f>'Revenues 9-14'!G275-'Expenditures 15-22'!K295</f>
        <v>4212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8" t="s">
        <v>145</v>
      </c>
      <c r="B298" s="2192"/>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2">
        <f>SUM(C301:J301)</f>
        <v>0</v>
      </c>
      <c r="L301" s="467"/>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1959</v>
      </c>
      <c r="B306" s="691" t="s">
        <v>1954</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3" t="s">
        <v>295</v>
      </c>
      <c r="B312" s="2204"/>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99" t="s">
        <v>1053</v>
      </c>
      <c r="B313" s="2200"/>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2" t="s">
        <v>151</v>
      </c>
      <c r="B315" s="2213"/>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4" t="s">
        <v>954</v>
      </c>
      <c r="B317" s="2213"/>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1905</v>
      </c>
      <c r="B320" s="699" t="s">
        <v>300</v>
      </c>
      <c r="C320" s="467"/>
      <c r="D320" s="467"/>
      <c r="E320" s="467">
        <v>32608</v>
      </c>
      <c r="F320" s="467"/>
      <c r="G320" s="467"/>
      <c r="H320" s="467"/>
      <c r="I320" s="467"/>
      <c r="J320" s="467"/>
      <c r="K320" s="1692">
        <f t="shared" ref="K320:K327" si="24">SUM(C320:J320)</f>
        <v>32608</v>
      </c>
      <c r="L320" s="467">
        <v>35608</v>
      </c>
      <c r="M320" s="666"/>
      <c r="N320" s="666"/>
    </row>
    <row r="321" spans="1:14" s="675" customFormat="1" x14ac:dyDescent="0.2">
      <c r="A321" s="1540" t="s">
        <v>318</v>
      </c>
      <c r="B321" s="698" t="s">
        <v>301</v>
      </c>
      <c r="C321" s="467"/>
      <c r="D321" s="467"/>
      <c r="E321" s="467">
        <v>327</v>
      </c>
      <c r="F321" s="467"/>
      <c r="G321" s="467"/>
      <c r="H321" s="467"/>
      <c r="I321" s="467"/>
      <c r="J321" s="467"/>
      <c r="K321" s="1692">
        <f t="shared" si="24"/>
        <v>327</v>
      </c>
      <c r="L321" s="467">
        <v>5000</v>
      </c>
      <c r="M321" s="666"/>
      <c r="N321" s="666"/>
    </row>
    <row r="322" spans="1:14" s="675" customFormat="1" x14ac:dyDescent="0.2">
      <c r="A322" s="1540"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0" t="s">
        <v>726</v>
      </c>
      <c r="B323" s="698" t="s">
        <v>303</v>
      </c>
      <c r="C323" s="467"/>
      <c r="D323" s="467"/>
      <c r="E323" s="467">
        <v>76987</v>
      </c>
      <c r="F323" s="467"/>
      <c r="G323" s="467"/>
      <c r="H323" s="467">
        <v>6903</v>
      </c>
      <c r="I323" s="467"/>
      <c r="J323" s="467"/>
      <c r="K323" s="1692">
        <f t="shared" si="24"/>
        <v>83890</v>
      </c>
      <c r="L323" s="467">
        <v>93529</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1362</v>
      </c>
      <c r="F327" s="467"/>
      <c r="G327" s="467"/>
      <c r="H327" s="467"/>
      <c r="I327" s="467"/>
      <c r="J327" s="467"/>
      <c r="K327" s="1692">
        <f t="shared" si="24"/>
        <v>1362</v>
      </c>
      <c r="L327" s="467">
        <v>1500</v>
      </c>
      <c r="M327" s="666"/>
      <c r="N327" s="666"/>
    </row>
    <row r="328" spans="1:14" s="675" customFormat="1" x14ac:dyDescent="0.2">
      <c r="A328" s="1541" t="s">
        <v>492</v>
      </c>
      <c r="B328" s="691" t="s">
        <v>1194</v>
      </c>
      <c r="C328" s="474"/>
      <c r="D328" s="474"/>
      <c r="E328" s="474">
        <v>30286</v>
      </c>
      <c r="F328" s="474"/>
      <c r="G328" s="474"/>
      <c r="H328" s="474"/>
      <c r="I328" s="474"/>
      <c r="J328" s="474"/>
      <c r="K328" s="1720">
        <f>SUM(C328:J328)</f>
        <v>30286</v>
      </c>
      <c r="L328" s="474">
        <v>28156</v>
      </c>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141570</v>
      </c>
      <c r="F330" s="1691">
        <f t="shared" si="25"/>
        <v>0</v>
      </c>
      <c r="G330" s="1691">
        <f t="shared" si="25"/>
        <v>0</v>
      </c>
      <c r="H330" s="1691">
        <f t="shared" si="25"/>
        <v>6903</v>
      </c>
      <c r="I330" s="1691">
        <f t="shared" si="25"/>
        <v>0</v>
      </c>
      <c r="J330" s="1691">
        <f t="shared" si="25"/>
        <v>0</v>
      </c>
      <c r="K330" s="1691">
        <f>SUM(K319:K329)</f>
        <v>148473</v>
      </c>
      <c r="L330" s="1691">
        <f>SUM(L319:L329)</f>
        <v>163793</v>
      </c>
      <c r="M330" s="666"/>
      <c r="N330" s="666"/>
    </row>
    <row r="331" spans="1:14" s="675" customFormat="1" ht="12.75" customHeight="1" thickTop="1" x14ac:dyDescent="0.2">
      <c r="A331" s="1853" t="s">
        <v>1960</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1954</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1956</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1961</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141570</v>
      </c>
      <c r="F342" s="1691">
        <f>SUM(F330)</f>
        <v>0</v>
      </c>
      <c r="G342" s="1691">
        <f>SUM(G330)</f>
        <v>0</v>
      </c>
      <c r="H342" s="1691">
        <f>SUM(H330,H334,H340)</f>
        <v>6903</v>
      </c>
      <c r="I342" s="1691">
        <f>SUM(I330)</f>
        <v>0</v>
      </c>
      <c r="J342" s="1691">
        <f>SUM(J330)</f>
        <v>0</v>
      </c>
      <c r="K342" s="1691">
        <f>SUM(K330,K334,K340)</f>
        <v>148473</v>
      </c>
      <c r="L342" s="1698">
        <f>SUM(L330,L340,L341)</f>
        <v>163793</v>
      </c>
    </row>
    <row r="343" spans="1:14" ht="12.75" customHeight="1" thickTop="1" x14ac:dyDescent="0.2">
      <c r="A343" s="2201" t="s">
        <v>1053</v>
      </c>
      <c r="B343" s="2202"/>
      <c r="C343" s="617"/>
      <c r="D343" s="617"/>
      <c r="E343" s="617"/>
      <c r="F343" s="617"/>
      <c r="G343" s="617"/>
      <c r="H343" s="617"/>
      <c r="I343" s="617"/>
      <c r="J343" s="617"/>
      <c r="K343" s="1705">
        <f>'Revenues 9-14'!J275-'Expenditures 15-22'!K342</f>
        <v>24355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1" t="s">
        <v>1023</v>
      </c>
      <c r="B345" s="2192"/>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250</v>
      </c>
      <c r="F349" s="466">
        <v>0</v>
      </c>
      <c r="G349" s="466">
        <v>46341</v>
      </c>
      <c r="H349" s="466"/>
      <c r="I349" s="467"/>
      <c r="J349" s="467"/>
      <c r="K349" s="1692">
        <f>SUM(C349:J349)</f>
        <v>46591</v>
      </c>
      <c r="L349" s="466">
        <v>50390</v>
      </c>
    </row>
    <row r="350" spans="1:14" ht="12.75" customHeight="1" thickBot="1" x14ac:dyDescent="0.25">
      <c r="A350" s="1689" t="s">
        <v>743</v>
      </c>
      <c r="B350" s="1690" t="s">
        <v>35</v>
      </c>
      <c r="C350" s="1691">
        <f>SUM(C348:C349)</f>
        <v>0</v>
      </c>
      <c r="D350" s="1691">
        <f t="shared" ref="D350:L350" si="26">SUM(D348:D349)</f>
        <v>0</v>
      </c>
      <c r="E350" s="1691">
        <f t="shared" si="26"/>
        <v>250</v>
      </c>
      <c r="F350" s="1691">
        <f t="shared" si="26"/>
        <v>0</v>
      </c>
      <c r="G350" s="1691">
        <f t="shared" si="26"/>
        <v>46341</v>
      </c>
      <c r="H350" s="1691">
        <f t="shared" si="26"/>
        <v>0</v>
      </c>
      <c r="I350" s="1691">
        <f t="shared" si="26"/>
        <v>0</v>
      </c>
      <c r="J350" s="1691">
        <f t="shared" si="26"/>
        <v>0</v>
      </c>
      <c r="K350" s="1691">
        <f t="shared" si="26"/>
        <v>46591</v>
      </c>
      <c r="L350" s="1691">
        <f t="shared" si="26"/>
        <v>50390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250</v>
      </c>
      <c r="F352" s="1691">
        <f t="shared" si="27"/>
        <v>0</v>
      </c>
      <c r="G352" s="1691">
        <f t="shared" si="27"/>
        <v>46341</v>
      </c>
      <c r="H352" s="1691">
        <f t="shared" si="27"/>
        <v>0</v>
      </c>
      <c r="I352" s="1691">
        <f t="shared" si="27"/>
        <v>0</v>
      </c>
      <c r="J352" s="1691">
        <f t="shared" si="27"/>
        <v>0</v>
      </c>
      <c r="K352" s="1691">
        <f t="shared" si="27"/>
        <v>46591</v>
      </c>
      <c r="L352" s="1691">
        <f t="shared" si="27"/>
        <v>50390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1962</v>
      </c>
      <c r="B354" s="684" t="s">
        <v>1954</v>
      </c>
      <c r="C354" s="617"/>
      <c r="D354" s="617"/>
      <c r="E354" s="617"/>
      <c r="F354" s="617"/>
      <c r="G354" s="617"/>
      <c r="H354" s="474"/>
      <c r="I354" s="702"/>
      <c r="J354" s="617"/>
      <c r="K354" s="1720">
        <f>H354</f>
        <v>0</v>
      </c>
      <c r="L354" s="471"/>
    </row>
    <row r="355" spans="1:14" ht="12.75" customHeight="1" x14ac:dyDescent="0.2">
      <c r="A355" s="1534" t="s">
        <v>1963</v>
      </c>
      <c r="B355" s="691" t="s">
        <v>1956</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250</v>
      </c>
      <c r="F367" s="1691">
        <f t="shared" si="28"/>
        <v>0</v>
      </c>
      <c r="G367" s="1691">
        <f t="shared" si="28"/>
        <v>46341</v>
      </c>
      <c r="H367" s="1691">
        <f t="shared" si="28"/>
        <v>0</v>
      </c>
      <c r="I367" s="1691">
        <f t="shared" si="28"/>
        <v>0</v>
      </c>
      <c r="J367" s="1691">
        <f t="shared" si="28"/>
        <v>0</v>
      </c>
      <c r="K367" s="1691">
        <f t="shared" si="28"/>
        <v>46591</v>
      </c>
      <c r="L367" s="1691">
        <f t="shared" si="28"/>
        <v>50390</v>
      </c>
    </row>
    <row r="368" spans="1:14" ht="13.5" thickTop="1" x14ac:dyDescent="0.2">
      <c r="A368" s="2188" t="s">
        <v>1053</v>
      </c>
      <c r="B368" s="2189"/>
      <c r="C368" s="655"/>
      <c r="D368" s="655"/>
      <c r="E368" s="627"/>
      <c r="F368" s="627"/>
      <c r="G368" s="627"/>
      <c r="H368" s="627"/>
      <c r="I368" s="627"/>
      <c r="J368" s="624"/>
      <c r="K368" s="1692">
        <f>'Revenues 9-14'!K275-'Expenditures 15-22'!K367</f>
        <v>-5583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F36"/>
  <sheetViews>
    <sheetView showGridLines="0" defaultGridColor="0" colorId="8" zoomScale="110" zoomScaleNormal="110" workbookViewId="0">
      <selection activeCell="D12" sqref="D1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5" t="s">
        <v>1902</v>
      </c>
      <c r="B2" s="1549" t="s">
        <v>2034</v>
      </c>
      <c r="C2" s="715" t="s">
        <v>1907</v>
      </c>
      <c r="D2" s="715" t="s">
        <v>1908</v>
      </c>
      <c r="E2" s="715" t="s">
        <v>1909</v>
      </c>
      <c r="F2" s="715" t="s">
        <v>1910</v>
      </c>
    </row>
    <row r="3" spans="1:6" ht="12" customHeight="1" x14ac:dyDescent="0.2">
      <c r="A3" s="2216"/>
      <c r="B3" s="1546"/>
      <c r="C3" s="1547"/>
      <c r="D3" s="1548" t="s">
        <v>274</v>
      </c>
      <c r="E3" s="1547"/>
      <c r="F3" s="1548" t="s">
        <v>275</v>
      </c>
    </row>
    <row r="4" spans="1:6" ht="13.7" customHeight="1" x14ac:dyDescent="0.2">
      <c r="A4" s="716" t="s">
        <v>1217</v>
      </c>
      <c r="B4" s="1770">
        <f>'Revenues 9-14'!C5</f>
        <v>2910342</v>
      </c>
      <c r="C4" s="1545">
        <v>1557875</v>
      </c>
      <c r="D4" s="1773">
        <f>B4-C4</f>
        <v>1352467</v>
      </c>
      <c r="E4" s="1545">
        <v>2972055</v>
      </c>
      <c r="F4" s="1773">
        <f>E4-C4</f>
        <v>1414180</v>
      </c>
    </row>
    <row r="5" spans="1:6" ht="13.7" customHeight="1" x14ac:dyDescent="0.2">
      <c r="A5" s="716" t="s">
        <v>925</v>
      </c>
      <c r="B5" s="1771">
        <f>'Revenues 9-14'!D5</f>
        <v>451944</v>
      </c>
      <c r="C5" s="585">
        <v>240622</v>
      </c>
      <c r="D5" s="1774">
        <f t="shared" ref="D5:D18" si="0">B5-C5</f>
        <v>211322</v>
      </c>
      <c r="E5" s="585">
        <v>459053</v>
      </c>
      <c r="F5" s="1774">
        <f>E5-C5</f>
        <v>218431</v>
      </c>
    </row>
    <row r="6" spans="1:6" ht="13.7" customHeight="1" x14ac:dyDescent="0.2">
      <c r="A6" s="716" t="s">
        <v>431</v>
      </c>
      <c r="B6" s="1771">
        <f>'Revenues 9-14'!E5</f>
        <v>1005677</v>
      </c>
      <c r="C6" s="585">
        <v>536492</v>
      </c>
      <c r="D6" s="1774">
        <f t="shared" si="0"/>
        <v>469185</v>
      </c>
      <c r="E6" s="585">
        <v>1023084</v>
      </c>
      <c r="F6" s="1774">
        <f t="shared" ref="F6:F18" si="1">E6-C6</f>
        <v>486592</v>
      </c>
    </row>
    <row r="7" spans="1:6" ht="13.7" customHeight="1" x14ac:dyDescent="0.2">
      <c r="A7" s="716" t="s">
        <v>157</v>
      </c>
      <c r="B7" s="1771">
        <f>'Revenues 9-14'!F5</f>
        <v>187924</v>
      </c>
      <c r="C7" s="585">
        <v>102855</v>
      </c>
      <c r="D7" s="1774">
        <f t="shared" si="0"/>
        <v>85069</v>
      </c>
      <c r="E7" s="585">
        <v>196225</v>
      </c>
      <c r="F7" s="1774">
        <f t="shared" si="1"/>
        <v>93370</v>
      </c>
    </row>
    <row r="8" spans="1:6" ht="13.7" customHeight="1" x14ac:dyDescent="0.2">
      <c r="A8" s="716" t="s">
        <v>1241</v>
      </c>
      <c r="B8" s="1771">
        <f>'Revenues 9-14'!G5</f>
        <v>38933</v>
      </c>
      <c r="C8" s="585">
        <v>35991</v>
      </c>
      <c r="D8" s="1774">
        <f t="shared" si="0"/>
        <v>2942</v>
      </c>
      <c r="E8" s="585">
        <v>68663</v>
      </c>
      <c r="F8" s="1774">
        <f t="shared" si="1"/>
        <v>32672</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31879</v>
      </c>
      <c r="C10" s="585">
        <v>18356</v>
      </c>
      <c r="D10" s="1774">
        <f t="shared" si="0"/>
        <v>13523</v>
      </c>
      <c r="E10" s="585">
        <v>35018</v>
      </c>
      <c r="F10" s="1774">
        <f t="shared" si="1"/>
        <v>16662</v>
      </c>
    </row>
    <row r="11" spans="1:6" x14ac:dyDescent="0.2">
      <c r="A11" s="716" t="s">
        <v>429</v>
      </c>
      <c r="B11" s="1771">
        <f>'Revenues 9-14'!J5</f>
        <v>156487</v>
      </c>
      <c r="C11" s="585">
        <v>82100</v>
      </c>
      <c r="D11" s="1774">
        <f t="shared" si="0"/>
        <v>74387</v>
      </c>
      <c r="E11" s="585">
        <v>156629</v>
      </c>
      <c r="F11" s="1774">
        <f t="shared" si="1"/>
        <v>74529</v>
      </c>
    </row>
    <row r="12" spans="1:6" ht="13.7" customHeight="1" x14ac:dyDescent="0.2">
      <c r="A12" s="716" t="s">
        <v>159</v>
      </c>
      <c r="B12" s="1771">
        <f>'Revenues 9-14'!K5</f>
        <v>39266</v>
      </c>
      <c r="C12" s="585">
        <v>19994</v>
      </c>
      <c r="D12" s="1774">
        <f t="shared" si="0"/>
        <v>19272</v>
      </c>
      <c r="E12" s="585">
        <v>38146</v>
      </c>
      <c r="F12" s="1774">
        <f t="shared" si="1"/>
        <v>18152</v>
      </c>
    </row>
    <row r="13" spans="1:6" ht="13.7" customHeight="1" x14ac:dyDescent="0.2">
      <c r="A13" s="716" t="s">
        <v>993</v>
      </c>
      <c r="B13" s="1771">
        <f>SUM('Revenues 9-14'!C6:D6)</f>
        <v>43373</v>
      </c>
      <c r="C13" s="585">
        <v>23593</v>
      </c>
      <c r="D13" s="1774">
        <f t="shared" si="0"/>
        <v>19780</v>
      </c>
      <c r="E13" s="585">
        <v>45013</v>
      </c>
      <c r="F13" s="1774">
        <f t="shared" si="1"/>
        <v>21420</v>
      </c>
    </row>
    <row r="14" spans="1:6" ht="13.7" customHeight="1" x14ac:dyDescent="0.2">
      <c r="A14" s="716" t="s">
        <v>430</v>
      </c>
      <c r="B14" s="1771">
        <f>SUM('Revenues 9-14'!C7:D7,'Revenues 9-14'!F7:H7)</f>
        <v>41578</v>
      </c>
      <c r="C14" s="585">
        <v>24673</v>
      </c>
      <c r="D14" s="1774">
        <f t="shared" si="0"/>
        <v>16905</v>
      </c>
      <c r="E14" s="585">
        <v>47072</v>
      </c>
      <c r="F14" s="1774">
        <f t="shared" si="1"/>
        <v>22399</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178933</v>
      </c>
      <c r="C16" s="585">
        <v>84260</v>
      </c>
      <c r="D16" s="1774">
        <f t="shared" si="0"/>
        <v>94673</v>
      </c>
      <c r="E16" s="585">
        <v>160749</v>
      </c>
      <c r="F16" s="1774">
        <f t="shared" si="1"/>
        <v>76489</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5086336</v>
      </c>
      <c r="C19" s="1772">
        <f>SUM(C4:C18)</f>
        <v>2726811</v>
      </c>
      <c r="D19" s="1772">
        <f>SUM(D4:D18)</f>
        <v>2359525</v>
      </c>
      <c r="E19" s="1772">
        <f>SUM(E4:E18)</f>
        <v>5201707</v>
      </c>
      <c r="F19" s="1772">
        <f>SUM(F4:F18)</f>
        <v>2474896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K59"/>
  <sheetViews>
    <sheetView showGridLines="0" defaultGridColor="0" topLeftCell="A19" colorId="8" zoomScaleNormal="100" workbookViewId="0">
      <selection activeCell="I49" sqref="I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650</v>
      </c>
      <c r="B1" s="2235"/>
      <c r="C1" s="722"/>
    </row>
    <row r="2" spans="1:7" ht="33.75" x14ac:dyDescent="0.2">
      <c r="A2" s="2242" t="s">
        <v>1902</v>
      </c>
      <c r="B2" s="2243"/>
      <c r="C2" s="1908" t="s">
        <v>2035</v>
      </c>
      <c r="D2" s="724" t="s">
        <v>2042</v>
      </c>
      <c r="E2" s="724" t="s">
        <v>2043</v>
      </c>
      <c r="F2" s="1908" t="s">
        <v>2036</v>
      </c>
    </row>
    <row r="3" spans="1:7" ht="15.75" customHeight="1" x14ac:dyDescent="0.2">
      <c r="A3" s="2244" t="s">
        <v>1176</v>
      </c>
      <c r="B3" s="2245"/>
      <c r="C3" s="2238"/>
      <c r="D3" s="2239"/>
      <c r="E3" s="2239"/>
      <c r="F3" s="2240"/>
    </row>
    <row r="4" spans="1:7" ht="12.75" customHeight="1" thickBot="1" x14ac:dyDescent="0.25">
      <c r="A4" s="2232" t="s">
        <v>651</v>
      </c>
      <c r="B4" s="2233"/>
      <c r="C4" s="581"/>
      <c r="D4" s="581"/>
      <c r="E4" s="581"/>
      <c r="F4" s="1776">
        <f>SUM(C4+D4)-E4</f>
        <v>0</v>
      </c>
    </row>
    <row r="5" spans="1:7" ht="15.75" customHeight="1" thickTop="1" x14ac:dyDescent="0.2">
      <c r="A5" s="2236" t="s">
        <v>1172</v>
      </c>
      <c r="B5" s="2231"/>
      <c r="C5" s="2225"/>
      <c r="D5" s="2226"/>
      <c r="E5" s="2226"/>
      <c r="F5" s="2227"/>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28" t="s">
        <v>652</v>
      </c>
      <c r="B15" s="2229"/>
      <c r="C15" s="1776">
        <f>SUM(C6:C14)</f>
        <v>0</v>
      </c>
      <c r="D15" s="1776">
        <f>SUM(D6:D14)</f>
        <v>0</v>
      </c>
      <c r="E15" s="1776">
        <f>SUM(E6:E14)</f>
        <v>0</v>
      </c>
      <c r="F15" s="1776">
        <f>SUM(F6:F14)</f>
        <v>0</v>
      </c>
      <c r="G15" s="552"/>
    </row>
    <row r="16" spans="1:7" s="202" customFormat="1" ht="15.75" customHeight="1" thickTop="1" x14ac:dyDescent="0.2">
      <c r="A16" s="2241" t="s">
        <v>1173</v>
      </c>
      <c r="B16" s="2231"/>
      <c r="C16" s="2225"/>
      <c r="D16" s="2226"/>
      <c r="E16" s="2226"/>
      <c r="F16" s="2227"/>
    </row>
    <row r="17" spans="1:11" ht="12.75" customHeight="1" thickBot="1" x14ac:dyDescent="0.25">
      <c r="A17" s="2223" t="s">
        <v>66</v>
      </c>
      <c r="B17" s="2224"/>
      <c r="C17" s="727"/>
      <c r="D17" s="585"/>
      <c r="E17" s="727"/>
      <c r="F17" s="1776">
        <f>SUM(C17+D17)-E17</f>
        <v>0</v>
      </c>
    </row>
    <row r="18" spans="1:11" ht="12.75" customHeight="1" thickTop="1" thickBot="1" x14ac:dyDescent="0.25">
      <c r="A18" s="2223" t="s">
        <v>6</v>
      </c>
      <c r="B18" s="2224"/>
      <c r="C18" s="727"/>
      <c r="D18" s="585"/>
      <c r="E18" s="727"/>
      <c r="F18" s="1776">
        <f>SUM(C18+D18)-E18</f>
        <v>0</v>
      </c>
    </row>
    <row r="19" spans="1:11" ht="12.75" customHeight="1" thickTop="1" thickBot="1" x14ac:dyDescent="0.25">
      <c r="A19" s="2223" t="s">
        <v>406</v>
      </c>
      <c r="B19" s="2224"/>
      <c r="C19" s="727"/>
      <c r="D19" s="585"/>
      <c r="E19" s="727"/>
      <c r="F19" s="1776">
        <f>SUM(C19+D19)-E19</f>
        <v>0</v>
      </c>
    </row>
    <row r="20" spans="1:11" ht="12.75" customHeight="1" thickTop="1" thickBot="1" x14ac:dyDescent="0.25">
      <c r="A20" s="2223" t="s">
        <v>468</v>
      </c>
      <c r="B20" s="2224"/>
      <c r="C20" s="727"/>
      <c r="D20" s="585"/>
      <c r="E20" s="727"/>
      <c r="F20" s="1776">
        <f>SUM(C20+D20)-E20</f>
        <v>0</v>
      </c>
    </row>
    <row r="21" spans="1:11" ht="14.25" thickTop="1" thickBot="1" x14ac:dyDescent="0.25">
      <c r="A21" s="2228" t="s">
        <v>653</v>
      </c>
      <c r="B21" s="2229"/>
      <c r="C21" s="1776">
        <f>SUM(C17:C20)</f>
        <v>0</v>
      </c>
      <c r="D21" s="1776">
        <f>SUM(D17:D20)</f>
        <v>0</v>
      </c>
      <c r="E21" s="1776">
        <f>SUM(E17:E20)</f>
        <v>0</v>
      </c>
      <c r="F21" s="1776">
        <f>SUM(F17:F20)</f>
        <v>0</v>
      </c>
      <c r="G21" s="552"/>
    </row>
    <row r="22" spans="1:11" ht="15.75" customHeight="1" thickTop="1" x14ac:dyDescent="0.2">
      <c r="A22" s="2230" t="s">
        <v>1174</v>
      </c>
      <c r="B22" s="2231"/>
      <c r="C22" s="2225"/>
      <c r="D22" s="2226"/>
      <c r="E22" s="2226"/>
      <c r="F22" s="2227"/>
    </row>
    <row r="23" spans="1:11" ht="13.5" thickBot="1" x14ac:dyDescent="0.25">
      <c r="A23" s="2232" t="s">
        <v>654</v>
      </c>
      <c r="B23" s="2233"/>
      <c r="C23" s="581"/>
      <c r="D23" s="581"/>
      <c r="E23" s="581"/>
      <c r="F23" s="1776">
        <f>SUM(C23+D23)-E23</f>
        <v>0</v>
      </c>
      <c r="G23" s="552"/>
    </row>
    <row r="24" spans="1:11" ht="15.75" customHeight="1" thickTop="1" x14ac:dyDescent="0.2">
      <c r="A24" s="2230" t="s">
        <v>1175</v>
      </c>
      <c r="B24" s="2231"/>
      <c r="C24" s="2225"/>
      <c r="D24" s="2226"/>
      <c r="E24" s="2226"/>
      <c r="F24" s="2227"/>
    </row>
    <row r="25" spans="1:11" ht="13.5" thickBot="1" x14ac:dyDescent="0.25">
      <c r="A25" s="2232" t="s">
        <v>655</v>
      </c>
      <c r="B25" s="2233"/>
      <c r="C25" s="581"/>
      <c r="D25" s="581"/>
      <c r="E25" s="581"/>
      <c r="F25" s="1776">
        <f>SUM(C25+D25)-E25</f>
        <v>0</v>
      </c>
      <c r="G25" s="552"/>
    </row>
    <row r="26" spans="1:11" ht="15.75" customHeight="1" thickTop="1" x14ac:dyDescent="0.2">
      <c r="A26" s="2236" t="s">
        <v>678</v>
      </c>
      <c r="B26" s="2231"/>
      <c r="C26" s="728"/>
      <c r="D26" s="728"/>
      <c r="E26" s="728"/>
      <c r="F26" s="729"/>
    </row>
    <row r="27" spans="1:11" ht="13.5" thickBot="1" x14ac:dyDescent="0.25">
      <c r="A27" s="2228" t="s">
        <v>1130</v>
      </c>
      <c r="B27" s="2229"/>
      <c r="C27" s="585"/>
      <c r="D27" s="585"/>
      <c r="E27" s="585"/>
      <c r="F27" s="1776">
        <f>SUM(C27+D27)-E27</f>
        <v>0</v>
      </c>
      <c r="G27" s="552"/>
    </row>
    <row r="28" spans="1:11" ht="7.5" customHeight="1" thickTop="1" x14ac:dyDescent="0.2">
      <c r="A28" s="594"/>
    </row>
    <row r="29" spans="1:11" ht="23.25" customHeight="1" x14ac:dyDescent="0.2">
      <c r="A29" s="2234" t="s">
        <v>603</v>
      </c>
      <c r="B29" s="2235"/>
      <c r="C29" s="730"/>
      <c r="D29" s="730"/>
      <c r="E29" s="730"/>
      <c r="F29" s="730"/>
      <c r="G29" s="730"/>
      <c r="H29" s="730"/>
      <c r="I29" s="730"/>
      <c r="J29" s="730"/>
    </row>
    <row r="30" spans="1:11" ht="33.75" x14ac:dyDescent="0.2">
      <c r="A30" s="1550" t="s">
        <v>1131</v>
      </c>
      <c r="B30" s="731" t="s">
        <v>1186</v>
      </c>
      <c r="C30" s="1909" t="s">
        <v>604</v>
      </c>
      <c r="D30" s="1909" t="s">
        <v>1772</v>
      </c>
      <c r="E30" s="1909" t="s">
        <v>2037</v>
      </c>
      <c r="F30" s="1909" t="s">
        <v>2038</v>
      </c>
      <c r="G30" s="1909" t="s">
        <v>2041</v>
      </c>
      <c r="H30" s="1909" t="s">
        <v>2039</v>
      </c>
      <c r="I30" s="1909" t="s">
        <v>2040</v>
      </c>
      <c r="J30" s="1910" t="s">
        <v>2</v>
      </c>
      <c r="K30" s="732"/>
    </row>
    <row r="31" spans="1:11" ht="12" customHeight="1" x14ac:dyDescent="0.2">
      <c r="A31" s="733" t="s">
        <v>2074</v>
      </c>
      <c r="B31" s="734">
        <v>40695</v>
      </c>
      <c r="C31" s="735">
        <v>500000</v>
      </c>
      <c r="D31" s="736">
        <v>3</v>
      </c>
      <c r="E31" s="735">
        <v>500000</v>
      </c>
      <c r="F31" s="735"/>
      <c r="G31" s="735"/>
      <c r="H31" s="735"/>
      <c r="I31" s="1777">
        <f>((E31+F31)-H31)+G31</f>
        <v>500000</v>
      </c>
      <c r="J31" s="735">
        <v>500000</v>
      </c>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t="s">
        <v>2075</v>
      </c>
      <c r="B33" s="734">
        <v>41452</v>
      </c>
      <c r="C33" s="735">
        <v>980000</v>
      </c>
      <c r="D33" s="736">
        <v>1</v>
      </c>
      <c r="E33" s="735">
        <v>980000</v>
      </c>
      <c r="F33" s="735"/>
      <c r="G33" s="735"/>
      <c r="H33" s="735"/>
      <c r="I33" s="1777">
        <f t="shared" ref="I33:I48" si="1">((E33+F33)-H33)+G33</f>
        <v>980000</v>
      </c>
      <c r="J33" s="735">
        <v>980000</v>
      </c>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t="s">
        <v>2076</v>
      </c>
      <c r="B35" s="734">
        <v>41452</v>
      </c>
      <c r="C35" s="739">
        <v>6940000</v>
      </c>
      <c r="D35" s="736">
        <v>3</v>
      </c>
      <c r="E35" s="739">
        <v>3185000</v>
      </c>
      <c r="F35" s="739"/>
      <c r="G35" s="739"/>
      <c r="H35" s="739">
        <v>850000</v>
      </c>
      <c r="I35" s="1777">
        <f t="shared" si="1"/>
        <v>2335000</v>
      </c>
      <c r="J35" s="739">
        <v>1765861</v>
      </c>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t="s">
        <v>2077</v>
      </c>
      <c r="B37" s="734">
        <v>42438</v>
      </c>
      <c r="C37" s="467">
        <v>1500000</v>
      </c>
      <c r="D37" s="741">
        <v>1</v>
      </c>
      <c r="E37" s="467">
        <v>1500000</v>
      </c>
      <c r="F37" s="467"/>
      <c r="G37" s="467"/>
      <c r="H37" s="467"/>
      <c r="I37" s="1777">
        <f t="shared" si="1"/>
        <v>1500000</v>
      </c>
      <c r="J37" s="467">
        <v>1500000</v>
      </c>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t="s">
        <v>2078</v>
      </c>
      <c r="B39" s="734">
        <v>42438</v>
      </c>
      <c r="C39" s="735">
        <v>347000</v>
      </c>
      <c r="D39" s="742">
        <v>3</v>
      </c>
      <c r="E39" s="743">
        <v>347000</v>
      </c>
      <c r="F39" s="743"/>
      <c r="G39" s="743"/>
      <c r="H39" s="743"/>
      <c r="I39" s="1777">
        <f t="shared" si="1"/>
        <v>347000</v>
      </c>
      <c r="J39" s="744">
        <v>347000</v>
      </c>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10267000</v>
      </c>
      <c r="D49" s="746"/>
      <c r="E49" s="1777">
        <f t="shared" ref="E49:J49" si="2">SUM(E31:E48)</f>
        <v>6512000</v>
      </c>
      <c r="F49" s="1777">
        <f t="shared" si="2"/>
        <v>0</v>
      </c>
      <c r="G49" s="1777">
        <f t="shared" si="2"/>
        <v>0</v>
      </c>
      <c r="H49" s="1777">
        <f t="shared" si="2"/>
        <v>850000</v>
      </c>
      <c r="I49" s="1777">
        <f t="shared" si="2"/>
        <v>5662000</v>
      </c>
      <c r="J49" s="1777">
        <f t="shared" si="2"/>
        <v>5092861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17" t="s">
        <v>605</v>
      </c>
      <c r="C52" s="2218"/>
      <c r="D52" s="2218"/>
      <c r="E52" s="750" t="s">
        <v>900</v>
      </c>
      <c r="F52" s="2219"/>
      <c r="G52" s="2220"/>
      <c r="H52" s="737"/>
      <c r="I52" s="737"/>
      <c r="J52" s="747"/>
    </row>
    <row r="53" spans="1:11" ht="11.25" customHeight="1" x14ac:dyDescent="0.2">
      <c r="A53" s="751" t="s">
        <v>969</v>
      </c>
      <c r="B53" s="752" t="s">
        <v>1008</v>
      </c>
      <c r="C53" s="747"/>
      <c r="D53" s="738"/>
      <c r="E53" s="750" t="s">
        <v>518</v>
      </c>
      <c r="F53" s="2221"/>
      <c r="G53" s="2222"/>
      <c r="H53" s="737"/>
      <c r="I53" s="737"/>
      <c r="J53" s="747"/>
    </row>
    <row r="54" spans="1:11" ht="11.25" customHeight="1" x14ac:dyDescent="0.2">
      <c r="A54" s="753" t="s">
        <v>970</v>
      </c>
      <c r="B54" s="748" t="s">
        <v>1009</v>
      </c>
      <c r="C54" s="747"/>
      <c r="D54" s="738"/>
      <c r="E54" s="750" t="s">
        <v>519</v>
      </c>
      <c r="F54" s="2221"/>
      <c r="G54" s="222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K48"/>
  <sheetViews>
    <sheetView showGridLines="0" defaultGridColor="0" colorId="8" zoomScale="110" zoomScaleNormal="110" workbookViewId="0">
      <selection activeCell="K14" sqref="K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911</v>
      </c>
      <c r="B1" s="2247"/>
      <c r="C1" s="2247"/>
      <c r="D1" s="2247"/>
      <c r="E1" s="2247"/>
      <c r="F1" s="2247"/>
      <c r="G1" s="2248"/>
      <c r="H1" s="1551"/>
      <c r="I1" s="761"/>
      <c r="J1" s="433"/>
    </row>
    <row r="2" spans="1:11" ht="26.25" x14ac:dyDescent="0.2">
      <c r="A2" s="2265" t="s">
        <v>1776</v>
      </c>
      <c r="B2" s="2266"/>
      <c r="C2" s="2266"/>
      <c r="D2" s="2266"/>
      <c r="E2" s="2267"/>
      <c r="F2" s="762" t="s">
        <v>960</v>
      </c>
      <c r="G2" s="763" t="s">
        <v>1773</v>
      </c>
      <c r="H2" s="763" t="s">
        <v>430</v>
      </c>
      <c r="I2" s="763" t="s">
        <v>1220</v>
      </c>
      <c r="J2" s="763" t="s">
        <v>1916</v>
      </c>
      <c r="K2" s="763" t="s">
        <v>140</v>
      </c>
    </row>
    <row r="3" spans="1:11" x14ac:dyDescent="0.2">
      <c r="A3" s="2268" t="s">
        <v>1698</v>
      </c>
      <c r="B3" s="2269"/>
      <c r="C3" s="2269"/>
      <c r="D3" s="2269"/>
      <c r="E3" s="2270"/>
      <c r="F3" s="764"/>
      <c r="G3" s="765"/>
      <c r="H3" s="765"/>
      <c r="I3" s="765"/>
      <c r="J3" s="766"/>
      <c r="K3" s="766"/>
    </row>
    <row r="4" spans="1:11" x14ac:dyDescent="0.2">
      <c r="A4" s="2271" t="s">
        <v>387</v>
      </c>
      <c r="B4" s="2272"/>
      <c r="C4" s="2272"/>
      <c r="D4" s="2272"/>
      <c r="E4" s="2218"/>
      <c r="F4" s="767"/>
      <c r="G4" s="768"/>
      <c r="H4" s="769"/>
      <c r="I4" s="768"/>
      <c r="J4" s="770"/>
      <c r="K4" s="770"/>
    </row>
    <row r="5" spans="1:11" x14ac:dyDescent="0.2">
      <c r="A5" s="2249" t="s">
        <v>1129</v>
      </c>
      <c r="B5" s="2250"/>
      <c r="C5" s="2250"/>
      <c r="D5" s="2250"/>
      <c r="E5" s="2251"/>
      <c r="F5" s="771" t="s">
        <v>903</v>
      </c>
      <c r="G5" s="772"/>
      <c r="H5" s="765">
        <v>41578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343</v>
      </c>
    </row>
    <row r="10" spans="1:11" x14ac:dyDescent="0.2">
      <c r="A10" s="2249" t="s">
        <v>1917</v>
      </c>
      <c r="B10" s="2250"/>
      <c r="C10" s="2250"/>
      <c r="D10" s="2250"/>
      <c r="E10" s="2252"/>
      <c r="F10" s="784" t="s">
        <v>917</v>
      </c>
      <c r="G10" s="783"/>
      <c r="H10" s="785">
        <v>83</v>
      </c>
      <c r="I10" s="765"/>
      <c r="J10" s="766"/>
      <c r="K10" s="766"/>
    </row>
    <row r="11" spans="1:11" x14ac:dyDescent="0.2">
      <c r="A11" s="2249" t="s">
        <v>162</v>
      </c>
      <c r="B11" s="2250"/>
      <c r="C11" s="2250"/>
      <c r="D11" s="2250"/>
      <c r="E11" s="2251"/>
      <c r="F11" s="771" t="s">
        <v>907</v>
      </c>
      <c r="G11" s="772"/>
      <c r="H11" s="765"/>
      <c r="I11" s="765"/>
      <c r="J11" s="766"/>
      <c r="K11" s="774"/>
    </row>
    <row r="12" spans="1:11" ht="13.5" thickBot="1" x14ac:dyDescent="0.25">
      <c r="A12" s="2276" t="s">
        <v>961</v>
      </c>
      <c r="B12" s="2277"/>
      <c r="C12" s="2277"/>
      <c r="D12" s="2277"/>
      <c r="E12" s="2278"/>
      <c r="F12" s="1778"/>
      <c r="G12" s="1779">
        <f>SUM(G5:G11)</f>
        <v>0</v>
      </c>
      <c r="H12" s="1779">
        <f>SUM(H5:H11)</f>
        <v>41661</v>
      </c>
      <c r="I12" s="1779">
        <f>SUM(I5:I11)</f>
        <v>0</v>
      </c>
      <c r="J12" s="1779">
        <f>SUM(J5:J11)</f>
        <v>0</v>
      </c>
      <c r="K12" s="1779">
        <f>SUM(K5:K11)</f>
        <v>343</v>
      </c>
    </row>
    <row r="13" spans="1:11" ht="13.5" thickTop="1" x14ac:dyDescent="0.2">
      <c r="A13" s="2273" t="s">
        <v>388</v>
      </c>
      <c r="B13" s="2274"/>
      <c r="C13" s="2274"/>
      <c r="D13" s="2274"/>
      <c r="E13" s="2275"/>
      <c r="F13" s="786"/>
      <c r="G13" s="787"/>
      <c r="H13" s="788"/>
      <c r="I13" s="789"/>
      <c r="J13" s="789"/>
      <c r="K13" s="789"/>
    </row>
    <row r="14" spans="1:11" x14ac:dyDescent="0.2">
      <c r="A14" s="2256" t="s">
        <v>476</v>
      </c>
      <c r="B14" s="2256"/>
      <c r="C14" s="2256"/>
      <c r="D14" s="2256"/>
      <c r="E14" s="2257"/>
      <c r="F14" s="790" t="s">
        <v>909</v>
      </c>
      <c r="G14" s="783"/>
      <c r="H14" s="765">
        <v>41661</v>
      </c>
      <c r="I14" s="772"/>
      <c r="J14" s="774"/>
      <c r="K14" s="766">
        <v>343</v>
      </c>
    </row>
    <row r="15" spans="1:11" x14ac:dyDescent="0.2">
      <c r="A15" s="2250" t="s">
        <v>4</v>
      </c>
      <c r="B15" s="2250"/>
      <c r="C15" s="2250"/>
      <c r="D15" s="2250"/>
      <c r="E15" s="2251"/>
      <c r="F15" s="790" t="s">
        <v>910</v>
      </c>
      <c r="G15" s="772"/>
      <c r="H15" s="765"/>
      <c r="I15" s="765"/>
      <c r="J15" s="766"/>
      <c r="K15" s="766"/>
    </row>
    <row r="16" spans="1:11" x14ac:dyDescent="0.2">
      <c r="A16" s="2250" t="s">
        <v>316</v>
      </c>
      <c r="B16" s="2250"/>
      <c r="C16" s="2250"/>
      <c r="D16" s="2250"/>
      <c r="E16" s="2251"/>
      <c r="F16" s="790" t="s">
        <v>980</v>
      </c>
      <c r="G16" s="773"/>
      <c r="H16" s="768"/>
      <c r="I16" s="768"/>
      <c r="J16" s="770"/>
      <c r="K16" s="770"/>
    </row>
    <row r="17" spans="1:11" x14ac:dyDescent="0.2">
      <c r="A17" s="2281" t="s">
        <v>992</v>
      </c>
      <c r="B17" s="2281"/>
      <c r="C17" s="2281"/>
      <c r="D17" s="2281"/>
      <c r="E17" s="2282"/>
      <c r="F17" s="791"/>
      <c r="G17" s="792"/>
      <c r="H17" s="793"/>
      <c r="I17" s="793"/>
      <c r="J17" s="794"/>
      <c r="K17" s="795"/>
    </row>
    <row r="18" spans="1:11" x14ac:dyDescent="0.2">
      <c r="A18" s="2260" t="s">
        <v>386</v>
      </c>
      <c r="B18" s="2261"/>
      <c r="C18" s="2261"/>
      <c r="D18" s="2261"/>
      <c r="E18" s="2262"/>
      <c r="F18" s="790" t="s">
        <v>989</v>
      </c>
      <c r="G18" s="783"/>
      <c r="H18" s="783"/>
      <c r="I18" s="783"/>
      <c r="J18" s="766"/>
      <c r="K18" s="796"/>
    </row>
    <row r="19" spans="1:11" ht="21.75" customHeight="1" x14ac:dyDescent="0.2">
      <c r="A19" s="2258" t="s">
        <v>1913</v>
      </c>
      <c r="B19" s="2258"/>
      <c r="C19" s="2258"/>
      <c r="D19" s="2258"/>
      <c r="E19" s="2259"/>
      <c r="F19" s="790" t="s">
        <v>990</v>
      </c>
      <c r="G19" s="783"/>
      <c r="H19" s="783"/>
      <c r="I19" s="783"/>
      <c r="J19" s="766"/>
      <c r="K19" s="796"/>
    </row>
    <row r="20" spans="1:11" x14ac:dyDescent="0.2">
      <c r="A20" s="2260" t="s">
        <v>1918</v>
      </c>
      <c r="B20" s="2261"/>
      <c r="C20" s="2261"/>
      <c r="D20" s="2261"/>
      <c r="E20" s="2262"/>
      <c r="F20" s="790" t="s">
        <v>991</v>
      </c>
      <c r="G20" s="783"/>
      <c r="H20" s="783"/>
      <c r="I20" s="783"/>
      <c r="J20" s="766"/>
      <c r="K20" s="796"/>
    </row>
    <row r="21" spans="1:11" ht="13.5" thickBot="1" x14ac:dyDescent="0.25">
      <c r="A21" s="2279" t="s">
        <v>659</v>
      </c>
      <c r="B21" s="2279"/>
      <c r="C21" s="2279"/>
      <c r="D21" s="2279"/>
      <c r="E21" s="2279"/>
      <c r="F21" s="1780"/>
      <c r="G21" s="793"/>
      <c r="H21" s="797"/>
      <c r="I21" s="797"/>
      <c r="J21" s="1781">
        <f>SUM(J18:J20)</f>
        <v>0</v>
      </c>
      <c r="K21" s="794"/>
    </row>
    <row r="22" spans="1:11" ht="13.5" thickTop="1" x14ac:dyDescent="0.2">
      <c r="A22" s="2250" t="s">
        <v>1919</v>
      </c>
      <c r="B22" s="2250"/>
      <c r="C22" s="2250"/>
      <c r="D22" s="2250"/>
      <c r="E22" s="2251"/>
      <c r="F22" s="790" t="s">
        <v>917</v>
      </c>
      <c r="G22" s="783"/>
      <c r="H22" s="765"/>
      <c r="I22" s="765"/>
      <c r="J22" s="798"/>
      <c r="K22" s="766"/>
    </row>
    <row r="23" spans="1:11" ht="13.5" thickBot="1" x14ac:dyDescent="0.25">
      <c r="A23" s="2280" t="s">
        <v>962</v>
      </c>
      <c r="B23" s="2279"/>
      <c r="C23" s="2279"/>
      <c r="D23" s="2279"/>
      <c r="E23" s="2279"/>
      <c r="F23" s="1782"/>
      <c r="G23" s="1779">
        <f>SUM(G14:G16,G21,G22)</f>
        <v>0</v>
      </c>
      <c r="H23" s="1779">
        <f>SUM(H14:H16,H21,H22)</f>
        <v>41661</v>
      </c>
      <c r="I23" s="1779">
        <f>SUM(I14:I16,I21,I22)</f>
        <v>0</v>
      </c>
      <c r="J23" s="1779">
        <f>SUM(J14:J16,J21,J22)</f>
        <v>0</v>
      </c>
      <c r="K23" s="1779">
        <f>SUM(K14:K16,K21,K22)</f>
        <v>343</v>
      </c>
    </row>
    <row r="24" spans="1:11" ht="14.25" thickTop="1" thickBot="1" x14ac:dyDescent="0.25">
      <c r="A24" s="2280" t="s">
        <v>2023</v>
      </c>
      <c r="B24" s="2279"/>
      <c r="C24" s="2279"/>
      <c r="D24" s="2279"/>
      <c r="E24" s="2279"/>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2033</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3"/>
      <c r="I31" s="2254"/>
      <c r="J31" s="2254"/>
      <c r="K31" s="2254"/>
    </row>
    <row r="32" spans="1:11" x14ac:dyDescent="0.2">
      <c r="A32" s="810"/>
      <c r="B32" s="237"/>
      <c r="C32" s="237"/>
      <c r="D32" s="237"/>
      <c r="E32" s="806"/>
      <c r="F32" s="812" t="s">
        <v>561</v>
      </c>
      <c r="G32" s="765"/>
      <c r="H32" s="2255"/>
      <c r="I32" s="2254"/>
      <c r="J32" s="2254"/>
      <c r="K32" s="2254"/>
    </row>
    <row r="33" spans="1:11" ht="1.5" customHeight="1" x14ac:dyDescent="0.2">
      <c r="A33" s="813" t="s">
        <v>1231</v>
      </c>
      <c r="B33" s="364"/>
      <c r="C33" s="364"/>
      <c r="D33" s="364"/>
      <c r="E33" s="364"/>
      <c r="F33" s="364"/>
      <c r="G33" s="814"/>
      <c r="H33" s="2255"/>
      <c r="I33" s="2254"/>
      <c r="J33" s="2254"/>
      <c r="K33" s="2254"/>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0" t="s">
        <v>562</v>
      </c>
      <c r="B41" s="2263"/>
      <c r="C41" s="2263"/>
      <c r="D41" s="2263"/>
      <c r="E41" s="2263"/>
      <c r="F41" s="226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1914</v>
      </c>
      <c r="B46" s="408" t="s">
        <v>1774</v>
      </c>
    </row>
    <row r="47" spans="1:11" s="824" customFormat="1" ht="12.75" customHeight="1" x14ac:dyDescent="0.2">
      <c r="A47" s="822"/>
      <c r="B47" s="823" t="s">
        <v>1775</v>
      </c>
      <c r="E47" s="823"/>
      <c r="K47" s="825"/>
    </row>
    <row r="48" spans="1:11" ht="12.75" customHeight="1" x14ac:dyDescent="0.2">
      <c r="A48" s="155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N27"/>
  <sheetViews>
    <sheetView showGridLines="0" defaultGridColor="0" topLeftCell="A4" colorId="8" zoomScale="110" zoomScaleNormal="110" workbookViewId="0">
      <selection activeCell="F10" sqref="F1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2032</v>
      </c>
      <c r="B1" s="2286"/>
      <c r="C1" s="2287"/>
      <c r="D1" s="827"/>
      <c r="E1" s="828"/>
      <c r="F1" s="828"/>
      <c r="G1" s="829"/>
      <c r="H1" s="830"/>
      <c r="I1" s="831"/>
      <c r="J1" s="2283"/>
      <c r="K1" s="2284"/>
      <c r="L1" s="2284"/>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138937</v>
      </c>
      <c r="D5" s="842"/>
      <c r="E5" s="842"/>
      <c r="F5" s="1781">
        <f>(C5+D5)-E5</f>
        <v>138937</v>
      </c>
      <c r="G5" s="838"/>
      <c r="H5" s="843"/>
      <c r="I5" s="843"/>
      <c r="J5" s="843"/>
      <c r="K5" s="794"/>
      <c r="L5" s="1790">
        <f>F5-K5</f>
        <v>138937</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17589782</v>
      </c>
      <c r="D8" s="845">
        <v>111640</v>
      </c>
      <c r="E8" s="845"/>
      <c r="F8" s="1781">
        <f>(C8+D8)-E8</f>
        <v>17701422</v>
      </c>
      <c r="G8" s="844">
        <v>50</v>
      </c>
      <c r="H8" s="766">
        <v>4776895</v>
      </c>
      <c r="I8" s="766">
        <v>353335</v>
      </c>
      <c r="J8" s="766"/>
      <c r="K8" s="1790">
        <f>(H8+I8)-J8</f>
        <v>5130230</v>
      </c>
      <c r="L8" s="1790">
        <f>F8-K8</f>
        <v>12571192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478647</v>
      </c>
      <c r="D10" s="847">
        <v>2140</v>
      </c>
      <c r="E10" s="847"/>
      <c r="F10" s="1785">
        <f>(C10+D10)-E10</f>
        <v>480787</v>
      </c>
      <c r="G10" s="844">
        <v>20</v>
      </c>
      <c r="H10" s="848">
        <v>151212</v>
      </c>
      <c r="I10" s="848">
        <v>23986</v>
      </c>
      <c r="J10" s="848"/>
      <c r="K10" s="1790">
        <f>(H10+I10)-J10</f>
        <v>175198</v>
      </c>
      <c r="L10" s="1790">
        <f>F10-K10</f>
        <v>305589</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2067888</v>
      </c>
      <c r="D12" s="845">
        <v>189144</v>
      </c>
      <c r="E12" s="845">
        <v>270722</v>
      </c>
      <c r="F12" s="1781">
        <f>(C12+D12)-E12</f>
        <v>1986310</v>
      </c>
      <c r="G12" s="844">
        <v>10</v>
      </c>
      <c r="H12" s="766">
        <v>1051085</v>
      </c>
      <c r="I12" s="766">
        <v>186040</v>
      </c>
      <c r="J12" s="766">
        <v>270722</v>
      </c>
      <c r="K12" s="1790">
        <f>(H12+I12)-J12</f>
        <v>966403</v>
      </c>
      <c r="L12" s="1790">
        <f>F12-K12</f>
        <v>1019907</v>
      </c>
    </row>
    <row r="13" spans="1:14" ht="14.25" thickTop="1" thickBot="1" x14ac:dyDescent="0.25">
      <c r="A13" s="849" t="s">
        <v>1184</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20275254</v>
      </c>
      <c r="D16" s="1781">
        <f>SUM(D3,D5:D6,D8:D10,D12:D15)</f>
        <v>302924</v>
      </c>
      <c r="E16" s="1781">
        <f>SUM(E3,E5:E6,E8:E10,E12:E15)</f>
        <v>270722</v>
      </c>
      <c r="F16" s="1781">
        <f>SUM(F3,F5:F6,F8:F10,F12:F15)</f>
        <v>20307456</v>
      </c>
      <c r="G16" s="844"/>
      <c r="H16" s="1781">
        <f>SUM(H3,H6,H8:H10,H12:H14,)</f>
        <v>5979192</v>
      </c>
      <c r="I16" s="1781">
        <f>SUM(I3,I6,I8:I10,I12:I14,)</f>
        <v>563361</v>
      </c>
      <c r="J16" s="1781">
        <f>SUM(J3,J6,J8:J10,J12:J14,)</f>
        <v>270722</v>
      </c>
      <c r="K16" s="1781">
        <f>(H16+I16)-J16</f>
        <v>6271831</v>
      </c>
      <c r="L16" s="1781">
        <f>F16-K16</f>
        <v>14035625</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563361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sheetPr>
  <dimension ref="A1:H206"/>
  <sheetViews>
    <sheetView showGridLines="0" defaultGridColor="0" colorId="8" zoomScale="110" zoomScaleNormal="110" workbookViewId="0">
      <pane ySplit="5" topLeftCell="A58"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1" t="s">
        <v>1699</v>
      </c>
      <c r="B1" s="2292"/>
      <c r="C1" s="2292"/>
      <c r="D1" s="2292"/>
      <c r="E1" s="2292"/>
      <c r="F1" s="2293"/>
      <c r="G1" s="856"/>
    </row>
    <row r="2" spans="1:7" ht="15" customHeight="1" thickBot="1" x14ac:dyDescent="0.25">
      <c r="A2" s="2294" t="s">
        <v>498</v>
      </c>
      <c r="B2" s="2295"/>
      <c r="C2" s="2295"/>
      <c r="D2" s="2295"/>
      <c r="E2" s="2295"/>
      <c r="F2" s="229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7"/>
      <c r="B5" s="2298"/>
      <c r="C5" s="2298"/>
      <c r="D5" s="2298"/>
      <c r="E5" s="2298"/>
      <c r="F5" s="2298"/>
    </row>
    <row r="6" spans="1:7" ht="13.5" customHeight="1" thickBot="1" x14ac:dyDescent="0.25">
      <c r="A6" s="2288" t="s">
        <v>1166</v>
      </c>
      <c r="B6" s="2289"/>
      <c r="C6" s="2289"/>
      <c r="D6" s="2289"/>
      <c r="E6" s="2289"/>
      <c r="F6" s="229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8317812</v>
      </c>
      <c r="G8" s="866"/>
    </row>
    <row r="9" spans="1:7" x14ac:dyDescent="0.2">
      <c r="A9" s="870" t="s">
        <v>480</v>
      </c>
      <c r="B9" s="871" t="s">
        <v>1986</v>
      </c>
      <c r="C9" s="872"/>
      <c r="D9" s="870" t="s">
        <v>522</v>
      </c>
      <c r="E9" s="869"/>
      <c r="F9" s="1934">
        <f>'Expenditures 15-22'!K151</f>
        <v>1212354</v>
      </c>
      <c r="G9" s="873"/>
    </row>
    <row r="10" spans="1:7" x14ac:dyDescent="0.2">
      <c r="A10" s="870" t="s">
        <v>520</v>
      </c>
      <c r="B10" s="871" t="s">
        <v>1987</v>
      </c>
      <c r="C10" s="872"/>
      <c r="D10" s="870" t="s">
        <v>522</v>
      </c>
      <c r="E10" s="869"/>
      <c r="F10" s="1934">
        <f>'Expenditures 15-22'!K174</f>
        <v>1028761</v>
      </c>
      <c r="G10" s="873"/>
    </row>
    <row r="11" spans="1:7" x14ac:dyDescent="0.2">
      <c r="A11" s="870" t="s">
        <v>481</v>
      </c>
      <c r="B11" s="871" t="s">
        <v>1988</v>
      </c>
      <c r="C11" s="872"/>
      <c r="D11" s="870" t="s">
        <v>522</v>
      </c>
      <c r="E11" s="869"/>
      <c r="F11" s="1934">
        <f>'Expenditures 15-22'!K210</f>
        <v>407525</v>
      </c>
      <c r="G11" s="873"/>
    </row>
    <row r="12" spans="1:7" x14ac:dyDescent="0.2">
      <c r="A12" s="870" t="s">
        <v>482</v>
      </c>
      <c r="B12" s="871" t="s">
        <v>1989</v>
      </c>
      <c r="C12" s="872"/>
      <c r="D12" s="870" t="s">
        <v>522</v>
      </c>
      <c r="E12" s="869"/>
      <c r="F12" s="1934">
        <f>'Expenditures 15-22'!K295</f>
        <v>278248</v>
      </c>
      <c r="G12" s="873"/>
    </row>
    <row r="13" spans="1:7" x14ac:dyDescent="0.2">
      <c r="A13" s="870" t="s">
        <v>108</v>
      </c>
      <c r="B13" s="871" t="s">
        <v>1990</v>
      </c>
      <c r="C13" s="872"/>
      <c r="D13" s="870" t="s">
        <v>522</v>
      </c>
      <c r="E13" s="869"/>
      <c r="F13" s="1934">
        <f>'Expenditures 15-22'!K342</f>
        <v>148473</v>
      </c>
      <c r="G13" s="874"/>
    </row>
    <row r="14" spans="1:7" ht="12" customHeight="1" thickBot="1" x14ac:dyDescent="0.25">
      <c r="A14" s="1791"/>
      <c r="B14" s="1792"/>
      <c r="C14" s="1793"/>
      <c r="D14" s="1794" t="s">
        <v>522</v>
      </c>
      <c r="E14" s="1795" t="s">
        <v>1015</v>
      </c>
      <c r="F14" s="1796">
        <f>SUM(F8:F13)</f>
        <v>11393173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167770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2110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209398</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11458</v>
      </c>
      <c r="G52" s="866"/>
    </row>
    <row r="53" spans="1:7" x14ac:dyDescent="0.2">
      <c r="A53" s="870" t="s">
        <v>479</v>
      </c>
      <c r="B53" s="870" t="s">
        <v>1551</v>
      </c>
      <c r="C53" s="890">
        <f>'Expenditures 15-22'!B102</f>
        <v>4000</v>
      </c>
      <c r="D53" s="889" t="str">
        <f>'Expenditures 15-22'!A102</f>
        <v>Total Payments to Other Govt Units</v>
      </c>
      <c r="E53" s="869"/>
      <c r="F53" s="1938">
        <f>'Expenditures 15-22'!K102</f>
        <v>154023</v>
      </c>
      <c r="G53" s="866"/>
    </row>
    <row r="54" spans="1:7" x14ac:dyDescent="0.2">
      <c r="A54" s="870" t="s">
        <v>479</v>
      </c>
      <c r="B54" s="870" t="s">
        <v>1552</v>
      </c>
      <c r="C54" s="890" t="s">
        <v>1039</v>
      </c>
      <c r="D54" s="886" t="s">
        <v>1157</v>
      </c>
      <c r="E54" s="869"/>
      <c r="F54" s="1938">
        <f>'Expenditures 15-22'!G114</f>
        <v>175217</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8">
        <f>'Expenditures 15-22'!K139</f>
        <v>0</v>
      </c>
      <c r="G57" s="866"/>
    </row>
    <row r="58" spans="1:7" x14ac:dyDescent="0.2">
      <c r="A58" s="870" t="s">
        <v>480</v>
      </c>
      <c r="B58" s="870" t="s">
        <v>1992</v>
      </c>
      <c r="C58" s="887" t="s">
        <v>1039</v>
      </c>
      <c r="D58" s="886" t="s">
        <v>1157</v>
      </c>
      <c r="E58" s="869"/>
      <c r="F58" s="1940">
        <f>'Expenditures 15-22'!G151</f>
        <v>81365</v>
      </c>
      <c r="G58" s="866"/>
    </row>
    <row r="59" spans="1:7" x14ac:dyDescent="0.2">
      <c r="A59" s="894" t="s">
        <v>480</v>
      </c>
      <c r="B59" s="857" t="s">
        <v>1993</v>
      </c>
      <c r="C59" s="895" t="s">
        <v>1039</v>
      </c>
      <c r="D59" s="857" t="s">
        <v>309</v>
      </c>
      <c r="F59" s="1941">
        <f>'Expenditures 15-22'!I151</f>
        <v>0</v>
      </c>
      <c r="G59" s="866"/>
    </row>
    <row r="60" spans="1:7" x14ac:dyDescent="0.2">
      <c r="A60" s="894" t="s">
        <v>520</v>
      </c>
      <c r="B60" s="857" t="s">
        <v>1994</v>
      </c>
      <c r="C60" s="895">
        <v>4000</v>
      </c>
      <c r="D60" s="857" t="s">
        <v>330</v>
      </c>
      <c r="F60" s="1939">
        <f>'Expenditures 15-22'!K160</f>
        <v>0</v>
      </c>
      <c r="G60" s="866"/>
    </row>
    <row r="61" spans="1:7" x14ac:dyDescent="0.2">
      <c r="A61" s="896" t="s">
        <v>520</v>
      </c>
      <c r="B61" s="896" t="s">
        <v>1995</v>
      </c>
      <c r="C61" s="897" t="str">
        <f>'Expenditures 15-22'!B170</f>
        <v>5300</v>
      </c>
      <c r="D61" s="898" t="s">
        <v>329</v>
      </c>
      <c r="E61" s="880"/>
      <c r="F61" s="1938">
        <f>'Expenditures 15-22'!K170</f>
        <v>850000</v>
      </c>
      <c r="G61" s="866"/>
    </row>
    <row r="62" spans="1:7" x14ac:dyDescent="0.2">
      <c r="A62" s="870" t="s">
        <v>481</v>
      </c>
      <c r="B62" s="870" t="s">
        <v>1996</v>
      </c>
      <c r="C62" s="887">
        <f>'Expenditures 15-22'!B185</f>
        <v>3000</v>
      </c>
      <c r="D62" s="877" t="s">
        <v>469</v>
      </c>
      <c r="E62" s="869"/>
      <c r="F62" s="1938">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8">
        <f>'Expenditures 15-22'!K196</f>
        <v>0</v>
      </c>
      <c r="G63" s="866"/>
    </row>
    <row r="64" spans="1:7" x14ac:dyDescent="0.2">
      <c r="A64" s="896" t="s">
        <v>481</v>
      </c>
      <c r="B64" s="896" t="s">
        <v>1998</v>
      </c>
      <c r="C64" s="897" t="str">
        <f>'Expenditures 15-22'!B206</f>
        <v>5300</v>
      </c>
      <c r="D64" s="893" t="s">
        <v>329</v>
      </c>
      <c r="E64" s="869"/>
      <c r="F64" s="1938">
        <f>'Expenditures 15-22'!K206</f>
        <v>0</v>
      </c>
      <c r="G64" s="866"/>
    </row>
    <row r="65" spans="1:8" x14ac:dyDescent="0.2">
      <c r="A65" s="870" t="s">
        <v>481</v>
      </c>
      <c r="B65" s="870" t="s">
        <v>1999</v>
      </c>
      <c r="C65" s="887" t="s">
        <v>1039</v>
      </c>
      <c r="D65" s="886" t="s">
        <v>1157</v>
      </c>
      <c r="E65" s="869"/>
      <c r="F65" s="1938">
        <f>'Expenditures 15-22'!G210</f>
        <v>0</v>
      </c>
      <c r="G65" s="866"/>
    </row>
    <row r="66" spans="1:8" x14ac:dyDescent="0.2">
      <c r="A66" s="870" t="s">
        <v>481</v>
      </c>
      <c r="B66" s="870" t="s">
        <v>2000</v>
      </c>
      <c r="C66" s="887" t="s">
        <v>1039</v>
      </c>
      <c r="D66" s="886" t="s">
        <v>309</v>
      </c>
      <c r="E66" s="869"/>
      <c r="F66" s="1938">
        <f>'Expenditures 15-22'!I210</f>
        <v>0</v>
      </c>
      <c r="G66" s="866"/>
    </row>
    <row r="67" spans="1:8" x14ac:dyDescent="0.2">
      <c r="A67" s="870" t="s">
        <v>482</v>
      </c>
      <c r="B67" s="870" t="s">
        <v>2001</v>
      </c>
      <c r="C67" s="887" t="str">
        <f>'Expenditures 15-22'!B216</f>
        <v>1125</v>
      </c>
      <c r="D67" s="893" t="str">
        <f>'Expenditures 15-22'!A216</f>
        <v>Pre-K Programs</v>
      </c>
      <c r="E67" s="869"/>
      <c r="F67" s="1938">
        <f>'Expenditures 15-22'!K216</f>
        <v>8798</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2003</v>
      </c>
      <c r="C70" s="887">
        <f>'Expenditures 15-22'!B221</f>
        <v>1300</v>
      </c>
      <c r="D70" s="888" t="str">
        <f>'Expenditures 15-22'!A221</f>
        <v>Adult/Continuing Education Programs</v>
      </c>
      <c r="E70" s="869"/>
      <c r="F70" s="1938">
        <f>'Expenditures 15-22'!K221</f>
        <v>0</v>
      </c>
      <c r="G70" s="866"/>
    </row>
    <row r="71" spans="1:8" x14ac:dyDescent="0.2">
      <c r="A71" s="870" t="s">
        <v>482</v>
      </c>
      <c r="B71" s="870" t="s">
        <v>2004</v>
      </c>
      <c r="C71" s="887">
        <f>'Expenditures 15-22'!B224</f>
        <v>1600</v>
      </c>
      <c r="D71" s="888" t="str">
        <f>'Expenditures 15-22'!A224</f>
        <v>Summer School Programs</v>
      </c>
      <c r="E71" s="869"/>
      <c r="F71" s="1938">
        <f>'Expenditures 15-22'!K224</f>
        <v>30</v>
      </c>
      <c r="G71" s="866"/>
    </row>
    <row r="72" spans="1:8" x14ac:dyDescent="0.2">
      <c r="A72" s="870" t="s">
        <v>482</v>
      </c>
      <c r="B72" s="870" t="s">
        <v>2005</v>
      </c>
      <c r="C72" s="887">
        <f>'Expenditures 15-22'!B280</f>
        <v>3000</v>
      </c>
      <c r="D72" s="877" t="s">
        <v>469</v>
      </c>
      <c r="E72" s="869"/>
      <c r="F72" s="1938">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2007</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2008</v>
      </c>
      <c r="E76" s="1795" t="s">
        <v>1015</v>
      </c>
      <c r="F76" s="1799">
        <f>SUM(F18:F74)</f>
        <v>1660169</v>
      </c>
      <c r="G76" s="866"/>
    </row>
    <row r="77" spans="1:8" s="894" customFormat="1" ht="12" customHeight="1" thickTop="1" thickBot="1" x14ac:dyDescent="0.25">
      <c r="A77" s="1800"/>
      <c r="B77" s="1797"/>
      <c r="C77" s="1793"/>
      <c r="D77" s="1798" t="s">
        <v>2009</v>
      </c>
      <c r="E77" s="1795"/>
      <c r="F77" s="1801">
        <f>(F14-F76)</f>
        <v>9733004</v>
      </c>
      <c r="G77" s="870"/>
    </row>
    <row r="78" spans="1:8" s="894" customFormat="1" ht="12" customHeight="1" thickTop="1" x14ac:dyDescent="0.2">
      <c r="A78" s="1802"/>
      <c r="B78" s="1797"/>
      <c r="C78" s="1793"/>
      <c r="D78" s="1798" t="s">
        <v>2056</v>
      </c>
      <c r="E78" s="1795"/>
      <c r="F78" s="899">
        <v>875.63</v>
      </c>
      <c r="G78" s="900"/>
      <c r="H78" s="870"/>
    </row>
    <row r="79" spans="1:8" s="894" customFormat="1" ht="12" customHeight="1" thickBot="1" x14ac:dyDescent="0.25">
      <c r="A79" s="1803"/>
      <c r="B79" s="1797"/>
      <c r="C79" s="1793"/>
      <c r="D79" s="1798" t="s">
        <v>2010</v>
      </c>
      <c r="E79" s="1795" t="s">
        <v>1015</v>
      </c>
      <c r="F79" s="1804">
        <f>IF(F78&gt;0,F77/F78," Complete Line 78")</f>
        <v>11115.430033233215</v>
      </c>
      <c r="G79" s="870"/>
    </row>
    <row r="80" spans="1:8" s="894" customFormat="1" ht="8.25" customHeight="1" thickTop="1" x14ac:dyDescent="0.2">
      <c r="A80" s="901"/>
      <c r="B80" s="870"/>
      <c r="C80" s="872"/>
      <c r="D80" s="902"/>
      <c r="E80" s="869"/>
      <c r="F80" s="903"/>
      <c r="G80" s="870"/>
    </row>
    <row r="81" spans="1:7" s="894" customFormat="1" ht="12" thickBot="1" x14ac:dyDescent="0.25">
      <c r="A81" s="2288" t="s">
        <v>1167</v>
      </c>
      <c r="B81" s="2289"/>
      <c r="C81" s="2289"/>
      <c r="D81" s="2289"/>
      <c r="E81" s="2289"/>
      <c r="F81" s="229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9075</v>
      </c>
      <c r="G94" s="913"/>
    </row>
    <row r="95" spans="1:7" x14ac:dyDescent="0.2">
      <c r="A95" s="909" t="s">
        <v>142</v>
      </c>
      <c r="B95" s="909" t="s">
        <v>177</v>
      </c>
      <c r="C95" s="911">
        <v>1700</v>
      </c>
      <c r="D95" s="919" t="str">
        <f>'Revenues 9-14'!A82</f>
        <v>Total District/School Activity Income</v>
      </c>
      <c r="E95" s="907"/>
      <c r="F95" s="1810">
        <f>SUM('Revenues 9-14'!C82,'Revenues 9-14'!D82)</f>
        <v>52974</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1640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352751</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2143</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6397</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343</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317485</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20000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387553</v>
      </c>
      <c r="G129" s="931"/>
    </row>
    <row r="130" spans="1:7" x14ac:dyDescent="0.2">
      <c r="A130" s="928" t="s">
        <v>689</v>
      </c>
      <c r="B130" s="928" t="s">
        <v>804</v>
      </c>
      <c r="C130" s="933">
        <v>4300</v>
      </c>
      <c r="D130" s="934" t="str">
        <f>'Revenues 9-14'!A211</f>
        <v>Total Title I</v>
      </c>
      <c r="E130" s="907"/>
      <c r="F130" s="1810">
        <f>SUM('Revenues 9-14'!C211,'Revenues 9-14'!D211,'Revenues 9-14'!F211,'Revenues 9-14'!G211)</f>
        <v>424704</v>
      </c>
      <c r="G130" s="931"/>
    </row>
    <row r="131" spans="1:7" x14ac:dyDescent="0.2">
      <c r="A131" s="928" t="s">
        <v>689</v>
      </c>
      <c r="B131" s="928" t="s">
        <v>805</v>
      </c>
      <c r="C131" s="933">
        <v>4400</v>
      </c>
      <c r="D131" s="934" t="str">
        <f>'Revenues 9-14'!A216</f>
        <v>Total Title IV</v>
      </c>
      <c r="E131" s="907"/>
      <c r="F131" s="1810">
        <f>SUM('Revenues 9-14'!C216,'Revenues 9-14'!D216,'Revenues 9-14'!F216,'Revenues 9-14'!G216)</f>
        <v>14701</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274378</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41694</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16782</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16866</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2055</v>
      </c>
      <c r="C175" s="1945">
        <v>3100</v>
      </c>
      <c r="D175" s="1946" t="s">
        <v>2058</v>
      </c>
      <c r="E175" s="907"/>
      <c r="F175" s="1930">
        <v>314294.86</v>
      </c>
      <c r="G175" s="928"/>
    </row>
    <row r="176" spans="1:7" x14ac:dyDescent="0.2">
      <c r="A176" s="1943" t="s">
        <v>685</v>
      </c>
      <c r="B176" s="1944" t="s">
        <v>2055</v>
      </c>
      <c r="C176" s="1945">
        <v>3300</v>
      </c>
      <c r="D176" s="1946" t="s">
        <v>2059</v>
      </c>
      <c r="E176" s="907"/>
      <c r="F176" s="1930">
        <v>6071.22</v>
      </c>
      <c r="G176" s="928"/>
    </row>
    <row r="177" spans="1:7" ht="6" customHeight="1" x14ac:dyDescent="0.2">
      <c r="A177" s="928"/>
      <c r="B177" s="928"/>
      <c r="C177" s="950"/>
      <c r="D177" s="928"/>
      <c r="E177" s="907"/>
      <c r="F177" s="951"/>
      <c r="G177" s="948"/>
    </row>
    <row r="178" spans="1:7" x14ac:dyDescent="0.2">
      <c r="A178" s="1791"/>
      <c r="B178" s="1805"/>
      <c r="C178" s="1806"/>
      <c r="D178" s="1807" t="s">
        <v>2011</v>
      </c>
      <c r="E178" s="1808" t="s">
        <v>1015</v>
      </c>
      <c r="F178" s="1809">
        <f>SUM(F84:F136,F161:F176)</f>
        <v>2259852.08</v>
      </c>
    </row>
    <row r="179" spans="1:7" ht="12" customHeight="1" x14ac:dyDescent="0.2">
      <c r="A179" s="1791"/>
      <c r="B179" s="1805"/>
      <c r="C179" s="1806"/>
      <c r="D179" s="1807" t="s">
        <v>2012</v>
      </c>
      <c r="E179" s="1808"/>
      <c r="F179" s="1810">
        <f>'PCTC-OEPP 27-28'!F77-F178</f>
        <v>7473151.9199999999</v>
      </c>
    </row>
    <row r="180" spans="1:7" ht="12" customHeight="1" x14ac:dyDescent="0.2">
      <c r="A180" s="1791"/>
      <c r="B180" s="1805"/>
      <c r="C180" s="1806"/>
      <c r="D180" s="1807" t="s">
        <v>1921</v>
      </c>
      <c r="E180" s="1808"/>
      <c r="F180" s="1810">
        <f>'Cap Outlay Deprec 26'!I18</f>
        <v>563361</v>
      </c>
    </row>
    <row r="181" spans="1:7" ht="12" customHeight="1" x14ac:dyDescent="0.2">
      <c r="A181" s="1791"/>
      <c r="B181" s="1805"/>
      <c r="C181" s="1806"/>
      <c r="D181" s="1807" t="s">
        <v>2013</v>
      </c>
      <c r="E181" s="1808"/>
      <c r="F181" s="1810">
        <f>F179+F180</f>
        <v>8036512.9199999999</v>
      </c>
    </row>
    <row r="182" spans="1:7" ht="12" customHeight="1" x14ac:dyDescent="0.2">
      <c r="A182" s="1791"/>
      <c r="B182" s="1811"/>
      <c r="C182" s="1806"/>
      <c r="D182" s="1807" t="str">
        <f>D78</f>
        <v>9 Month ADA from District Average Daily Attendance/Prior General State Aid Inquiry 2017-2018</v>
      </c>
      <c r="E182" s="1808"/>
      <c r="F182" s="1812">
        <f>'PCTC-OEPP 27-28'!F78</f>
        <v>875.63</v>
      </c>
      <c r="G182" s="931"/>
    </row>
    <row r="183" spans="1:7" ht="12" customHeight="1" thickBot="1" x14ac:dyDescent="0.25">
      <c r="A183" s="1791"/>
      <c r="B183" s="1811"/>
      <c r="C183" s="1806"/>
      <c r="D183" s="1807" t="s">
        <v>2014</v>
      </c>
      <c r="E183" s="1808" t="s">
        <v>1626</v>
      </c>
      <c r="F183" s="1813">
        <f>F181/F182</f>
        <v>9177.9780500896504</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7" customFormat="1" ht="12.2" customHeight="1" x14ac:dyDescent="0.2">
      <c r="A186" s="1947" t="s">
        <v>2062</v>
      </c>
      <c r="B186" s="1948"/>
      <c r="C186" s="1949"/>
      <c r="D186" s="1948"/>
      <c r="E186" s="1949"/>
      <c r="F186" s="1948"/>
      <c r="G186" s="1948"/>
    </row>
    <row r="187" spans="1:7" s="1947" customFormat="1" ht="12.2" customHeight="1" x14ac:dyDescent="0.2">
      <c r="A187" s="1950" t="s">
        <v>2063</v>
      </c>
      <c r="C187" s="1949"/>
      <c r="D187" s="1948"/>
      <c r="E187" s="1949"/>
      <c r="F187" s="1948"/>
      <c r="G187" s="1948"/>
    </row>
    <row r="188" spans="1:7" ht="12" customHeight="1" x14ac:dyDescent="0.2">
      <c r="C188" s="950"/>
      <c r="D188" s="931"/>
      <c r="E188" s="950"/>
      <c r="F188" s="931"/>
      <c r="G188" s="931"/>
    </row>
    <row r="189" spans="1:7" x14ac:dyDescent="0.2">
      <c r="A189" s="1951" t="s">
        <v>2061</v>
      </c>
      <c r="B189" s="195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1937</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302" t="s">
        <v>1922</v>
      </c>
      <c r="B4" s="2303"/>
      <c r="C4" s="2303"/>
      <c r="D4" s="2303"/>
      <c r="E4" s="2303"/>
      <c r="F4" s="2303"/>
      <c r="G4" s="2304"/>
    </row>
    <row r="5" spans="1:7" x14ac:dyDescent="0.25">
      <c r="A5" s="2305"/>
      <c r="B5" s="2306"/>
      <c r="C5" s="2306"/>
      <c r="D5" s="2306"/>
      <c r="E5" s="2306"/>
      <c r="F5" s="2306"/>
      <c r="G5" s="2307"/>
    </row>
    <row r="6" spans="1:7" ht="18.75" x14ac:dyDescent="0.25">
      <c r="A6" s="1555" t="s">
        <v>1923</v>
      </c>
      <c r="B6" s="1556"/>
      <c r="C6" s="1556"/>
      <c r="D6" s="1556"/>
      <c r="E6" s="1556"/>
      <c r="F6" s="1556"/>
      <c r="G6" s="1557"/>
    </row>
    <row r="7" spans="1:7" ht="30.75" customHeight="1" x14ac:dyDescent="0.25">
      <c r="A7" s="2308" t="s">
        <v>2072</v>
      </c>
      <c r="B7" s="2309"/>
      <c r="C7" s="2309"/>
      <c r="D7" s="2309"/>
      <c r="E7" s="2309"/>
      <c r="F7" s="2309"/>
      <c r="G7" s="2310"/>
    </row>
    <row r="8" spans="1:7" ht="15.75" customHeight="1" x14ac:dyDescent="0.25">
      <c r="A8" s="2311" t="s">
        <v>2021</v>
      </c>
      <c r="B8" s="2312"/>
      <c r="C8" s="2312"/>
      <c r="D8" s="2312"/>
      <c r="E8" s="2312"/>
      <c r="F8" s="2312"/>
      <c r="G8" s="2313"/>
    </row>
    <row r="9" spans="1:7" ht="35.25" customHeight="1" x14ac:dyDescent="0.25">
      <c r="A9" s="2308" t="s">
        <v>2020</v>
      </c>
      <c r="B9" s="2309"/>
      <c r="C9" s="2309"/>
      <c r="D9" s="2309"/>
      <c r="E9" s="2309"/>
      <c r="F9" s="2309"/>
      <c r="G9" s="2310"/>
    </row>
    <row r="10" spans="1:7" ht="15" customHeight="1" x14ac:dyDescent="0.25">
      <c r="A10" s="1558" t="s">
        <v>1924</v>
      </c>
      <c r="B10" s="1559"/>
      <c r="C10" s="1559"/>
      <c r="D10" s="1559"/>
      <c r="E10" s="1559"/>
      <c r="F10" s="1559"/>
      <c r="G10" s="1560"/>
    </row>
    <row r="11" spans="1:7" ht="17.25" customHeight="1" x14ac:dyDescent="0.25">
      <c r="A11" s="2308" t="s">
        <v>1938</v>
      </c>
      <c r="B11" s="2309"/>
      <c r="C11" s="2309"/>
      <c r="D11" s="2309"/>
      <c r="E11" s="2309"/>
      <c r="F11" s="2309"/>
      <c r="G11" s="2310"/>
    </row>
    <row r="12" spans="1:7" ht="15" customHeight="1" x14ac:dyDescent="0.25">
      <c r="A12" s="1558" t="s">
        <v>1929</v>
      </c>
      <c r="B12" s="1559"/>
      <c r="C12" s="1559"/>
      <c r="D12" s="1559"/>
      <c r="E12" s="1559"/>
      <c r="F12" s="1559"/>
      <c r="G12" s="1560"/>
    </row>
    <row r="13" spans="1:7" ht="32.25" customHeight="1" x14ac:dyDescent="0.25">
      <c r="A13" s="2299" t="s">
        <v>1930</v>
      </c>
      <c r="B13" s="2300"/>
      <c r="C13" s="2300"/>
      <c r="D13" s="2300"/>
      <c r="E13" s="2300"/>
      <c r="F13" s="2300"/>
      <c r="G13" s="2301"/>
    </row>
    <row r="14" spans="1:7" x14ac:dyDescent="0.25">
      <c r="A14" s="1682" t="s">
        <v>1939</v>
      </c>
      <c r="B14" s="1683"/>
      <c r="C14" s="1683"/>
      <c r="D14" s="1683"/>
      <c r="E14" s="1683"/>
      <c r="F14" s="1683"/>
      <c r="G14" s="1684"/>
    </row>
    <row r="15" spans="1:7" ht="61.5" customHeight="1" x14ac:dyDescent="0.25">
      <c r="A15" s="1567" t="s">
        <v>1931</v>
      </c>
      <c r="B15" s="1567" t="s">
        <v>1932</v>
      </c>
      <c r="C15" s="1567" t="s">
        <v>1933</v>
      </c>
      <c r="D15" s="1568" t="s">
        <v>1934</v>
      </c>
      <c r="E15" s="1568" t="s">
        <v>1925</v>
      </c>
      <c r="F15" s="1568" t="s">
        <v>1935</v>
      </c>
      <c r="G15" s="1568" t="s">
        <v>1936</v>
      </c>
    </row>
    <row r="16" spans="1:7" x14ac:dyDescent="0.25">
      <c r="A16" s="1669" t="s">
        <v>1940</v>
      </c>
      <c r="B16" s="1670" t="s">
        <v>1928</v>
      </c>
      <c r="C16" s="1671" t="s">
        <v>1926</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70" t="s">
        <v>2206</v>
      </c>
      <c r="B17" s="1971" t="s">
        <v>2122</v>
      </c>
      <c r="C17" s="1959" t="s">
        <v>2121</v>
      </c>
      <c r="D17" s="1866">
        <v>81502</v>
      </c>
      <c r="E17" s="1561">
        <f t="shared" ref="E17:E141" si="1">IF(D17&lt;=25000,D17,IF(D17&gt;25000,25000,0))</f>
        <v>25000</v>
      </c>
      <c r="F17" s="1814">
        <f t="shared" si="0"/>
        <v>25000</v>
      </c>
      <c r="G17" s="1815">
        <f>IF(F17=0,0,D17-F17)</f>
        <v>56502</v>
      </c>
      <c r="H17" s="1668"/>
    </row>
    <row r="18" spans="1:8" x14ac:dyDescent="0.25">
      <c r="A18" s="1970" t="s">
        <v>2202</v>
      </c>
      <c r="B18" s="1958" t="s">
        <v>2123</v>
      </c>
      <c r="C18" s="1959" t="s">
        <v>2124</v>
      </c>
      <c r="D18" s="1866">
        <v>274931</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249931</v>
      </c>
    </row>
    <row r="19" spans="1:8" x14ac:dyDescent="0.25">
      <c r="A19" s="1970" t="s">
        <v>2203</v>
      </c>
      <c r="B19" s="1958" t="s">
        <v>2125</v>
      </c>
      <c r="C19" s="1959" t="s">
        <v>2126</v>
      </c>
      <c r="D19" s="1866">
        <v>399535</v>
      </c>
      <c r="E19" s="1561">
        <f t="shared" si="2"/>
        <v>25000</v>
      </c>
      <c r="F19" s="1814">
        <f t="shared" si="3"/>
        <v>25000</v>
      </c>
      <c r="G19" s="1815">
        <f t="shared" si="4"/>
        <v>374535</v>
      </c>
    </row>
    <row r="20" spans="1:8" x14ac:dyDescent="0.25">
      <c r="A20" s="1970" t="s">
        <v>2201</v>
      </c>
      <c r="B20" s="1963" t="s">
        <v>1928</v>
      </c>
      <c r="C20" s="1972" t="s">
        <v>2204</v>
      </c>
      <c r="D20" s="1866">
        <v>74250</v>
      </c>
      <c r="E20" s="1561">
        <f t="shared" si="2"/>
        <v>25000</v>
      </c>
      <c r="F20" s="1814">
        <f t="shared" si="3"/>
        <v>25000</v>
      </c>
      <c r="G20" s="1815">
        <f t="shared" si="4"/>
        <v>49250</v>
      </c>
    </row>
    <row r="21" spans="1:8" x14ac:dyDescent="0.25">
      <c r="A21" s="1970" t="s">
        <v>2201</v>
      </c>
      <c r="B21" s="1963" t="s">
        <v>1928</v>
      </c>
      <c r="C21" s="1972" t="s">
        <v>2205</v>
      </c>
      <c r="D21" s="1866">
        <v>130598</v>
      </c>
      <c r="E21" s="1561">
        <f t="shared" si="2"/>
        <v>25000</v>
      </c>
      <c r="F21" s="1814">
        <f t="shared" si="3"/>
        <v>25000</v>
      </c>
      <c r="G21" s="1815">
        <f t="shared" si="4"/>
        <v>105598</v>
      </c>
    </row>
    <row r="22" spans="1:8" x14ac:dyDescent="0.25">
      <c r="A22" s="1970" t="s">
        <v>2201</v>
      </c>
      <c r="B22" s="1963" t="s">
        <v>1928</v>
      </c>
      <c r="C22" s="1964" t="s">
        <v>2197</v>
      </c>
      <c r="D22" s="1866">
        <v>78189</v>
      </c>
      <c r="E22" s="1561">
        <f t="shared" si="2"/>
        <v>25000</v>
      </c>
      <c r="F22" s="1814">
        <f t="shared" si="3"/>
        <v>25000</v>
      </c>
      <c r="G22" s="1815">
        <f t="shared" si="4"/>
        <v>53189</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1039005</v>
      </c>
      <c r="E141" s="1562">
        <f t="shared" si="1"/>
        <v>25000</v>
      </c>
      <c r="F141" s="1816">
        <f>SUM(F17:F140)</f>
        <v>150000</v>
      </c>
      <c r="G141" s="1817">
        <f>SUM(G17:G140)</f>
        <v>889005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I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4" t="s">
        <v>1778</v>
      </c>
      <c r="B5" s="2315"/>
      <c r="C5" s="2315"/>
      <c r="D5" s="2315"/>
      <c r="E5" s="2315"/>
      <c r="F5" s="2315"/>
      <c r="G5" s="2316"/>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387553</v>
      </c>
      <c r="F10" s="975"/>
      <c r="G10" s="976"/>
      <c r="H10" s="162"/>
      <c r="I10" s="162"/>
    </row>
    <row r="11" spans="1:9" s="669" customFormat="1" ht="22.5" customHeight="1" x14ac:dyDescent="0.2">
      <c r="A11" s="2319" t="s">
        <v>1942</v>
      </c>
      <c r="B11" s="2320"/>
      <c r="C11" s="2320"/>
      <c r="D11" s="2321"/>
      <c r="E11" s="978">
        <v>47223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5387320</v>
      </c>
      <c r="F19" s="1821"/>
      <c r="G19" s="1823">
        <f>'Expenditures 15-22'!K33-SUM('Expenditures 15-22'!G33,'Expenditures 15-22'!I33)+'Expenditures 15-22'!D229</f>
        <v>5387320</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749706</v>
      </c>
      <c r="F21" s="1824"/>
      <c r="G21" s="1827">
        <f>'Expenditures 15-22'!K42-SUM('Expenditures 15-22'!G42,'Expenditures 15-22'!I42)+'Expenditures 15-22'!K120-SUM('Expenditures 15-22'!G120,'Expenditures 15-22'!I120)+'Expenditures 15-22'!K180-SUM('Expenditures 15-22'!G180,'Expenditures 15-22'!I180)+'Expenditures 15-22'!D238</f>
        <v>749706</v>
      </c>
      <c r="H21" s="988"/>
      <c r="I21" s="162"/>
    </row>
    <row r="22" spans="1:9" s="669" customFormat="1" ht="12" customHeight="1" x14ac:dyDescent="0.2">
      <c r="A22" s="995" t="s">
        <v>585</v>
      </c>
      <c r="B22" s="996"/>
      <c r="C22" s="994">
        <v>2200</v>
      </c>
      <c r="D22" s="1824"/>
      <c r="E22" s="1826">
        <f>'Expenditures 15-22'!K47-SUM('Expenditures 15-22'!G47,'Expenditures 15-22'!I47)+'Expenditures 15-22'!D243</f>
        <v>282336</v>
      </c>
      <c r="F22" s="1824"/>
      <c r="G22" s="1827">
        <f>'Expenditures 15-22'!K47-SUM('Expenditures 15-22'!G47,'Expenditures 15-22'!I47)+'Expenditures 15-22'!D243</f>
        <v>282336</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448420</v>
      </c>
      <c r="F23" s="1824"/>
      <c r="G23" s="1826">
        <f>'Expenditures 15-22'!K53-SUM('Expenditures 15-22'!G53,'Expenditures 15-22'!I53)+'Expenditures 15-22'!D257+'Expenditures 15-22'!K330-SUM('Expenditures 15-22'!G330,'Expenditures 15-22'!I330)</f>
        <v>448420</v>
      </c>
      <c r="H23" s="988"/>
      <c r="I23" s="162"/>
    </row>
    <row r="24" spans="1:9" s="669" customFormat="1" ht="12" customHeight="1" x14ac:dyDescent="0.2">
      <c r="A24" s="995" t="s">
        <v>587</v>
      </c>
      <c r="B24" s="996"/>
      <c r="C24" s="994">
        <v>2400</v>
      </c>
      <c r="D24" s="1824"/>
      <c r="E24" s="1826">
        <f>'Expenditures 15-22'!K57-SUM('Expenditures 15-22'!G57,'Expenditures 15-22'!I57)+'Expenditures 15-22'!D261</f>
        <v>791113</v>
      </c>
      <c r="F24" s="1824"/>
      <c r="G24" s="1827">
        <f>'Expenditures 15-22'!K57-SUM('Expenditures 15-22'!G57,'Expenditures 15-22'!I57)+'Expenditures 15-22'!D261</f>
        <v>791113</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56383</v>
      </c>
      <c r="E26" s="1826">
        <f>'Expenditures 15-22'!K122-SUM('Expenditures 15-22'!G122,'Expenditures 15-22'!I122)+E7</f>
        <v>0</v>
      </c>
      <c r="F26" s="1826">
        <f>'Expenditures 15-22'!K59-SUM('Expenditures 15-22'!G59,'Expenditures 15-22'!I59)+'Expenditures 15-22'!D263-E7</f>
        <v>56383</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59628</v>
      </c>
      <c r="E27" s="1826">
        <f>E8</f>
        <v>0</v>
      </c>
      <c r="F27" s="1826">
        <f>'Expenditures 15-22'!K60-SUM('Expenditures 15-22'!G60,'Expenditures 15-22'!I60)+'Expenditures 15-22'!D264-E8</f>
        <v>59628</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1174310</v>
      </c>
      <c r="F28" s="1828">
        <f>'Expenditures 15-22'!K61-SUM('Expenditures 15-22'!G61,'Expenditures 15-22'!I61)+'Expenditures 15-22'!K124-SUM('Expenditures 15-22'!G124,'Expenditures 15-22'!I124)+'Expenditures 15-22'!D266-E9</f>
        <v>1174310</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407525</v>
      </c>
      <c r="F29" s="1824"/>
      <c r="G29" s="1827">
        <f>'Expenditures 15-22'!K62-SUM('Expenditures 15-22'!G62,'Expenditures 15-22'!I62)+'Expenditures 15-22'!K125-SUM('Expenditures 15-22'!G125,'Expenditures 15-22'!I125)+'Expenditures 15-22'!K182-SUM('Expenditures 15-22'!G182,'Expenditures 15-22'!I182)+'Expenditures 15-22'!D267</f>
        <v>407525</v>
      </c>
      <c r="H29" s="986"/>
    </row>
    <row r="30" spans="1:9" ht="12" customHeight="1" x14ac:dyDescent="0.2">
      <c r="A30" s="995" t="s">
        <v>102</v>
      </c>
      <c r="B30" s="998"/>
      <c r="C30" s="994">
        <v>2560</v>
      </c>
      <c r="D30" s="1824"/>
      <c r="E30" s="1826">
        <f>'Expenditures 15-22'!K63-SUM('Expenditures 15-22'!G63,'Expenditures 15-22'!I63)+'Expenditures 15-22'!D268-E10</f>
        <v>1227</v>
      </c>
      <c r="F30" s="1824"/>
      <c r="G30" s="1826">
        <f>'Expenditures 15-22'!K63-SUM('Expenditures 15-22'!G63,'Expenditures 15-22'!I63)+'Expenditures 15-22'!D268-E10</f>
        <v>1227</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134988</v>
      </c>
      <c r="F35" s="1824"/>
      <c r="G35" s="1826">
        <f>'Expenditures 15-22'!K69-SUM('Expenditures 15-22'!G69,'Expenditures 15-22'!I69)+'Expenditures 15-22'!D274</f>
        <v>134988</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61840</v>
      </c>
      <c r="E37" s="1826">
        <f>E14</f>
        <v>0</v>
      </c>
      <c r="F37" s="1826">
        <f>'Expenditures 15-22'!K71-SUM('Expenditures 15-22'!G71,'Expenditures 15-22'!I71)+'Expenditures 15-22'!D276-E14</f>
        <v>61840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11458</v>
      </c>
      <c r="F39" s="1824"/>
      <c r="G39" s="1826">
        <f>'Expenditures 15-22'!K75-SUM('Expenditures 15-22'!G75,'Expenditures 15-22'!I75)+'Expenditures 15-22'!K130-SUM('Expenditures 15-22'!G130,'Expenditures 15-22'!I130)+'Expenditures 15-22'!K185-SUM('Expenditures 15-22'!G185,'Expenditures 15-22'!I185)+'Expenditures 15-22'!D280</f>
        <v>11458</v>
      </c>
    </row>
    <row r="40" spans="1:7" ht="12" customHeight="1" x14ac:dyDescent="0.2">
      <c r="A40" s="991" t="s">
        <v>1927</v>
      </c>
      <c r="B40" s="992"/>
      <c r="C40" s="994"/>
      <c r="D40" s="1824"/>
      <c r="E40" s="1828">
        <f>-'Contracts Paid in CY 29'!G141</f>
        <v>-889005</v>
      </c>
      <c r="F40" s="1824"/>
      <c r="G40" s="1828">
        <f>-'Contracts Paid in CY 29'!G141</f>
        <v>-889005</v>
      </c>
    </row>
    <row r="41" spans="1:7" ht="12" customHeight="1" x14ac:dyDescent="0.2">
      <c r="A41" s="999" t="s">
        <v>158</v>
      </c>
      <c r="B41" s="1000"/>
      <c r="C41" s="1001"/>
      <c r="D41" s="1828">
        <f>SUM(D19:D39)</f>
        <v>177851</v>
      </c>
      <c r="E41" s="1828">
        <f>SUM(E19:E40)</f>
        <v>8499398</v>
      </c>
      <c r="F41" s="1828">
        <f>SUM(F19:F39)</f>
        <v>1352161</v>
      </c>
      <c r="G41" s="1828">
        <f>SUM(G19:G40)</f>
        <v>7325088</v>
      </c>
    </row>
    <row r="42" spans="1:7" x14ac:dyDescent="0.2">
      <c r="A42" s="988"/>
      <c r="B42" s="162"/>
      <c r="C42" s="1002"/>
      <c r="D42" s="2317" t="s">
        <v>543</v>
      </c>
      <c r="E42" s="2318"/>
      <c r="F42" s="1003" t="s">
        <v>544</v>
      </c>
      <c r="G42" s="1004"/>
    </row>
    <row r="43" spans="1:7" ht="12" customHeight="1" x14ac:dyDescent="0.2">
      <c r="A43" s="988"/>
      <c r="B43" s="162"/>
      <c r="C43" s="1002"/>
      <c r="D43" s="1829" t="s">
        <v>493</v>
      </c>
      <c r="E43" s="1830">
        <f>D41</f>
        <v>177851</v>
      </c>
      <c r="F43" s="1829" t="s">
        <v>495</v>
      </c>
      <c r="G43" s="1830">
        <f>F41</f>
        <v>1352161</v>
      </c>
    </row>
    <row r="44" spans="1:7" ht="12" customHeight="1" x14ac:dyDescent="0.2">
      <c r="A44" s="988"/>
      <c r="B44" s="162"/>
      <c r="C44" s="1002"/>
      <c r="D44" s="1829" t="s">
        <v>494</v>
      </c>
      <c r="E44" s="1830">
        <f>E41</f>
        <v>8499398</v>
      </c>
      <c r="F44" s="1829" t="s">
        <v>494</v>
      </c>
      <c r="G44" s="1830">
        <f>G41</f>
        <v>7325088</v>
      </c>
    </row>
    <row r="45" spans="1:7" ht="12" customHeight="1" x14ac:dyDescent="0.2">
      <c r="A45" s="988"/>
      <c r="B45" s="162"/>
      <c r="C45" s="162"/>
      <c r="D45" s="1831" t="s">
        <v>1063</v>
      </c>
      <c r="E45" s="1832">
        <f>(E43/E44)</f>
        <v>2.0925129050316269E-2</v>
      </c>
      <c r="F45" s="1831" t="s">
        <v>1063</v>
      </c>
      <c r="G45" s="1832">
        <f>(G43/G44)</f>
        <v>0.18459314072404318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L97"/>
  <sheetViews>
    <sheetView showGridLines="0" zoomScale="110" zoomScaleNormal="110" workbookViewId="0">
      <pane ySplit="4" topLeftCell="A5" activePane="bottomLeft" state="frozen"/>
      <selection activeCell="A47" sqref="A47"/>
      <selection pane="bottomLeft" activeCell="A18" sqref="A18"/>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37" t="s">
        <v>1446</v>
      </c>
      <c r="B1" s="2337"/>
      <c r="C1" s="2337"/>
      <c r="D1" s="2337"/>
      <c r="E1" s="2337"/>
      <c r="F1" s="2337"/>
    </row>
    <row r="2" spans="1:10" x14ac:dyDescent="0.2">
      <c r="A2" s="1911" t="s">
        <v>2045</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38" t="s">
        <v>1627</v>
      </c>
      <c r="B5" s="2339"/>
      <c r="C5" s="2340"/>
      <c r="D5" s="2340"/>
      <c r="E5" s="2340"/>
      <c r="F5" s="2340"/>
    </row>
    <row r="6" spans="1:10" ht="12" customHeight="1" x14ac:dyDescent="0.25">
      <c r="A6" s="1874"/>
      <c r="B6" s="1875"/>
      <c r="C6" s="2341" t="str">
        <f>COVER!A17</f>
        <v>COUNTY OF WINNEBAGO SCHOOL DISTRICT NO. 320</v>
      </c>
      <c r="D6" s="2341"/>
      <c r="E6" s="2341"/>
      <c r="F6" s="1876"/>
    </row>
    <row r="7" spans="1:10" ht="11.25" customHeight="1" thickBot="1" x14ac:dyDescent="0.3">
      <c r="A7" s="1874"/>
      <c r="B7" s="1875"/>
      <c r="C7" s="2342" t="str">
        <f>COVER!A13</f>
        <v>04-101-3200-26</v>
      </c>
      <c r="D7" s="2342"/>
      <c r="E7" s="2342"/>
      <c r="F7" s="1876"/>
    </row>
    <row r="8" spans="1:10" ht="25.5" customHeight="1" thickBot="1" x14ac:dyDescent="0.25">
      <c r="A8" s="1917" t="s">
        <v>2022</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2079</v>
      </c>
      <c r="D13" s="1889" t="s">
        <v>2079</v>
      </c>
      <c r="E13" s="1892" t="s">
        <v>2079</v>
      </c>
      <c r="F13" s="1891" t="s">
        <v>2080</v>
      </c>
      <c r="H13" s="1902">
        <f t="shared" si="0"/>
        <v>5</v>
      </c>
      <c r="I13" s="1902">
        <f t="shared" si="1"/>
        <v>5</v>
      </c>
      <c r="J13" s="1902">
        <f t="shared" si="2"/>
        <v>5</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2079</v>
      </c>
      <c r="D19" s="1889" t="s">
        <v>2079</v>
      </c>
      <c r="E19" s="1892" t="s">
        <v>2079</v>
      </c>
      <c r="F19" s="1891" t="s">
        <v>2082</v>
      </c>
      <c r="H19" s="1902">
        <f t="shared" si="0"/>
        <v>5</v>
      </c>
      <c r="I19" s="1902">
        <f t="shared" si="1"/>
        <v>5</v>
      </c>
      <c r="J19" s="1902">
        <f t="shared" si="2"/>
        <v>5</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2079</v>
      </c>
      <c r="D26" s="1889" t="s">
        <v>2079</v>
      </c>
      <c r="E26" s="1892" t="s">
        <v>2079</v>
      </c>
      <c r="F26" s="1891" t="s">
        <v>2207</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2079</v>
      </c>
      <c r="D30" s="1889" t="s">
        <v>2079</v>
      </c>
      <c r="E30" s="1892" t="s">
        <v>2079</v>
      </c>
      <c r="F30" s="1891" t="s">
        <v>2196</v>
      </c>
      <c r="H30" s="1902">
        <f t="shared" si="0"/>
        <v>5</v>
      </c>
      <c r="I30" s="1902">
        <f t="shared" si="1"/>
        <v>5</v>
      </c>
      <c r="J30" s="1902">
        <f t="shared" si="2"/>
        <v>5</v>
      </c>
    </row>
    <row r="31" spans="1:12" ht="12" customHeight="1" x14ac:dyDescent="0.2">
      <c r="A31" s="1887" t="s">
        <v>1620</v>
      </c>
      <c r="B31" s="1888"/>
      <c r="C31" s="1889" t="s">
        <v>2079</v>
      </c>
      <c r="D31" s="1889" t="s">
        <v>2079</v>
      </c>
      <c r="E31" s="1892" t="s">
        <v>2079</v>
      </c>
      <c r="F31" s="1891" t="s">
        <v>2083</v>
      </c>
      <c r="H31" s="1902">
        <f t="shared" si="0"/>
        <v>5</v>
      </c>
      <c r="I31" s="1902">
        <f t="shared" si="1"/>
        <v>5</v>
      </c>
      <c r="J31" s="1902">
        <f t="shared" si="2"/>
        <v>5</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25</v>
      </c>
      <c r="I34" s="1902">
        <f>SUM(I11:I32)</f>
        <v>25</v>
      </c>
      <c r="J34" s="1902">
        <f>SUM(J11:J32)</f>
        <v>25</v>
      </c>
      <c r="K34" s="1902">
        <f>SUM(H34:J34)</f>
        <v>75</v>
      </c>
    </row>
    <row r="35" spans="1:11" ht="12" customHeight="1" x14ac:dyDescent="0.2">
      <c r="A35" s="1895" t="s">
        <v>1459</v>
      </c>
      <c r="B35" s="1896"/>
      <c r="C35" s="2343"/>
      <c r="D35" s="2343"/>
      <c r="E35" s="2343"/>
      <c r="F35" s="2344"/>
    </row>
    <row r="36" spans="1:11" ht="12" customHeight="1" x14ac:dyDescent="0.2">
      <c r="A36" s="2336" t="s">
        <v>2081</v>
      </c>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97"/>
      <c r="B39" s="1897"/>
      <c r="C39" s="1897"/>
      <c r="D39" s="1897"/>
      <c r="E39" s="1897"/>
      <c r="F39" s="1897"/>
    </row>
    <row r="40" spans="1:11" s="1894" customFormat="1" ht="12" customHeight="1" x14ac:dyDescent="0.25">
      <c r="A40" s="1898" t="s">
        <v>1458</v>
      </c>
      <c r="B40" s="1899"/>
      <c r="C40" s="2331"/>
      <c r="D40" s="2331"/>
      <c r="E40" s="2331"/>
      <c r="F40" s="2332"/>
      <c r="H40" s="1903"/>
      <c r="I40" s="1903"/>
      <c r="J40" s="1903"/>
      <c r="K40" s="1903"/>
    </row>
    <row r="41" spans="1:11" s="1894" customFormat="1" ht="12" customHeight="1" x14ac:dyDescent="0.25">
      <c r="A41" s="2333"/>
      <c r="B41" s="2334"/>
      <c r="C41" s="2334"/>
      <c r="D41" s="2334"/>
      <c r="E41" s="2334"/>
      <c r="F41" s="2335"/>
      <c r="H41" s="1903"/>
      <c r="I41" s="1903"/>
      <c r="J41" s="1903"/>
      <c r="K41" s="1903"/>
    </row>
    <row r="42" spans="1:11" s="1894" customFormat="1" ht="12" customHeight="1" x14ac:dyDescent="0.25">
      <c r="A42" s="2333"/>
      <c r="B42" s="2334"/>
      <c r="C42" s="2334"/>
      <c r="D42" s="2334"/>
      <c r="E42" s="2334"/>
      <c r="F42" s="2335"/>
      <c r="H42" s="1903"/>
      <c r="I42" s="1903"/>
      <c r="J42" s="1903"/>
      <c r="K42" s="1903"/>
    </row>
    <row r="43" spans="1:11" s="1894" customFormat="1" ht="15" x14ac:dyDescent="0.25">
      <c r="A43" s="2322"/>
      <c r="B43" s="2323"/>
      <c r="C43" s="2323"/>
      <c r="D43" s="2323"/>
      <c r="E43" s="2323"/>
      <c r="F43" s="2324"/>
      <c r="H43" s="1903"/>
      <c r="I43" s="1903"/>
      <c r="J43" s="1903"/>
      <c r="K43" s="1903"/>
    </row>
    <row r="44" spans="1:11" s="1894" customFormat="1" ht="12" hidden="1" customHeight="1" x14ac:dyDescent="0.25">
      <c r="A44" s="2322"/>
      <c r="B44" s="2323"/>
      <c r="C44" s="2323"/>
      <c r="D44" s="2323"/>
      <c r="E44" s="2323"/>
      <c r="F44" s="2324"/>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sheetPr>
  <dimension ref="A1:Q40"/>
  <sheetViews>
    <sheetView showGridLines="0" defaultGridColor="0" colorId="8" zoomScale="110" zoomScaleNormal="110" workbookViewId="0">
      <selection activeCell="K16" sqref="K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50" t="str">
        <f>COVER!A17</f>
        <v>COUNTY OF WINNEBAGO SCHOOL DISTRICT NO. 320</v>
      </c>
      <c r="J6" s="2351"/>
      <c r="Q6" s="1685"/>
    </row>
    <row r="7" spans="1:17" x14ac:dyDescent="0.2">
      <c r="A7" s="2352" t="s">
        <v>924</v>
      </c>
      <c r="B7" s="2353"/>
      <c r="C7" s="2353"/>
      <c r="D7" s="2353"/>
      <c r="E7" s="2354"/>
      <c r="F7" s="1018"/>
      <c r="G7" s="1010"/>
      <c r="H7" s="1017" t="s">
        <v>390</v>
      </c>
      <c r="I7" s="2355" t="str">
        <f>COVER!A13</f>
        <v>04-101-3200-26</v>
      </c>
      <c r="J7" s="2355"/>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6" t="s">
        <v>502</v>
      </c>
      <c r="B11" s="2357"/>
      <c r="C11" s="235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239766</v>
      </c>
      <c r="F12" s="1040"/>
      <c r="G12" s="1833">
        <f t="shared" ref="G12:G18" si="0">SUM(E12:F12)</f>
        <v>239766</v>
      </c>
      <c r="H12" s="1041">
        <v>249814</v>
      </c>
      <c r="I12" s="1040"/>
      <c r="J12" s="1833">
        <f t="shared" ref="J12:J18" si="1">SUM(H12:I12)</f>
        <v>249814</v>
      </c>
    </row>
    <row r="13" spans="1:17" ht="15" customHeight="1" x14ac:dyDescent="0.2">
      <c r="A13" s="1036">
        <v>2</v>
      </c>
      <c r="B13" s="1037" t="s">
        <v>44</v>
      </c>
      <c r="C13" s="1038"/>
      <c r="D13" s="1039">
        <v>2330</v>
      </c>
      <c r="E13" s="1833">
        <f>'Expenditures 15-22'!K51</f>
        <v>3500</v>
      </c>
      <c r="F13" s="1040"/>
      <c r="G13" s="1833">
        <f t="shared" si="0"/>
        <v>3500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51291</v>
      </c>
      <c r="F15" s="1833">
        <f>'Expenditures 15-22'!K122</f>
        <v>0</v>
      </c>
      <c r="G15" s="1833">
        <f t="shared" si="0"/>
        <v>51291</v>
      </c>
      <c r="H15" s="1041">
        <v>52968</v>
      </c>
      <c r="I15" s="1041"/>
      <c r="J15" s="1833">
        <f t="shared" si="1"/>
        <v>52968</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9" t="s">
        <v>7</v>
      </c>
      <c r="C18" s="2360"/>
      <c r="D18" s="2361"/>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294557</v>
      </c>
      <c r="F19" s="1835">
        <f t="shared" si="2"/>
        <v>0</v>
      </c>
      <c r="G19" s="1835">
        <f t="shared" si="2"/>
        <v>294557</v>
      </c>
      <c r="H19" s="1835">
        <f t="shared" si="2"/>
        <v>302782</v>
      </c>
      <c r="I19" s="1835">
        <f t="shared" si="2"/>
        <v>0</v>
      </c>
      <c r="J19" s="1835">
        <f t="shared" si="2"/>
        <v>302782</v>
      </c>
    </row>
    <row r="20" spans="1:10" ht="13.5" thickTop="1" x14ac:dyDescent="0.2">
      <c r="A20" s="1036">
        <v>9</v>
      </c>
      <c r="B20" s="2362" t="s">
        <v>1703</v>
      </c>
      <c r="C20" s="2362"/>
      <c r="D20" s="2363"/>
      <c r="E20" s="1047"/>
      <c r="F20" s="1047"/>
      <c r="G20" s="1047"/>
      <c r="H20" s="1047"/>
      <c r="I20" s="1047"/>
      <c r="J20" s="1836">
        <f>IF(AND(G19&gt;0,J19&gt;0),(((J19-G19)/G19)),"Enter Budget Data")</f>
        <v>2.7923288192098644E-2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8"/>
      <c r="D26" s="2368"/>
      <c r="E26" s="1051"/>
      <c r="F26" s="2367"/>
      <c r="G26" s="2367"/>
    </row>
    <row r="27" spans="1:10" x14ac:dyDescent="0.2">
      <c r="B27" s="1048"/>
      <c r="C27" s="1052" t="s">
        <v>1093</v>
      </c>
      <c r="D27" s="1053"/>
      <c r="E27" s="1054"/>
      <c r="F27" s="2364" t="s">
        <v>1589</v>
      </c>
      <c r="G27" s="2364"/>
    </row>
    <row r="28" spans="1:10" ht="28.5" customHeight="1" x14ac:dyDescent="0.2">
      <c r="B28" s="1048"/>
      <c r="C28" s="2366"/>
      <c r="D28" s="2366"/>
      <c r="E28" s="1055"/>
      <c r="F28" s="2366"/>
      <c r="G28" s="2366"/>
    </row>
    <row r="29" spans="1:10" x14ac:dyDescent="0.2">
      <c r="B29" s="1048"/>
      <c r="C29" s="1056" t="s">
        <v>1642</v>
      </c>
      <c r="E29" s="1057"/>
      <c r="F29" s="2365" t="s">
        <v>1590</v>
      </c>
      <c r="G29" s="236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7" t="s">
        <v>134</v>
      </c>
      <c r="D33" s="2348"/>
      <c r="E33" s="2348"/>
      <c r="F33" s="2348"/>
      <c r="G33" s="2348"/>
      <c r="H33" s="2348"/>
      <c r="I33" s="2348"/>
    </row>
    <row r="34" spans="1:10" ht="10.35" customHeight="1" x14ac:dyDescent="0.2">
      <c r="C34" s="2348"/>
      <c r="D34" s="2348"/>
      <c r="E34" s="2348"/>
      <c r="F34" s="2348"/>
      <c r="G34" s="2348"/>
      <c r="H34" s="2348"/>
      <c r="I34" s="2348"/>
    </row>
    <row r="35" spans="1:10" ht="7.5" customHeight="1" x14ac:dyDescent="0.2">
      <c r="C35" s="1063"/>
    </row>
    <row r="36" spans="1:10" ht="13.5" customHeight="1" x14ac:dyDescent="0.2">
      <c r="B36" s="1062"/>
      <c r="C36" s="2349" t="s">
        <v>1941</v>
      </c>
      <c r="D36" s="2348"/>
      <c r="E36" s="2348"/>
      <c r="F36" s="2348"/>
      <c r="G36" s="2348"/>
      <c r="H36" s="2348"/>
      <c r="I36" s="2348"/>
      <c r="J36" s="1064"/>
    </row>
    <row r="37" spans="1:10" ht="22.5" customHeight="1" x14ac:dyDescent="0.2">
      <c r="C37" s="2348"/>
      <c r="D37" s="2348"/>
      <c r="E37" s="2348"/>
      <c r="F37" s="2348"/>
      <c r="G37" s="2348"/>
      <c r="H37" s="2348"/>
      <c r="I37" s="2348"/>
      <c r="J37" s="1064"/>
    </row>
    <row r="38" spans="1:10" ht="7.5" customHeight="1" x14ac:dyDescent="0.2">
      <c r="C38" s="1063"/>
      <c r="D38" s="1065"/>
      <c r="E38" s="1066"/>
      <c r="F38" s="1067"/>
      <c r="G38" s="1066"/>
    </row>
    <row r="39" spans="1:10" ht="13.5" customHeight="1" x14ac:dyDescent="0.2">
      <c r="B39" s="1062"/>
      <c r="C39" s="2345" t="s">
        <v>937</v>
      </c>
      <c r="D39" s="2346"/>
      <c r="E39" s="2346"/>
      <c r="F39" s="2346"/>
      <c r="G39" s="2346"/>
      <c r="H39" s="2346"/>
      <c r="I39" s="234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2:G64"/>
  <sheetViews>
    <sheetView showGridLines="0" zoomScale="110" zoomScaleNormal="110" workbookViewId="0">
      <selection activeCell="H11" sqref="H11"/>
    </sheetView>
  </sheetViews>
  <sheetFormatPr defaultRowHeight="12.75" x14ac:dyDescent="0.2"/>
  <cols>
    <col min="1" max="1" width="3" style="329" customWidth="1"/>
    <col min="2" max="2" width="11.7109375" style="1966" customWidth="1"/>
    <col min="3" max="3" width="10.7109375" style="1966" customWidth="1"/>
    <col min="4" max="4" width="11" style="1966" customWidth="1"/>
    <col min="5" max="5" width="11.42578125" style="1966" customWidth="1"/>
    <col min="6" max="6" width="29.7109375" style="329" customWidth="1"/>
    <col min="7" max="7" width="11.28515625" style="329" customWidth="1"/>
    <col min="8" max="16384" width="9.140625" style="329"/>
  </cols>
  <sheetData>
    <row r="2" spans="1:7" x14ac:dyDescent="0.2">
      <c r="A2" s="389" t="s">
        <v>276</v>
      </c>
    </row>
    <row r="3" spans="1:7" x14ac:dyDescent="0.2">
      <c r="A3" s="329" t="s">
        <v>277</v>
      </c>
    </row>
    <row r="5" spans="1:7" x14ac:dyDescent="0.2">
      <c r="A5" s="1069"/>
      <c r="B5" s="1967" t="s">
        <v>2106</v>
      </c>
      <c r="C5" s="1967" t="s">
        <v>2107</v>
      </c>
      <c r="D5" s="1967" t="s">
        <v>2108</v>
      </c>
      <c r="E5" s="1967" t="s">
        <v>2109</v>
      </c>
      <c r="F5" s="1955" t="s">
        <v>2110</v>
      </c>
      <c r="G5" s="1955" t="s">
        <v>2111</v>
      </c>
    </row>
    <row r="6" spans="1:7" ht="13.5" thickBot="1" x14ac:dyDescent="0.25">
      <c r="A6" s="1069"/>
      <c r="B6" s="1966">
        <v>1690</v>
      </c>
      <c r="C6" s="1966">
        <v>10</v>
      </c>
      <c r="D6" s="1966">
        <v>10</v>
      </c>
      <c r="E6" s="1966">
        <v>74</v>
      </c>
      <c r="F6" s="391" t="s">
        <v>2112</v>
      </c>
      <c r="G6" s="1957">
        <v>8235</v>
      </c>
    </row>
    <row r="7" spans="1:7" ht="13.5" thickTop="1" x14ac:dyDescent="0.2">
      <c r="A7" s="1069"/>
      <c r="F7" s="391"/>
      <c r="G7" s="1956"/>
    </row>
    <row r="8" spans="1:7" ht="13.5" thickBot="1" x14ac:dyDescent="0.25">
      <c r="A8" s="1069"/>
      <c r="B8" s="1966">
        <v>1790</v>
      </c>
      <c r="C8" s="1966">
        <v>10</v>
      </c>
      <c r="D8" s="1966">
        <v>10</v>
      </c>
      <c r="E8" s="1966">
        <v>81</v>
      </c>
      <c r="F8" s="391" t="s">
        <v>2113</v>
      </c>
      <c r="G8" s="1957">
        <v>150</v>
      </c>
    </row>
    <row r="9" spans="1:7" ht="13.5" thickTop="1" x14ac:dyDescent="0.2">
      <c r="A9" s="1070"/>
      <c r="F9" s="391"/>
      <c r="G9" s="1956"/>
    </row>
    <row r="10" spans="1:7" x14ac:dyDescent="0.2">
      <c r="A10" s="1070"/>
      <c r="B10" s="1966">
        <v>1999</v>
      </c>
      <c r="C10" s="1966">
        <v>11</v>
      </c>
      <c r="D10" s="1966">
        <v>10</v>
      </c>
      <c r="E10" s="1966">
        <v>107</v>
      </c>
      <c r="F10" s="391" t="s">
        <v>2114</v>
      </c>
      <c r="G10" s="1965">
        <v>125</v>
      </c>
    </row>
    <row r="11" spans="1:7" x14ac:dyDescent="0.2">
      <c r="A11" s="1070"/>
      <c r="F11" s="391" t="s">
        <v>2115</v>
      </c>
      <c r="G11" s="1969">
        <v>520</v>
      </c>
    </row>
    <row r="12" spans="1:7" ht="13.5" thickBot="1" x14ac:dyDescent="0.25">
      <c r="A12" s="1070"/>
      <c r="F12" s="391"/>
      <c r="G12" s="1957">
        <f>SUM(G10:G11)</f>
        <v>645</v>
      </c>
    </row>
    <row r="13" spans="1:7" ht="13.5" thickTop="1" x14ac:dyDescent="0.2">
      <c r="A13" s="1070"/>
      <c r="F13" s="391"/>
      <c r="G13" s="1956"/>
    </row>
    <row r="14" spans="1:7" ht="13.5" thickBot="1" x14ac:dyDescent="0.25">
      <c r="A14" s="1070"/>
      <c r="B14" s="1966">
        <v>3999</v>
      </c>
      <c r="C14" s="1966">
        <v>12</v>
      </c>
      <c r="D14" s="1966">
        <v>10</v>
      </c>
      <c r="E14" s="1966">
        <v>237</v>
      </c>
      <c r="F14" s="391" t="s">
        <v>2116</v>
      </c>
      <c r="G14" s="1957">
        <v>20000</v>
      </c>
    </row>
    <row r="15" spans="1:7" ht="13.5" thickTop="1" x14ac:dyDescent="0.2">
      <c r="A15" s="1070"/>
      <c r="F15" s="391"/>
      <c r="G15" s="1956"/>
    </row>
    <row r="16" spans="1:7" x14ac:dyDescent="0.2">
      <c r="A16" s="1070"/>
      <c r="B16" s="1966">
        <v>2190</v>
      </c>
      <c r="C16" s="1966">
        <v>15</v>
      </c>
      <c r="D16" s="1966">
        <v>10</v>
      </c>
      <c r="E16" s="1966">
        <v>41</v>
      </c>
      <c r="F16" s="391" t="s">
        <v>2117</v>
      </c>
      <c r="G16" s="1965">
        <v>16381</v>
      </c>
    </row>
    <row r="17" spans="1:7" x14ac:dyDescent="0.2">
      <c r="A17" s="1070"/>
      <c r="F17" s="391" t="s">
        <v>2118</v>
      </c>
      <c r="G17" s="1969">
        <v>578</v>
      </c>
    </row>
    <row r="18" spans="1:7" ht="13.5" thickBot="1" x14ac:dyDescent="0.25">
      <c r="A18" s="1070"/>
      <c r="F18" s="391"/>
      <c r="G18" s="1957">
        <f>SUM(G16:G17)</f>
        <v>16959</v>
      </c>
    </row>
    <row r="19" spans="1:7" ht="13.5" thickTop="1" x14ac:dyDescent="0.2">
      <c r="A19" s="1070"/>
      <c r="F19" s="391"/>
      <c r="G19" s="1956"/>
    </row>
    <row r="20" spans="1:7" ht="13.5" thickBot="1" x14ac:dyDescent="0.25">
      <c r="A20" s="1070"/>
      <c r="B20" s="1966">
        <v>5400</v>
      </c>
      <c r="C20" s="1966">
        <v>18</v>
      </c>
      <c r="D20" s="1966">
        <v>30</v>
      </c>
      <c r="E20" s="1966">
        <v>165</v>
      </c>
      <c r="F20" s="391" t="s">
        <v>2119</v>
      </c>
      <c r="G20" s="1957">
        <v>1750</v>
      </c>
    </row>
    <row r="21" spans="1:7" ht="13.5" thickTop="1" x14ac:dyDescent="0.2">
      <c r="A21" s="1070"/>
      <c r="F21" s="391"/>
      <c r="G21" s="1956"/>
    </row>
    <row r="22" spans="1:7" ht="13.5" thickBot="1" x14ac:dyDescent="0.25">
      <c r="A22" s="1070"/>
      <c r="B22" s="1966">
        <v>2190</v>
      </c>
      <c r="C22" s="1966">
        <v>19</v>
      </c>
      <c r="D22" s="1966">
        <v>50</v>
      </c>
      <c r="E22" s="1966">
        <v>231</v>
      </c>
      <c r="F22" s="391" t="s">
        <v>2120</v>
      </c>
      <c r="G22" s="1957">
        <v>241</v>
      </c>
    </row>
    <row r="23" spans="1:7" ht="13.5" thickTop="1" x14ac:dyDescent="0.2">
      <c r="A23" s="1070"/>
      <c r="F23" s="391"/>
      <c r="G23" s="1956"/>
    </row>
    <row r="24" spans="1:7" x14ac:dyDescent="0.2">
      <c r="A24" s="1070"/>
      <c r="F24" s="391"/>
      <c r="G24" s="1956"/>
    </row>
    <row r="25" spans="1:7" x14ac:dyDescent="0.2">
      <c r="A25" s="1070"/>
      <c r="B25" s="391" t="s">
        <v>2198</v>
      </c>
      <c r="F25" s="391"/>
      <c r="G25" s="1956"/>
    </row>
    <row r="26" spans="1:7" ht="13.5" thickBot="1" x14ac:dyDescent="0.25">
      <c r="A26" s="1070"/>
      <c r="C26" s="1966">
        <v>25</v>
      </c>
      <c r="D26" s="1966">
        <v>10</v>
      </c>
      <c r="E26" s="1966">
        <v>10</v>
      </c>
      <c r="F26" s="391" t="s">
        <v>2199</v>
      </c>
      <c r="G26" s="1957">
        <v>83</v>
      </c>
    </row>
    <row r="27" spans="1:7" ht="13.5" thickTop="1" x14ac:dyDescent="0.2">
      <c r="A27" s="1070"/>
      <c r="F27" s="391"/>
      <c r="G27" s="1956"/>
    </row>
    <row r="28" spans="1:7" x14ac:dyDescent="0.2">
      <c r="A28" s="1070"/>
      <c r="F28" s="391"/>
      <c r="G28" s="1956"/>
    </row>
    <row r="29" spans="1:7" x14ac:dyDescent="0.2">
      <c r="A29" s="1070"/>
      <c r="F29" s="391"/>
      <c r="G29" s="1956"/>
    </row>
    <row r="30" spans="1:7" x14ac:dyDescent="0.2">
      <c r="A30" s="1070"/>
      <c r="F30" s="391"/>
      <c r="G30" s="1956"/>
    </row>
    <row r="31" spans="1:7" x14ac:dyDescent="0.2">
      <c r="A31" s="1070"/>
      <c r="F31" s="391"/>
      <c r="G31" s="391"/>
    </row>
    <row r="32" spans="1:7" x14ac:dyDescent="0.2">
      <c r="A32" s="1070"/>
      <c r="F32" s="391"/>
      <c r="G32" s="391"/>
    </row>
    <row r="33" spans="1:7" x14ac:dyDescent="0.2">
      <c r="A33" s="1070"/>
      <c r="F33" s="391"/>
      <c r="G33" s="391"/>
    </row>
    <row r="34" spans="1:7" x14ac:dyDescent="0.2">
      <c r="A34" s="1070"/>
      <c r="F34" s="391"/>
      <c r="G34" s="391"/>
    </row>
    <row r="35" spans="1:7" x14ac:dyDescent="0.2">
      <c r="A35" s="1070"/>
      <c r="F35" s="391"/>
      <c r="G35" s="391"/>
    </row>
    <row r="36" spans="1:7" x14ac:dyDescent="0.2">
      <c r="A36" s="1070"/>
      <c r="F36" s="391"/>
      <c r="G36" s="391"/>
    </row>
    <row r="37" spans="1:7" x14ac:dyDescent="0.2">
      <c r="A37" s="1070"/>
      <c r="F37" s="391"/>
      <c r="G37" s="391"/>
    </row>
    <row r="38" spans="1:7" x14ac:dyDescent="0.2">
      <c r="A38" s="1070"/>
      <c r="F38" s="391"/>
      <c r="G38" s="391"/>
    </row>
    <row r="39" spans="1:7" x14ac:dyDescent="0.2">
      <c r="A39" s="1070"/>
      <c r="F39" s="391"/>
      <c r="G39" s="391"/>
    </row>
    <row r="40" spans="1:7" x14ac:dyDescent="0.2">
      <c r="A40" s="1070"/>
      <c r="F40" s="391"/>
      <c r="G40" s="391"/>
    </row>
    <row r="41" spans="1:7" x14ac:dyDescent="0.2">
      <c r="A41" s="1070"/>
    </row>
    <row r="42" spans="1:7" x14ac:dyDescent="0.2">
      <c r="A42" s="1070"/>
    </row>
    <row r="43" spans="1:7" x14ac:dyDescent="0.2">
      <c r="A43" s="1070"/>
    </row>
    <row r="44" spans="1:7" x14ac:dyDescent="0.2">
      <c r="A44" s="1070"/>
    </row>
    <row r="45" spans="1:7" x14ac:dyDescent="0.2">
      <c r="A45" s="1070"/>
    </row>
    <row r="46" spans="1:7" x14ac:dyDescent="0.2">
      <c r="A46" s="1070"/>
    </row>
    <row r="47" spans="1:7" x14ac:dyDescent="0.2">
      <c r="A47" s="1070"/>
    </row>
    <row r="48" spans="1:7"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COUNTY OF WINNEBAGO SCHOOL DISTRICT NO. 320</v>
      </c>
    </row>
    <row r="64" spans="1:2" x14ac:dyDescent="0.2">
      <c r="B64" s="1968" t="str">
        <f>COVER!A13</f>
        <v>04-101-3200-26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9" t="s">
        <v>1784</v>
      </c>
      <c r="B18" s="236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autoPict="0" r:id="rId5">
            <anchor moveWithCells="1">
              <from>
                <xdr:col>0</xdr:col>
                <xdr:colOff>123825</xdr:colOff>
                <xdr:row>4</xdr:row>
                <xdr:rowOff>0</xdr:rowOff>
              </from>
              <to>
                <xdr:col>1</xdr:col>
                <xdr:colOff>971550</xdr:colOff>
                <xdr:row>9</xdr:row>
                <xdr:rowOff>9525</xdr:rowOff>
              </to>
            </anchor>
          </objectPr>
        </oleObject>
      </mc:Choice>
      <mc:Fallback>
        <oleObject progId="PDF"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1400175</xdr:colOff>
                <xdr:row>3</xdr:row>
                <xdr:rowOff>123825</xdr:rowOff>
              </from>
              <to>
                <xdr:col>1</xdr:col>
                <xdr:colOff>2314575</xdr:colOff>
                <xdr:row>8</xdr:row>
                <xdr:rowOff>76200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0" t="s">
        <v>1790</v>
      </c>
      <c r="B1" s="2371"/>
      <c r="C1" s="2371"/>
      <c r="D1" s="2371"/>
      <c r="E1" s="2371"/>
      <c r="F1" s="2372"/>
    </row>
    <row r="2" spans="1:8" ht="45" customHeight="1" x14ac:dyDescent="0.2">
      <c r="A2" s="2380" t="s">
        <v>1791</v>
      </c>
      <c r="B2" s="2381"/>
      <c r="C2" s="2381"/>
      <c r="D2" s="2381"/>
      <c r="E2" s="2381"/>
      <c r="F2" s="2382"/>
      <c r="G2" s="1074"/>
      <c r="H2" s="1074"/>
    </row>
    <row r="3" spans="1:8" ht="57" customHeight="1" x14ac:dyDescent="0.2">
      <c r="A3" s="2383" t="s">
        <v>1786</v>
      </c>
      <c r="B3" s="2384"/>
      <c r="C3" s="2384"/>
      <c r="D3" s="2384"/>
      <c r="E3" s="2384"/>
      <c r="F3" s="2385"/>
      <c r="G3" s="1074"/>
      <c r="H3" s="1074"/>
    </row>
    <row r="4" spans="1:8" ht="14.25" customHeight="1" x14ac:dyDescent="0.2">
      <c r="A4" s="2389" t="s">
        <v>2053</v>
      </c>
      <c r="B4" s="2390"/>
      <c r="C4" s="2390"/>
      <c r="D4" s="2390"/>
      <c r="E4" s="2390"/>
      <c r="F4" s="2391"/>
      <c r="G4" s="1074"/>
      <c r="H4" s="1074"/>
    </row>
    <row r="5" spans="1:8" ht="14.25" customHeight="1" x14ac:dyDescent="0.2">
      <c r="A5" s="2392" t="s">
        <v>2054</v>
      </c>
      <c r="B5" s="2393"/>
      <c r="C5" s="2393"/>
      <c r="D5" s="2393"/>
      <c r="E5" s="2393"/>
      <c r="F5" s="2394"/>
      <c r="G5" s="1074"/>
      <c r="H5" s="1074"/>
    </row>
    <row r="6" spans="1:8" s="1075" customFormat="1" ht="41.25" customHeight="1" x14ac:dyDescent="0.2">
      <c r="A6" s="2386" t="s">
        <v>1792</v>
      </c>
      <c r="B6" s="2387"/>
      <c r="C6" s="2387"/>
      <c r="D6" s="2387"/>
      <c r="E6" s="2387"/>
      <c r="F6" s="2388"/>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9229262</v>
      </c>
      <c r="C8" s="1837">
        <f>'Acct Summary 7-8'!D8</f>
        <v>1250967</v>
      </c>
      <c r="D8" s="1837">
        <f>'Acct Summary 7-8'!F8</f>
        <v>530014</v>
      </c>
      <c r="E8" s="1837">
        <f>'Acct Summary 7-8'!I8</f>
        <v>34907</v>
      </c>
      <c r="F8" s="1837">
        <f>SUM(B8:E8)</f>
        <v>11045150</v>
      </c>
    </row>
    <row r="9" spans="1:8" s="1079" customFormat="1" ht="14.25" customHeight="1" thickBot="1" x14ac:dyDescent="0.25">
      <c r="A9" s="1078" t="s">
        <v>1436</v>
      </c>
      <c r="B9" s="1838">
        <f>'Acct Summary 7-8'!C17</f>
        <v>8317812</v>
      </c>
      <c r="C9" s="1838">
        <f>'Acct Summary 7-8'!D17</f>
        <v>1212354</v>
      </c>
      <c r="D9" s="1838">
        <f>'Acct Summary 7-8'!F17</f>
        <v>407525</v>
      </c>
      <c r="E9" s="1837"/>
      <c r="F9" s="1837">
        <f>SUM(B9:E9)</f>
        <v>9937691</v>
      </c>
    </row>
    <row r="10" spans="1:8" s="1079" customFormat="1" ht="14.25" thickTop="1" thickBot="1" x14ac:dyDescent="0.25">
      <c r="A10" s="1080" t="s">
        <v>1437</v>
      </c>
      <c r="B10" s="1839">
        <f>(B8-B9)</f>
        <v>911450</v>
      </c>
      <c r="C10" s="1839">
        <f>(C8-C9)</f>
        <v>38613</v>
      </c>
      <c r="D10" s="1839">
        <f>(D8-D9)</f>
        <v>122489</v>
      </c>
      <c r="E10" s="1838">
        <f>(E8-E9)</f>
        <v>34907</v>
      </c>
      <c r="F10" s="1840">
        <f>SUM(F8-F9)</f>
        <v>1107459</v>
      </c>
    </row>
    <row r="11" spans="1:8" s="1079" customFormat="1" ht="14.25" thickTop="1" thickBot="1" x14ac:dyDescent="0.25">
      <c r="A11" s="1081" t="s">
        <v>1785</v>
      </c>
      <c r="B11" s="1841">
        <f>'Acct Summary 7-8'!C81</f>
        <v>6610798</v>
      </c>
      <c r="C11" s="1841">
        <f>'Acct Summary 7-8'!D81</f>
        <v>740508</v>
      </c>
      <c r="D11" s="1841">
        <f>'Acct Summary 7-8'!F81</f>
        <v>132076</v>
      </c>
      <c r="E11" s="1841">
        <f>'Acct Summary 7-8'!I81</f>
        <v>357914</v>
      </c>
      <c r="F11" s="1842">
        <f>SUM(B11:E11)</f>
        <v>7841296</v>
      </c>
    </row>
    <row r="12" spans="1:8" ht="16.5" customHeight="1" thickTop="1" x14ac:dyDescent="0.2">
      <c r="A12" s="1082"/>
      <c r="B12" s="1083"/>
      <c r="C12" s="2374" t="str">
        <f>IF(AND(F10&lt;0,F11&gt;=0,ABS(F10*3)&gt;ABS(F11)),A16,IF(AND(F10&lt;0,F11&gt;0,ABS(F10*3)&lt;=ABS(F11)),A17,IF(AND(F10&lt;0,F11&lt;0),A16,IF(F11=0,A19,A18))))</f>
        <v>Balanced - no deficit reduction plan is required.</v>
      </c>
      <c r="D12" s="2375"/>
      <c r="E12" s="2375"/>
      <c r="F12" s="2376"/>
    </row>
    <row r="13" spans="1:8" ht="19.5" customHeight="1" x14ac:dyDescent="0.2">
      <c r="A13" s="1084"/>
      <c r="B13" s="1085"/>
      <c r="C13" s="2374"/>
      <c r="D13" s="2375"/>
      <c r="E13" s="2375"/>
      <c r="F13" s="2376"/>
      <c r="H13" s="1074"/>
    </row>
    <row r="14" spans="1:8" ht="19.5" customHeight="1" x14ac:dyDescent="0.2">
      <c r="A14" s="1084"/>
      <c r="B14" s="1085"/>
      <c r="C14" s="2374"/>
      <c r="D14" s="2375"/>
      <c r="E14" s="2375"/>
      <c r="F14" s="2376"/>
      <c r="H14" s="1074"/>
    </row>
    <row r="15" spans="1:8" ht="17.25" customHeight="1" x14ac:dyDescent="0.2">
      <c r="A15" s="1084"/>
      <c r="B15" s="1085"/>
      <c r="C15" s="2377"/>
      <c r="D15" s="2378"/>
      <c r="E15" s="2378"/>
      <c r="F15" s="2379"/>
      <c r="H15" s="1074"/>
    </row>
    <row r="16" spans="1:8" s="310" customFormat="1" ht="51.75" hidden="1" customHeight="1" x14ac:dyDescent="0.2">
      <c r="A16" s="2373" t="s">
        <v>1787</v>
      </c>
      <c r="B16" s="2373"/>
      <c r="C16" s="2373"/>
      <c r="D16" s="2373"/>
      <c r="E16" s="2373"/>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95" t="s">
        <v>686</v>
      </c>
      <c r="B3" s="2396"/>
      <c r="C3" s="2396"/>
      <c r="D3" s="2397"/>
    </row>
    <row r="4" spans="1:4" x14ac:dyDescent="0.2">
      <c r="A4" s="1152" t="s">
        <v>1793</v>
      </c>
      <c r="B4" s="1153"/>
      <c r="C4" s="1154"/>
      <c r="D4" s="1155"/>
    </row>
    <row r="5" spans="1:4" ht="21" customHeight="1" x14ac:dyDescent="0.2">
      <c r="A5" s="1148"/>
      <c r="B5" s="1149">
        <v>1</v>
      </c>
      <c r="C5" s="1150" t="s">
        <v>1943</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6" t="s">
        <v>1584</v>
      </c>
      <c r="D7" s="2407"/>
    </row>
    <row r="8" spans="1:4" s="669" customFormat="1" ht="12.75" x14ac:dyDescent="0.2">
      <c r="A8" s="1138"/>
      <c r="B8" s="1093"/>
      <c r="C8" s="1096" t="s">
        <v>1583</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8" t="s">
        <v>1065</v>
      </c>
      <c r="B15" s="2399"/>
      <c r="C15" s="2399"/>
      <c r="D15" s="2400"/>
    </row>
    <row r="16" spans="1:4" s="669" customFormat="1" ht="24" customHeight="1" x14ac:dyDescent="0.2">
      <c r="A16" s="2401" t="s">
        <v>684</v>
      </c>
      <c r="B16" s="2402"/>
      <c r="C16" s="2402"/>
      <c r="D16" s="2403"/>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10" t="s">
        <v>332</v>
      </c>
      <c r="D21" s="2411"/>
    </row>
    <row r="22" spans="1:10" ht="12.75" x14ac:dyDescent="0.2">
      <c r="A22" s="1139"/>
      <c r="B22" s="1140">
        <v>2</v>
      </c>
      <c r="C22" s="2408" t="s">
        <v>1605</v>
      </c>
      <c r="D22" s="2409"/>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12" t="s">
        <v>557</v>
      </c>
      <c r="D43" s="2413"/>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4" t="s">
        <v>817</v>
      </c>
      <c r="D56" s="2405"/>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404" t="s">
        <v>1797</v>
      </c>
      <c r="D70" s="2405"/>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2052</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04-101-3200-26</v>
      </c>
    </row>
    <row r="3" spans="1:2" x14ac:dyDescent="0.2">
      <c r="A3" t="s">
        <v>1013</v>
      </c>
      <c r="B3" s="138" t="str">
        <f>COVER!A15</f>
        <v xml:space="preserve">WINNEBAGO </v>
      </c>
    </row>
    <row r="4" spans="1:2" x14ac:dyDescent="0.2">
      <c r="A4" t="s">
        <v>1064</v>
      </c>
      <c r="B4" s="138" t="str">
        <f>COVER!A17</f>
        <v>COUNTY OF WINNEBAGO SCHOOL DISTRICT NO. 320</v>
      </c>
    </row>
    <row r="5" spans="1:2" x14ac:dyDescent="0.2">
      <c r="A5" t="s">
        <v>728</v>
      </c>
      <c r="B5" s="138" t="str">
        <f>COVER!A38</f>
        <v xml:space="preserve">SCOTT FISHER </v>
      </c>
    </row>
    <row r="6" spans="1:2" x14ac:dyDescent="0.2">
      <c r="A6" t="s">
        <v>733</v>
      </c>
      <c r="B6" s="138">
        <f>COVER!P35</f>
        <v>0</v>
      </c>
    </row>
    <row r="7" spans="1:2" x14ac:dyDescent="0.2">
      <c r="A7" t="s">
        <v>729</v>
      </c>
      <c r="B7" s="138">
        <f>COVER!I38</f>
        <v>0</v>
      </c>
    </row>
    <row r="8" spans="1:2" x14ac:dyDescent="0.2">
      <c r="A8" t="s">
        <v>730</v>
      </c>
      <c r="B8" s="138" t="str">
        <f>COVER!T38</f>
        <v>LORI FANELLO</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 xml:space="preserve">BENNING GROUP, LLC </v>
      </c>
    </row>
    <row r="17" spans="1:2" x14ac:dyDescent="0.2">
      <c r="A17" t="s">
        <v>939</v>
      </c>
      <c r="B17" s="138" t="str">
        <f>COVER!T15</f>
        <v xml:space="preserve">JENNY L. BLOCKER </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 xml:space="preserve">FREEPORT </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6610798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6030551</v>
      </c>
      <c r="D92" s="2" t="str">
        <f t="shared" si="0"/>
        <v>Error?</v>
      </c>
    </row>
    <row r="93" spans="1:4" x14ac:dyDescent="0.2">
      <c r="A93" s="5">
        <v>32</v>
      </c>
      <c r="B93" s="138">
        <f>'Assets-Liab 5-6'!C41</f>
        <v>6610798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740508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740508</v>
      </c>
      <c r="D123" s="2" t="str">
        <f t="shared" si="0"/>
        <v>Error?</v>
      </c>
    </row>
    <row r="124" spans="1:4" x14ac:dyDescent="0.2">
      <c r="A124" s="5">
        <v>63</v>
      </c>
      <c r="B124" s="138">
        <f>'Assets-Liab 5-6'!D41</f>
        <v>740508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569139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569139</v>
      </c>
      <c r="D140" s="2" t="str">
        <f t="shared" si="1"/>
        <v>Error?</v>
      </c>
    </row>
    <row r="141" spans="1:4" x14ac:dyDescent="0.2">
      <c r="A141" s="5">
        <v>80</v>
      </c>
      <c r="B141" s="138">
        <f>'Assets-Liab 5-6'!E41</f>
        <v>569139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132076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132076</v>
      </c>
      <c r="D170" s="2" t="str">
        <f t="shared" si="1"/>
        <v>Error?</v>
      </c>
    </row>
    <row r="171" spans="1:4" x14ac:dyDescent="0.2">
      <c r="A171" s="5">
        <v>110</v>
      </c>
      <c r="B171" s="138">
        <f>'Assets-Liab 5-6'!F41</f>
        <v>132076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184716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90682</v>
      </c>
      <c r="D189" s="2" t="str">
        <f t="shared" si="1"/>
        <v>Error?</v>
      </c>
    </row>
    <row r="190" spans="1:4" x14ac:dyDescent="0.2">
      <c r="A190" s="5">
        <v>129</v>
      </c>
      <c r="B190" s="138">
        <f>'Assets-Liab 5-6'!G41</f>
        <v>184716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138937</v>
      </c>
      <c r="D273" s="2" t="str">
        <f t="shared" si="3"/>
        <v>Error?</v>
      </c>
    </row>
    <row r="274" spans="1:4" x14ac:dyDescent="0.2">
      <c r="A274" s="5">
        <v>213</v>
      </c>
      <c r="B274" s="138">
        <f>'Assets-Liab 5-6'!M17</f>
        <v>17701422</v>
      </c>
      <c r="D274" s="2" t="str">
        <f t="shared" si="3"/>
        <v>Error?</v>
      </c>
    </row>
    <row r="275" spans="1:4" x14ac:dyDescent="0.2">
      <c r="A275" s="5">
        <v>214</v>
      </c>
      <c r="B275" s="138">
        <f>'Assets-Liab 5-6'!M18</f>
        <v>480787</v>
      </c>
      <c r="D275" s="2" t="str">
        <f t="shared" si="3"/>
        <v>Error?</v>
      </c>
    </row>
    <row r="276" spans="1:4" x14ac:dyDescent="0.2">
      <c r="A276" s="5">
        <v>215</v>
      </c>
      <c r="B276" s="138">
        <f>'Assets-Liab 5-6'!M19</f>
        <v>1986310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20307456</v>
      </c>
      <c r="C279" s="2" t="s">
        <v>594</v>
      </c>
      <c r="D279" s="2" t="str">
        <f t="shared" si="3"/>
        <v>Error?</v>
      </c>
    </row>
    <row r="280" spans="1:4" x14ac:dyDescent="0.2">
      <c r="A280" s="5">
        <v>219</v>
      </c>
      <c r="B280" s="138">
        <f>'Assets-Liab 5-6'!M40</f>
        <v>20307456</v>
      </c>
      <c r="D280" s="2" t="str">
        <f t="shared" si="3"/>
        <v>Error?</v>
      </c>
    </row>
    <row r="281" spans="1:4" x14ac:dyDescent="0.2">
      <c r="A281" s="5">
        <v>220</v>
      </c>
      <c r="B281" s="138">
        <f>'Assets-Liab 5-6'!M41</f>
        <v>20307456</v>
      </c>
      <c r="C281" s="2" t="s">
        <v>594</v>
      </c>
      <c r="D281" s="2" t="str">
        <f t="shared" si="3"/>
        <v>Error?</v>
      </c>
    </row>
    <row r="282" spans="1:4" x14ac:dyDescent="0.2">
      <c r="A282" s="5">
        <v>221</v>
      </c>
      <c r="B282" s="138">
        <f>'Assets-Liab 5-6'!N21</f>
        <v>569139</v>
      </c>
      <c r="D282" s="2" t="str">
        <f t="shared" si="3"/>
        <v>Error?</v>
      </c>
    </row>
    <row r="283" spans="1:4" x14ac:dyDescent="0.2">
      <c r="A283" s="5">
        <v>222</v>
      </c>
      <c r="B283" s="138">
        <f>'Assets-Liab 5-6'!N22</f>
        <v>5092861</v>
      </c>
      <c r="D283" s="2" t="str">
        <f t="shared" si="3"/>
        <v>Error?</v>
      </c>
    </row>
    <row r="284" spans="1:4" x14ac:dyDescent="0.2">
      <c r="A284" s="5">
        <v>223</v>
      </c>
      <c r="B284" s="138">
        <f>'Assets-Liab 5-6'!N23</f>
        <v>5662000</v>
      </c>
      <c r="C284" s="2" t="s">
        <v>594</v>
      </c>
      <c r="D284" s="2" t="str">
        <f t="shared" si="3"/>
        <v>Error?</v>
      </c>
    </row>
    <row r="285" spans="1:4" x14ac:dyDescent="0.2">
      <c r="A285" s="5">
        <v>224</v>
      </c>
      <c r="B285" s="138">
        <f>'Assets-Liab 5-6'!N36</f>
        <v>5662000</v>
      </c>
      <c r="D285" s="2" t="str">
        <f t="shared" si="3"/>
        <v>Error?</v>
      </c>
    </row>
    <row r="286" spans="1:4" x14ac:dyDescent="0.2">
      <c r="A286" s="10">
        <v>225</v>
      </c>
      <c r="D286" s="2" t="str">
        <f t="shared" si="3"/>
        <v>OK</v>
      </c>
    </row>
    <row r="287" spans="1:4" x14ac:dyDescent="0.2">
      <c r="A287" s="5">
        <v>226</v>
      </c>
      <c r="B287" s="138">
        <f>'Assets-Liab 5-6'!N37</f>
        <v>5662000</v>
      </c>
      <c r="C287" s="2" t="s">
        <v>594</v>
      </c>
      <c r="D287" s="2" t="str">
        <f t="shared" si="3"/>
        <v>Error?</v>
      </c>
    </row>
    <row r="288" spans="1:4" x14ac:dyDescent="0.2">
      <c r="A288" s="5">
        <v>227</v>
      </c>
      <c r="B288" s="138">
        <f>'Assets-Liab 5-6'!N41</f>
        <v>5662000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2720391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39274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71977</v>
      </c>
      <c r="D717" s="2" t="str">
        <f t="shared" si="10"/>
        <v>Error?</v>
      </c>
    </row>
    <row r="718" spans="1:4" x14ac:dyDescent="0.2">
      <c r="A718" s="5">
        <v>657</v>
      </c>
      <c r="B718" s="138">
        <f>'Expenditures 15-22'!C14</f>
        <v>129529</v>
      </c>
      <c r="D718" s="2" t="str">
        <f t="shared" si="10"/>
        <v>Error?</v>
      </c>
    </row>
    <row r="719" spans="1:4" x14ac:dyDescent="0.2">
      <c r="A719" s="5">
        <v>658</v>
      </c>
      <c r="B719" s="138">
        <f>'Expenditures 15-22'!C15</f>
        <v>2038</v>
      </c>
      <c r="D719" s="2" t="str">
        <f t="shared" si="10"/>
        <v>Error?</v>
      </c>
    </row>
    <row r="720" spans="1:4" x14ac:dyDescent="0.2">
      <c r="A720" s="5">
        <v>659</v>
      </c>
      <c r="B720" s="138">
        <f>'Expenditures 15-22'!C33</f>
        <v>3987424</v>
      </c>
      <c r="C720" s="2" t="s">
        <v>594</v>
      </c>
      <c r="D720" s="2" t="str">
        <f t="shared" si="10"/>
        <v>Error?</v>
      </c>
    </row>
    <row r="721" spans="1:4" x14ac:dyDescent="0.2">
      <c r="A721" s="5">
        <v>660</v>
      </c>
      <c r="B721" s="138">
        <f>'Expenditures 15-22'!C36</f>
        <v>142544</v>
      </c>
      <c r="D721" s="2" t="str">
        <f t="shared" si="10"/>
        <v>Error?</v>
      </c>
    </row>
    <row r="722" spans="1:4" x14ac:dyDescent="0.2">
      <c r="A722" s="5">
        <v>661</v>
      </c>
      <c r="B722" s="138">
        <f>'Expenditures 15-22'!C37</f>
        <v>70495</v>
      </c>
      <c r="D722" s="2" t="str">
        <f t="shared" si="10"/>
        <v>Error?</v>
      </c>
    </row>
    <row r="723" spans="1:4" x14ac:dyDescent="0.2">
      <c r="A723" s="5">
        <v>662</v>
      </c>
      <c r="B723" s="138">
        <f>'Expenditures 15-22'!C38</f>
        <v>154452</v>
      </c>
      <c r="D723" s="2" t="str">
        <f t="shared" si="10"/>
        <v>Error?</v>
      </c>
    </row>
    <row r="724" spans="1:4" x14ac:dyDescent="0.2">
      <c r="A724" s="5">
        <v>663</v>
      </c>
      <c r="B724" s="138">
        <f>'Expenditures 15-22'!C39</f>
        <v>74751</v>
      </c>
      <c r="D724" s="2" t="str">
        <f t="shared" si="10"/>
        <v>Error?</v>
      </c>
    </row>
    <row r="725" spans="1:4" x14ac:dyDescent="0.2">
      <c r="A725" s="5">
        <v>664</v>
      </c>
      <c r="B725" s="138">
        <f>'Expenditures 15-22'!C40</f>
        <v>80309</v>
      </c>
      <c r="D725" s="2" t="str">
        <f t="shared" si="10"/>
        <v>Error?</v>
      </c>
    </row>
    <row r="726" spans="1:4" x14ac:dyDescent="0.2">
      <c r="A726" s="5">
        <v>665</v>
      </c>
      <c r="B726" s="138">
        <f>'Expenditures 15-22'!C41</f>
        <v>16381</v>
      </c>
      <c r="D726" s="2" t="str">
        <f t="shared" si="10"/>
        <v>Error?</v>
      </c>
    </row>
    <row r="727" spans="1:4" x14ac:dyDescent="0.2">
      <c r="A727" s="5">
        <v>666</v>
      </c>
      <c r="B727" s="138">
        <f>'Expenditures 15-22'!C42</f>
        <v>538932</v>
      </c>
      <c r="C727" s="2" t="s">
        <v>594</v>
      </c>
      <c r="D727" s="2" t="str">
        <f t="shared" si="10"/>
        <v>Error?</v>
      </c>
    </row>
    <row r="728" spans="1:4" x14ac:dyDescent="0.2">
      <c r="A728" s="5">
        <v>667</v>
      </c>
      <c r="B728" s="138">
        <f>'Expenditures 15-22'!C44</f>
        <v>380</v>
      </c>
      <c r="D728" s="2" t="str">
        <f t="shared" si="10"/>
        <v>Error?</v>
      </c>
    </row>
    <row r="729" spans="1:4" x14ac:dyDescent="0.2">
      <c r="A729" s="5">
        <v>668</v>
      </c>
      <c r="B729" s="138">
        <f>'Expenditures 15-22'!C45</f>
        <v>169144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169524</v>
      </c>
      <c r="C731" s="2" t="s">
        <v>594</v>
      </c>
      <c r="D731" s="2" t="str">
        <f t="shared" si="10"/>
        <v>Error?</v>
      </c>
    </row>
    <row r="732" spans="1:4" x14ac:dyDescent="0.2">
      <c r="A732" s="5">
        <v>671</v>
      </c>
      <c r="B732" s="138">
        <f>'Expenditures 15-22'!C49</f>
        <v>1371</v>
      </c>
      <c r="D732" s="2" t="str">
        <f t="shared" si="10"/>
        <v>Error?</v>
      </c>
    </row>
    <row r="733" spans="1:4" x14ac:dyDescent="0.2">
      <c r="A733" s="5">
        <v>672</v>
      </c>
      <c r="B733" s="138">
        <f>'Expenditures 15-22'!C50</f>
        <v>180579</v>
      </c>
      <c r="D733" s="2" t="str">
        <f t="shared" si="10"/>
        <v>Error?</v>
      </c>
    </row>
    <row r="734" spans="1:4" x14ac:dyDescent="0.2">
      <c r="A734" s="5">
        <v>673</v>
      </c>
      <c r="B734" s="138">
        <f>'Expenditures 15-22'!C53</f>
        <v>185450</v>
      </c>
      <c r="C734" s="2" t="s">
        <v>594</v>
      </c>
      <c r="D734" s="2" t="str">
        <f t="shared" si="10"/>
        <v>Error?</v>
      </c>
    </row>
    <row r="735" spans="1:4" x14ac:dyDescent="0.2">
      <c r="A735" s="5">
        <v>674</v>
      </c>
      <c r="B735" s="138">
        <f>'Expenditures 15-22'!C55</f>
        <v>588309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588309</v>
      </c>
      <c r="C737" s="2" t="s">
        <v>594</v>
      </c>
      <c r="D737" s="2" t="str">
        <f t="shared" si="10"/>
        <v>Error?</v>
      </c>
    </row>
    <row r="738" spans="1:4" x14ac:dyDescent="0.2">
      <c r="A738" s="5">
        <v>677</v>
      </c>
      <c r="B738" s="138">
        <f>'Expenditures 15-22'!C59</f>
        <v>33377</v>
      </c>
      <c r="D738" s="2" t="str">
        <f t="shared" si="10"/>
        <v>Error?</v>
      </c>
    </row>
    <row r="739" spans="1:4" x14ac:dyDescent="0.2">
      <c r="A739" s="5">
        <v>678</v>
      </c>
      <c r="B739" s="138">
        <f>'Expenditures 15-22'!C60</f>
        <v>33377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162030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228784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19380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40671</v>
      </c>
      <c r="D751" s="2" t="str">
        <f t="shared" si="10"/>
        <v>Error?</v>
      </c>
    </row>
    <row r="752" spans="1:4" x14ac:dyDescent="0.2">
      <c r="A752" s="10">
        <v>691</v>
      </c>
      <c r="D752" s="2" t="str">
        <f t="shared" si="10"/>
        <v>OK</v>
      </c>
    </row>
    <row r="753" spans="1:4" x14ac:dyDescent="0.2">
      <c r="A753" s="5">
        <v>692</v>
      </c>
      <c r="B753" s="138">
        <f>'Expenditures 15-22'!C72</f>
        <v>60051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1771050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5758474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475638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8217</v>
      </c>
      <c r="D775" s="2" t="str">
        <f t="shared" si="11"/>
        <v>Error?</v>
      </c>
    </row>
    <row r="776" spans="1:4" x14ac:dyDescent="0.2">
      <c r="A776" s="5">
        <v>715</v>
      </c>
      <c r="B776" s="138">
        <f>'Expenditures 15-22'!D14</f>
        <v>2893</v>
      </c>
      <c r="D776" s="2" t="str">
        <f t="shared" si="11"/>
        <v>Error?</v>
      </c>
    </row>
    <row r="777" spans="1:4" x14ac:dyDescent="0.2">
      <c r="A777" s="5">
        <v>716</v>
      </c>
      <c r="B777" s="138">
        <f>'Expenditures 15-22'!D15</f>
        <v>72</v>
      </c>
      <c r="D777" s="2" t="str">
        <f t="shared" si="11"/>
        <v>Error?</v>
      </c>
    </row>
    <row r="778" spans="1:4" x14ac:dyDescent="0.2">
      <c r="A778" s="5">
        <v>717</v>
      </c>
      <c r="B778" s="138">
        <f>'Expenditures 15-22'!D33</f>
        <v>685684</v>
      </c>
      <c r="C778" s="2" t="s">
        <v>594</v>
      </c>
      <c r="D778" s="2" t="str">
        <f t="shared" si="11"/>
        <v>Error?</v>
      </c>
    </row>
    <row r="779" spans="1:4" x14ac:dyDescent="0.2">
      <c r="A779" s="5">
        <v>718</v>
      </c>
      <c r="B779" s="138">
        <f>'Expenditures 15-22'!D36</f>
        <v>22245</v>
      </c>
      <c r="D779" s="2" t="str">
        <f t="shared" si="11"/>
        <v>Error?</v>
      </c>
    </row>
    <row r="780" spans="1:4" x14ac:dyDescent="0.2">
      <c r="A780" s="5">
        <v>719</v>
      </c>
      <c r="B780" s="138">
        <f>'Expenditures 15-22'!D37</f>
        <v>9976</v>
      </c>
      <c r="D780" s="2" t="str">
        <f t="shared" si="11"/>
        <v>Error?</v>
      </c>
    </row>
    <row r="781" spans="1:4" x14ac:dyDescent="0.2">
      <c r="A781" s="5">
        <v>720</v>
      </c>
      <c r="B781" s="138">
        <f>'Expenditures 15-22'!D38</f>
        <v>44564</v>
      </c>
      <c r="D781" s="2" t="str">
        <f t="shared" si="11"/>
        <v>Error?</v>
      </c>
    </row>
    <row r="782" spans="1:4" x14ac:dyDescent="0.2">
      <c r="A782" s="5">
        <v>721</v>
      </c>
      <c r="B782" s="138">
        <f>'Expenditures 15-22'!D39</f>
        <v>9123</v>
      </c>
      <c r="D782" s="2" t="str">
        <f t="shared" si="11"/>
        <v>Error?</v>
      </c>
    </row>
    <row r="783" spans="1:4" x14ac:dyDescent="0.2">
      <c r="A783" s="5">
        <v>722</v>
      </c>
      <c r="B783" s="138">
        <f>'Expenditures 15-22'!D40</f>
        <v>3605</v>
      </c>
      <c r="D783" s="2" t="str">
        <f t="shared" si="11"/>
        <v>Error?</v>
      </c>
    </row>
    <row r="784" spans="1:4" x14ac:dyDescent="0.2">
      <c r="A784" s="5">
        <v>723</v>
      </c>
      <c r="B784" s="138">
        <f>'Expenditures 15-22'!D41</f>
        <v>578</v>
      </c>
      <c r="D784" s="2" t="str">
        <f t="shared" si="11"/>
        <v>Error?</v>
      </c>
    </row>
    <row r="785" spans="1:4" x14ac:dyDescent="0.2">
      <c r="A785" s="5">
        <v>724</v>
      </c>
      <c r="B785" s="138">
        <f>'Expenditures 15-22'!D42</f>
        <v>90091</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43452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43452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47165</v>
      </c>
      <c r="D791" s="2" t="str">
        <f t="shared" si="11"/>
        <v>Error?</v>
      </c>
    </row>
    <row r="792" spans="1:4" x14ac:dyDescent="0.2">
      <c r="A792" s="5">
        <v>731</v>
      </c>
      <c r="B792" s="138">
        <f>'Expenditures 15-22'!D53</f>
        <v>47165</v>
      </c>
      <c r="C792" s="2" t="s">
        <v>594</v>
      </c>
      <c r="D792" s="2" t="str">
        <f t="shared" si="11"/>
        <v>Error?</v>
      </c>
    </row>
    <row r="793" spans="1:4" x14ac:dyDescent="0.2">
      <c r="A793" s="5">
        <v>732</v>
      </c>
      <c r="B793" s="138">
        <f>'Expenditures 15-22'!D55</f>
        <v>151076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151076</v>
      </c>
      <c r="C795" s="2" t="s">
        <v>594</v>
      </c>
      <c r="D795" s="2" t="str">
        <f t="shared" si="11"/>
        <v>Error?</v>
      </c>
    </row>
    <row r="796" spans="1:4" x14ac:dyDescent="0.2">
      <c r="A796" s="5">
        <v>735</v>
      </c>
      <c r="B796" s="138">
        <f>'Expenditures 15-22'!D59</f>
        <v>10369</v>
      </c>
      <c r="D796" s="2" t="str">
        <f t="shared" si="11"/>
        <v>Error?</v>
      </c>
    </row>
    <row r="797" spans="1:4" x14ac:dyDescent="0.2">
      <c r="A797" s="5">
        <v>736</v>
      </c>
      <c r="B797" s="138">
        <f>'Expenditures 15-22'!D60</f>
        <v>8650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9016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28035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19352</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8421</v>
      </c>
      <c r="D809" s="2" t="str">
        <f t="shared" si="11"/>
        <v>Error?</v>
      </c>
    </row>
    <row r="810" spans="1:4" x14ac:dyDescent="0.2">
      <c r="A810" s="10">
        <v>749</v>
      </c>
      <c r="D810" s="2" t="str">
        <f t="shared" si="11"/>
        <v>OK</v>
      </c>
    </row>
    <row r="811" spans="1:4" x14ac:dyDescent="0.2">
      <c r="A811" s="5">
        <v>750</v>
      </c>
      <c r="B811" s="138">
        <f>'Expenditures 15-22'!D72</f>
        <v>27773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387592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1073276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19303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1038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20918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83163</v>
      </c>
      <c r="C836" s="2" t="s">
        <v>594</v>
      </c>
      <c r="D836" s="2" t="str">
        <f t="shared" si="12"/>
        <v>Error?</v>
      </c>
    </row>
    <row r="837" spans="1:4" x14ac:dyDescent="0.2">
      <c r="A837" s="5">
        <v>776</v>
      </c>
      <c r="B837" s="138">
        <f>'Expenditures 15-22'!E36</f>
        <v>2339</v>
      </c>
      <c r="D837" s="2" t="str">
        <f t="shared" si="12"/>
        <v>Error?</v>
      </c>
    </row>
    <row r="838" spans="1:4" x14ac:dyDescent="0.2">
      <c r="A838" s="5">
        <v>777</v>
      </c>
      <c r="B838" s="138">
        <f>'Expenditures 15-22'!E37</f>
        <v>37</v>
      </c>
      <c r="D838" s="2" t="str">
        <f t="shared" si="12"/>
        <v>Error?</v>
      </c>
    </row>
    <row r="839" spans="1:4" x14ac:dyDescent="0.2">
      <c r="A839" s="5">
        <v>778</v>
      </c>
      <c r="B839" s="138">
        <f>'Expenditures 15-22'!E38</f>
        <v>82425</v>
      </c>
      <c r="D839" s="2" t="str">
        <f t="shared" si="12"/>
        <v>Error?</v>
      </c>
    </row>
    <row r="840" spans="1:4" x14ac:dyDescent="0.2">
      <c r="A840" s="5">
        <v>779</v>
      </c>
      <c r="B840" s="138">
        <f>'Expenditures 15-22'!E39</f>
        <v>714</v>
      </c>
      <c r="D840" s="2" t="str">
        <f t="shared" si="12"/>
        <v>Error?</v>
      </c>
    </row>
    <row r="841" spans="1:4" x14ac:dyDescent="0.2">
      <c r="A841" s="5">
        <v>780</v>
      </c>
      <c r="B841" s="138">
        <f>'Expenditures 15-22'!E40</f>
        <v>1026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86541</v>
      </c>
      <c r="C843" s="2" t="s">
        <v>594</v>
      </c>
      <c r="D843" s="2" t="str">
        <f t="shared" si="12"/>
        <v>Error?</v>
      </c>
    </row>
    <row r="844" spans="1:4" x14ac:dyDescent="0.2">
      <c r="A844" s="5">
        <v>783</v>
      </c>
      <c r="B844" s="138">
        <f>'Expenditures 15-22'!E44</f>
        <v>32572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2913</v>
      </c>
      <c r="D846" s="2" t="str">
        <f t="shared" si="12"/>
        <v>Error?</v>
      </c>
    </row>
    <row r="847" spans="1:4" x14ac:dyDescent="0.2">
      <c r="A847" s="5">
        <v>786</v>
      </c>
      <c r="B847" s="138">
        <f>'Expenditures 15-22'!E47</f>
        <v>35485</v>
      </c>
      <c r="C847" s="2" t="s">
        <v>594</v>
      </c>
      <c r="D847" s="2" t="str">
        <f t="shared" si="12"/>
        <v>Error?</v>
      </c>
    </row>
    <row r="848" spans="1:4" x14ac:dyDescent="0.2">
      <c r="A848" s="5">
        <v>787</v>
      </c>
      <c r="B848" s="138">
        <f>'Expenditures 15-22'!E49</f>
        <v>14987</v>
      </c>
      <c r="D848" s="2" t="str">
        <f t="shared" si="12"/>
        <v>Error?</v>
      </c>
    </row>
    <row r="849" spans="1:4" x14ac:dyDescent="0.2">
      <c r="A849" s="5">
        <v>788</v>
      </c>
      <c r="B849" s="138">
        <f>'Expenditures 15-22'!E50</f>
        <v>5232</v>
      </c>
      <c r="D849" s="2" t="str">
        <f t="shared" si="12"/>
        <v>Error?</v>
      </c>
    </row>
    <row r="850" spans="1:4" x14ac:dyDescent="0.2">
      <c r="A850" s="5">
        <v>789</v>
      </c>
      <c r="B850" s="138">
        <f>'Expenditures 15-22'!E53</f>
        <v>21612</v>
      </c>
      <c r="C850" s="2" t="s">
        <v>594</v>
      </c>
      <c r="D850" s="2" t="str">
        <f t="shared" si="12"/>
        <v>Error?</v>
      </c>
    </row>
    <row r="851" spans="1:4" x14ac:dyDescent="0.2">
      <c r="A851" s="5">
        <v>790</v>
      </c>
      <c r="B851" s="138">
        <f>'Expenditures 15-22'!E55</f>
        <v>19996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19996</v>
      </c>
      <c r="C853" s="2" t="s">
        <v>594</v>
      </c>
      <c r="D853" s="2" t="str">
        <f t="shared" si="12"/>
        <v>Error?</v>
      </c>
    </row>
    <row r="854" spans="1:4" x14ac:dyDescent="0.2">
      <c r="A854" s="5">
        <v>793</v>
      </c>
      <c r="B854" s="138">
        <f>'Expenditures 15-22'!E59</f>
        <v>4177</v>
      </c>
      <c r="D854" s="2" t="str">
        <f t="shared" si="12"/>
        <v>Error?</v>
      </c>
    </row>
    <row r="855" spans="1:4" x14ac:dyDescent="0.2">
      <c r="A855" s="5">
        <v>794</v>
      </c>
      <c r="B855" s="138">
        <f>'Expenditures 15-22'!E60</f>
        <v>12000</v>
      </c>
      <c r="D855" s="2" t="str">
        <f t="shared" si="12"/>
        <v>Error?</v>
      </c>
    </row>
    <row r="856" spans="1:4" x14ac:dyDescent="0.2">
      <c r="A856" s="5">
        <v>795</v>
      </c>
      <c r="B856" s="138">
        <f>'Expenditures 15-22'!E61</f>
        <v>8000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14100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38277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73999</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5646</v>
      </c>
      <c r="D867" s="2" t="str">
        <f t="shared" si="12"/>
        <v>Error?</v>
      </c>
    </row>
    <row r="868" spans="1:4" x14ac:dyDescent="0.2">
      <c r="A868" s="10">
        <v>807</v>
      </c>
      <c r="D868" s="2" t="str">
        <f t="shared" si="12"/>
        <v>OK</v>
      </c>
    </row>
    <row r="869" spans="1:4" x14ac:dyDescent="0.2">
      <c r="A869" s="5">
        <v>808</v>
      </c>
      <c r="B869" s="138">
        <f>'Expenditures 15-22'!E72</f>
        <v>79645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281556</v>
      </c>
      <c r="C871" s="2" t="s">
        <v>594</v>
      </c>
      <c r="D871" s="2" t="str">
        <f t="shared" si="12"/>
        <v>Error?</v>
      </c>
    </row>
    <row r="872" spans="1:4" x14ac:dyDescent="0.2">
      <c r="A872" s="5">
        <v>811</v>
      </c>
      <c r="B872" s="138">
        <f>'Expenditures 15-22'!E75</f>
        <v>7990</v>
      </c>
      <c r="D872" s="2" t="str">
        <f t="shared" si="12"/>
        <v>Error?</v>
      </c>
    </row>
    <row r="873" spans="1:4" x14ac:dyDescent="0.2">
      <c r="A873" s="5">
        <v>812</v>
      </c>
      <c r="B873" s="138">
        <f>'Expenditures 15-22'!E114</f>
        <v>389233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155083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3868</v>
      </c>
      <c r="D891" s="2" t="str">
        <f t="shared" si="12"/>
        <v>Error?</v>
      </c>
    </row>
    <row r="892" spans="1:4" x14ac:dyDescent="0.2">
      <c r="A892" s="5">
        <v>831</v>
      </c>
      <c r="B892" s="138">
        <f>'Expenditures 15-22'!F14</f>
        <v>44380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223047</v>
      </c>
      <c r="C894" s="2" t="s">
        <v>594</v>
      </c>
      <c r="D894" s="2" t="str">
        <f t="shared" si="12"/>
        <v>Error?</v>
      </c>
    </row>
    <row r="895" spans="1:4" x14ac:dyDescent="0.2">
      <c r="A895" s="5">
        <v>834</v>
      </c>
      <c r="B895" s="138">
        <f>'Expenditures 15-22'!F36</f>
        <v>279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732</v>
      </c>
      <c r="D897" s="2" t="str">
        <f t="shared" si="13"/>
        <v>Error?</v>
      </c>
    </row>
    <row r="898" spans="1:4" x14ac:dyDescent="0.2">
      <c r="A898" s="5">
        <v>837</v>
      </c>
      <c r="B898" s="138">
        <f>'Expenditures 15-22'!F39</f>
        <v>2360</v>
      </c>
      <c r="D898" s="2" t="str">
        <f t="shared" si="13"/>
        <v>Error?</v>
      </c>
    </row>
    <row r="899" spans="1:4" x14ac:dyDescent="0.2">
      <c r="A899" s="5">
        <v>838</v>
      </c>
      <c r="B899" s="138">
        <f>'Expenditures 15-22'!F40</f>
        <v>1778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5149</v>
      </c>
      <c r="C901" s="2" t="s">
        <v>594</v>
      </c>
      <c r="D901" s="2" t="str">
        <f t="shared" si="13"/>
        <v>Error?</v>
      </c>
    </row>
    <row r="902" spans="1:4" x14ac:dyDescent="0.2">
      <c r="A902" s="5">
        <v>841</v>
      </c>
      <c r="B902" s="138">
        <f>'Expenditures 15-22'!F44</f>
        <v>5658</v>
      </c>
      <c r="D902" s="2" t="str">
        <f t="shared" si="13"/>
        <v>Error?</v>
      </c>
    </row>
    <row r="903" spans="1:4" x14ac:dyDescent="0.2">
      <c r="A903" s="5">
        <v>842</v>
      </c>
      <c r="B903" s="138">
        <f>'Expenditures 15-22'!F45</f>
        <v>2597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8255</v>
      </c>
      <c r="C905" s="2" t="s">
        <v>594</v>
      </c>
      <c r="D905" s="2" t="str">
        <f t="shared" si="13"/>
        <v>Error?</v>
      </c>
    </row>
    <row r="906" spans="1:4" x14ac:dyDescent="0.2">
      <c r="A906" s="5">
        <v>845</v>
      </c>
      <c r="B906" s="138">
        <f>'Expenditures 15-22'!F49</f>
        <v>13583</v>
      </c>
      <c r="D906" s="2" t="str">
        <f t="shared" si="13"/>
        <v>Error?</v>
      </c>
    </row>
    <row r="907" spans="1:4" x14ac:dyDescent="0.2">
      <c r="A907" s="5">
        <v>846</v>
      </c>
      <c r="B907" s="138">
        <f>'Expenditures 15-22'!F50</f>
        <v>5768</v>
      </c>
      <c r="D907" s="2" t="str">
        <f t="shared" si="13"/>
        <v>Error?</v>
      </c>
    </row>
    <row r="908" spans="1:4" x14ac:dyDescent="0.2">
      <c r="A908" s="5">
        <v>847</v>
      </c>
      <c r="B908" s="138">
        <f>'Expenditures 15-22'!F53</f>
        <v>19351</v>
      </c>
      <c r="C908" s="2" t="s">
        <v>594</v>
      </c>
      <c r="D908" s="2" t="str">
        <f t="shared" si="13"/>
        <v>Error?</v>
      </c>
    </row>
    <row r="909" spans="1:4" x14ac:dyDescent="0.2">
      <c r="A909" s="5">
        <v>848</v>
      </c>
      <c r="B909" s="138">
        <f>'Expenditures 15-22'!F55</f>
        <v>1748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1748</v>
      </c>
      <c r="C911" s="2" t="s">
        <v>594</v>
      </c>
      <c r="D911" s="2" t="str">
        <f t="shared" si="13"/>
        <v>Error?</v>
      </c>
    </row>
    <row r="912" spans="1:4" x14ac:dyDescent="0.2">
      <c r="A912" s="5">
        <v>851</v>
      </c>
      <c r="B912" s="138">
        <f>'Expenditures 15-22'!F59</f>
        <v>3143</v>
      </c>
      <c r="D912" s="2" t="str">
        <f t="shared" si="13"/>
        <v>Error?</v>
      </c>
    </row>
    <row r="913" spans="1:4" x14ac:dyDescent="0.2">
      <c r="A913" s="5">
        <v>852</v>
      </c>
      <c r="B913" s="138">
        <f>'Expenditures 15-22'!F60</f>
        <v>510</v>
      </c>
      <c r="D913" s="2" t="str">
        <f t="shared" si="13"/>
        <v>Error?</v>
      </c>
    </row>
    <row r="914" spans="1:4" x14ac:dyDescent="0.2">
      <c r="A914" s="5">
        <v>853</v>
      </c>
      <c r="B914" s="138">
        <f>'Expenditures 15-22'!F61</f>
        <v>5000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178579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187232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20030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807</v>
      </c>
      <c r="D925" s="2" t="str">
        <f t="shared" si="13"/>
        <v>Error?</v>
      </c>
    </row>
    <row r="926" spans="1:4" x14ac:dyDescent="0.2">
      <c r="A926" s="10">
        <v>865</v>
      </c>
      <c r="D926" s="2" t="str">
        <f t="shared" si="13"/>
        <v>OK</v>
      </c>
    </row>
    <row r="927" spans="1:4" x14ac:dyDescent="0.2">
      <c r="A927" s="5">
        <v>866</v>
      </c>
      <c r="B927" s="138">
        <f>'Expenditures 15-22'!F72</f>
        <v>20837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242572</v>
      </c>
      <c r="C929" s="2" t="s">
        <v>594</v>
      </c>
      <c r="D929" s="2" t="str">
        <f t="shared" si="13"/>
        <v>Error?</v>
      </c>
    </row>
    <row r="930" spans="1:4" x14ac:dyDescent="0.2">
      <c r="A930" s="5">
        <v>869</v>
      </c>
      <c r="B930" s="138">
        <f>'Expenditures 15-22'!F75</f>
        <v>3468</v>
      </c>
      <c r="D930" s="2" t="str">
        <f t="shared" si="13"/>
        <v>Error?</v>
      </c>
    </row>
    <row r="931" spans="1:4" x14ac:dyDescent="0.2">
      <c r="A931" s="5">
        <v>870</v>
      </c>
      <c r="B931" s="138">
        <f>'Expenditures 15-22'!F114</f>
        <v>469087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41971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12833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67916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40710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24981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65691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41610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41610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107301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175217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74250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6715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290543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84</v>
      </c>
      <c r="D1013" s="2" t="str">
        <f t="shared" si="14"/>
        <v>Error?</v>
      </c>
    </row>
    <row r="1014" spans="1:4" x14ac:dyDescent="0.2">
      <c r="A1014" s="5">
        <v>953</v>
      </c>
      <c r="B1014" s="138">
        <f>'Expenditures 15-22'!H39</f>
        <v>442</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526</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19039</v>
      </c>
      <c r="D1022" s="2" t="str">
        <f t="shared" si="14"/>
        <v>Error?</v>
      </c>
    </row>
    <row r="1023" spans="1:4" x14ac:dyDescent="0.2">
      <c r="A1023" s="5">
        <v>962</v>
      </c>
      <c r="B1023" s="138">
        <f>'Expenditures 15-22'!H50</f>
        <v>1022</v>
      </c>
      <c r="D1023" s="2" t="str">
        <f t="shared" ref="D1023:D1086" si="15">IF(ISBLANK(B1023),"OK",IF(A1023-B1023=0,"OK","Error?"))</f>
        <v>Error?</v>
      </c>
    </row>
    <row r="1024" spans="1:4" x14ac:dyDescent="0.2">
      <c r="A1024" s="5">
        <v>963</v>
      </c>
      <c r="B1024" s="138">
        <f>'Expenditures 15-22'!H53</f>
        <v>20061</v>
      </c>
      <c r="C1024" s="2" t="s">
        <v>594</v>
      </c>
      <c r="D1024" s="2" t="str">
        <f t="shared" si="15"/>
        <v>Error?</v>
      </c>
    </row>
    <row r="1025" spans="1:4" x14ac:dyDescent="0.2">
      <c r="A1025" s="5">
        <v>964</v>
      </c>
      <c r="B1025" s="138">
        <f>'Expenditures 15-22'!H55</f>
        <v>3533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3533</v>
      </c>
      <c r="C1027" s="2" t="s">
        <v>594</v>
      </c>
      <c r="D1027" s="2" t="str">
        <f t="shared" si="15"/>
        <v>Error?</v>
      </c>
    </row>
    <row r="1028" spans="1:4" x14ac:dyDescent="0.2">
      <c r="A1028" s="5">
        <v>967</v>
      </c>
      <c r="B1028" s="138">
        <f>'Expenditures 15-22'!H59</f>
        <v>225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363</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24483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137499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452525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3486636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40312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84062</v>
      </c>
      <c r="C1105" s="2" t="s">
        <v>594</v>
      </c>
      <c r="D1105" s="2" t="str">
        <f t="shared" si="16"/>
        <v>Error?</v>
      </c>
    </row>
    <row r="1106" spans="1:4" x14ac:dyDescent="0.2">
      <c r="A1106" s="5">
        <v>1045</v>
      </c>
      <c r="B1106" s="138">
        <f>'Expenditures 15-22'!K14</f>
        <v>217268</v>
      </c>
      <c r="C1106" s="2" t="s">
        <v>594</v>
      </c>
      <c r="D1106" s="2" t="str">
        <f t="shared" si="16"/>
        <v>Error?</v>
      </c>
    </row>
    <row r="1107" spans="1:4" x14ac:dyDescent="0.2">
      <c r="A1107" s="5">
        <v>1046</v>
      </c>
      <c r="B1107" s="138">
        <f>'Expenditures 15-22'!K15</f>
        <v>2110</v>
      </c>
      <c r="C1107" s="2" t="s">
        <v>594</v>
      </c>
      <c r="D1107" s="2" t="str">
        <f t="shared" si="16"/>
        <v>Error?</v>
      </c>
    </row>
    <row r="1108" spans="1:4" x14ac:dyDescent="0.2">
      <c r="A1108" s="5">
        <v>1047</v>
      </c>
      <c r="B1108" s="138">
        <f>'Expenditures 15-22'!K33</f>
        <v>5337777</v>
      </c>
      <c r="C1108" s="2" t="s">
        <v>594</v>
      </c>
      <c r="D1108" s="2" t="str">
        <f t="shared" si="16"/>
        <v>Error?</v>
      </c>
    </row>
    <row r="1109" spans="1:4" x14ac:dyDescent="0.2">
      <c r="A1109" s="5">
        <v>1048</v>
      </c>
      <c r="B1109" s="138">
        <f>'Expenditures 15-22'!K36</f>
        <v>167407</v>
      </c>
      <c r="C1109" s="2" t="s">
        <v>594</v>
      </c>
      <c r="D1109" s="2" t="str">
        <f t="shared" si="16"/>
        <v>Error?</v>
      </c>
    </row>
    <row r="1110" spans="1:4" x14ac:dyDescent="0.2">
      <c r="A1110" s="5">
        <v>1049</v>
      </c>
      <c r="B1110" s="138">
        <f>'Expenditures 15-22'!K37</f>
        <v>80508</v>
      </c>
      <c r="C1110" s="2" t="s">
        <v>594</v>
      </c>
      <c r="D1110" s="2" t="str">
        <f t="shared" si="16"/>
        <v>Error?</v>
      </c>
    </row>
    <row r="1111" spans="1:4" x14ac:dyDescent="0.2">
      <c r="A1111" s="5">
        <v>1050</v>
      </c>
      <c r="B1111" s="138">
        <f>'Expenditures 15-22'!K38</f>
        <v>282257</v>
      </c>
      <c r="C1111" s="2" t="s">
        <v>594</v>
      </c>
      <c r="D1111" s="2" t="str">
        <f t="shared" si="16"/>
        <v>Error?</v>
      </c>
    </row>
    <row r="1112" spans="1:4" x14ac:dyDescent="0.2">
      <c r="A1112" s="5">
        <v>1051</v>
      </c>
      <c r="B1112" s="138">
        <f>'Expenditures 15-22'!K39</f>
        <v>87390</v>
      </c>
      <c r="C1112" s="2" t="s">
        <v>594</v>
      </c>
      <c r="D1112" s="2" t="str">
        <f t="shared" si="16"/>
        <v>Error?</v>
      </c>
    </row>
    <row r="1113" spans="1:4" x14ac:dyDescent="0.2">
      <c r="A1113" s="5">
        <v>1052</v>
      </c>
      <c r="B1113" s="138">
        <f>'Expenditures 15-22'!K40</f>
        <v>86718</v>
      </c>
      <c r="C1113" s="2" t="s">
        <v>594</v>
      </c>
      <c r="D1113" s="2" t="str">
        <f t="shared" si="16"/>
        <v>Error?</v>
      </c>
    </row>
    <row r="1114" spans="1:4" x14ac:dyDescent="0.2">
      <c r="A1114" s="5">
        <v>1053</v>
      </c>
      <c r="B1114" s="138">
        <f>'Expenditures 15-22'!K41</f>
        <v>16959</v>
      </c>
      <c r="C1114" s="2" t="s">
        <v>594</v>
      </c>
      <c r="D1114" s="2" t="str">
        <f t="shared" si="16"/>
        <v>Error?</v>
      </c>
    </row>
    <row r="1115" spans="1:4" x14ac:dyDescent="0.2">
      <c r="A1115" s="5">
        <v>1054</v>
      </c>
      <c r="B1115" s="138">
        <f>'Expenditures 15-22'!K42</f>
        <v>721239</v>
      </c>
      <c r="C1115" s="2" t="s">
        <v>594</v>
      </c>
      <c r="D1115" s="2" t="str">
        <f t="shared" si="16"/>
        <v>Error?</v>
      </c>
    </row>
    <row r="1116" spans="1:4" x14ac:dyDescent="0.2">
      <c r="A1116" s="5">
        <v>1055</v>
      </c>
      <c r="B1116" s="138">
        <f>'Expenditures 15-22'!K44</f>
        <v>38610</v>
      </c>
      <c r="C1116" s="2" t="s">
        <v>594</v>
      </c>
      <c r="D1116" s="2" t="str">
        <f t="shared" si="16"/>
        <v>Error?</v>
      </c>
    </row>
    <row r="1117" spans="1:4" x14ac:dyDescent="0.2">
      <c r="A1117" s="5">
        <v>1056</v>
      </c>
      <c r="B1117" s="138">
        <f>'Expenditures 15-22'!K45</f>
        <v>215193</v>
      </c>
      <c r="C1117" s="2" t="s">
        <v>594</v>
      </c>
      <c r="D1117" s="2" t="str">
        <f t="shared" si="16"/>
        <v>Error?</v>
      </c>
    </row>
    <row r="1118" spans="1:4" x14ac:dyDescent="0.2">
      <c r="A1118" s="5">
        <v>1057</v>
      </c>
      <c r="B1118" s="138">
        <f>'Expenditures 15-22'!K46</f>
        <v>2913</v>
      </c>
      <c r="C1118" s="2" t="s">
        <v>594</v>
      </c>
      <c r="D1118" s="2" t="str">
        <f t="shared" si="16"/>
        <v>Error?</v>
      </c>
    </row>
    <row r="1119" spans="1:4" x14ac:dyDescent="0.2">
      <c r="A1119" s="5">
        <v>1058</v>
      </c>
      <c r="B1119" s="138">
        <f>'Expenditures 15-22'!K47</f>
        <v>256716</v>
      </c>
      <c r="C1119" s="2" t="s">
        <v>594</v>
      </c>
      <c r="D1119" s="2" t="str">
        <f t="shared" si="16"/>
        <v>Error?</v>
      </c>
    </row>
    <row r="1120" spans="1:4" x14ac:dyDescent="0.2">
      <c r="A1120" s="5">
        <v>1059</v>
      </c>
      <c r="B1120" s="138">
        <f>'Expenditures 15-22'!K49</f>
        <v>48980</v>
      </c>
      <c r="C1120" s="2" t="s">
        <v>594</v>
      </c>
      <c r="D1120" s="2" t="str">
        <f t="shared" si="16"/>
        <v>Error?</v>
      </c>
    </row>
    <row r="1121" spans="1:4" x14ac:dyDescent="0.2">
      <c r="A1121" s="5">
        <v>1060</v>
      </c>
      <c r="B1121" s="138">
        <f>'Expenditures 15-22'!K50</f>
        <v>239766</v>
      </c>
      <c r="C1121" s="2" t="s">
        <v>594</v>
      </c>
      <c r="D1121" s="2" t="str">
        <f t="shared" si="16"/>
        <v>Error?</v>
      </c>
    </row>
    <row r="1122" spans="1:4" x14ac:dyDescent="0.2">
      <c r="A1122" s="5">
        <v>1061</v>
      </c>
      <c r="B1122" s="138">
        <f>'Expenditures 15-22'!K53</f>
        <v>293639</v>
      </c>
      <c r="C1122" s="2" t="s">
        <v>594</v>
      </c>
      <c r="D1122" s="2" t="str">
        <f t="shared" si="16"/>
        <v>Error?</v>
      </c>
    </row>
    <row r="1123" spans="1:4" x14ac:dyDescent="0.2">
      <c r="A1123" s="5">
        <v>1062</v>
      </c>
      <c r="B1123" s="138">
        <f>'Expenditures 15-22'!K55</f>
        <v>764662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764662</v>
      </c>
      <c r="C1125" s="2" t="s">
        <v>594</v>
      </c>
      <c r="D1125" s="2" t="str">
        <f t="shared" si="16"/>
        <v>Error?</v>
      </c>
    </row>
    <row r="1126" spans="1:4" x14ac:dyDescent="0.2">
      <c r="A1126" s="5">
        <v>1065</v>
      </c>
      <c r="B1126" s="138">
        <f>'Expenditures 15-22'!K59</f>
        <v>51291</v>
      </c>
      <c r="C1126" s="2" t="s">
        <v>594</v>
      </c>
      <c r="D1126" s="2" t="str">
        <f t="shared" si="16"/>
        <v>Error?</v>
      </c>
    </row>
    <row r="1127" spans="1:4" x14ac:dyDescent="0.2">
      <c r="A1127" s="5">
        <v>1066</v>
      </c>
      <c r="B1127" s="138">
        <f>'Expenditures 15-22'!K60</f>
        <v>54537</v>
      </c>
      <c r="C1127" s="2" t="s">
        <v>594</v>
      </c>
      <c r="D1127" s="2" t="str">
        <f t="shared" si="16"/>
        <v>Error?</v>
      </c>
    </row>
    <row r="1128" spans="1:4" x14ac:dyDescent="0.2">
      <c r="A1128" s="5">
        <v>1067</v>
      </c>
      <c r="B1128" s="138">
        <f>'Expenditures 15-22'!K61</f>
        <v>53710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388844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548382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174371</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55545</v>
      </c>
      <c r="C1139" s="2" t="s">
        <v>594</v>
      </c>
      <c r="D1139" s="2" t="str">
        <f t="shared" si="16"/>
        <v>Error?</v>
      </c>
    </row>
    <row r="1140" spans="1:4" x14ac:dyDescent="0.2">
      <c r="A1140" s="10">
        <v>1079</v>
      </c>
      <c r="D1140" s="2" t="str">
        <f t="shared" si="16"/>
        <v>OK</v>
      </c>
    </row>
    <row r="1141" spans="1:4" x14ac:dyDescent="0.2">
      <c r="A1141" s="5">
        <v>1080</v>
      </c>
      <c r="B1141" s="138">
        <f>'Expenditures 15-22'!K72</f>
        <v>229916</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2814554</v>
      </c>
      <c r="C1143" s="2" t="s">
        <v>594</v>
      </c>
      <c r="D1143" s="2" t="str">
        <f t="shared" si="16"/>
        <v>Error?</v>
      </c>
    </row>
    <row r="1144" spans="1:4" x14ac:dyDescent="0.2">
      <c r="A1144" s="5">
        <v>1083</v>
      </c>
      <c r="B1144" s="138">
        <f>'Expenditures 15-22'!K75</f>
        <v>11458</v>
      </c>
      <c r="C1144" s="2" t="s">
        <v>594</v>
      </c>
      <c r="D1144" s="2" t="str">
        <f t="shared" si="16"/>
        <v>Error?</v>
      </c>
    </row>
    <row r="1145" spans="1:4" x14ac:dyDescent="0.2">
      <c r="A1145" s="5">
        <v>1084</v>
      </c>
      <c r="B1145" s="138">
        <f>'Expenditures 15-22'!K102</f>
        <v>154023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8317812</v>
      </c>
      <c r="C1152" s="2" t="s">
        <v>594</v>
      </c>
      <c r="D1152" s="2" t="str">
        <f t="shared" si="17"/>
        <v>Error?</v>
      </c>
    </row>
    <row r="1153" spans="1:4" x14ac:dyDescent="0.2">
      <c r="A1153" s="5">
        <v>1092</v>
      </c>
      <c r="B1153" s="138">
        <f>'Expenditures 15-22'!K115</f>
        <v>911450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203292</v>
      </c>
      <c r="D1221" s="2" t="str">
        <f t="shared" si="18"/>
        <v>Error?</v>
      </c>
    </row>
    <row r="1222" spans="1:4" x14ac:dyDescent="0.2">
      <c r="A1222" s="10">
        <v>1161</v>
      </c>
      <c r="D1222" s="2" t="str">
        <f t="shared" si="18"/>
        <v>OK</v>
      </c>
    </row>
    <row r="1223" spans="1:4" x14ac:dyDescent="0.2">
      <c r="A1223" s="5">
        <v>1162</v>
      </c>
      <c r="B1223" s="138">
        <f>'Expenditures 15-22'!C127</f>
        <v>203292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203292</v>
      </c>
      <c r="C1225" s="2" t="s">
        <v>594</v>
      </c>
      <c r="D1225" s="2" t="str">
        <f t="shared" si="18"/>
        <v>Error?</v>
      </c>
    </row>
    <row r="1226" spans="1:4" x14ac:dyDescent="0.2">
      <c r="A1226" s="5">
        <v>1165</v>
      </c>
      <c r="B1226" s="138">
        <f>'Expenditures 15-22'!C151</f>
        <v>203292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31481</v>
      </c>
      <c r="D1229" s="2" t="str">
        <f t="shared" si="18"/>
        <v>Error?</v>
      </c>
    </row>
    <row r="1230" spans="1:4" x14ac:dyDescent="0.2">
      <c r="A1230" s="10">
        <v>1169</v>
      </c>
      <c r="D1230" s="2" t="str">
        <f t="shared" si="18"/>
        <v>OK</v>
      </c>
    </row>
    <row r="1231" spans="1:4" x14ac:dyDescent="0.2">
      <c r="A1231" s="5">
        <v>1170</v>
      </c>
      <c r="B1231" s="138">
        <f>'Expenditures 15-22'!D127</f>
        <v>31481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31481</v>
      </c>
      <c r="C1233" s="2" t="s">
        <v>594</v>
      </c>
      <c r="D1233" s="2" t="str">
        <f t="shared" si="18"/>
        <v>Error?</v>
      </c>
    </row>
    <row r="1234" spans="1:4" x14ac:dyDescent="0.2">
      <c r="A1234" s="5">
        <v>1173</v>
      </c>
      <c r="B1234" s="138">
        <f>'Expenditures 15-22'!D151</f>
        <v>31481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454865</v>
      </c>
      <c r="D1237" s="2" t="str">
        <f t="shared" si="18"/>
        <v>Error?</v>
      </c>
    </row>
    <row r="1238" spans="1:4" x14ac:dyDescent="0.2">
      <c r="A1238" s="10">
        <v>1177</v>
      </c>
      <c r="D1238" s="2" t="str">
        <f t="shared" si="18"/>
        <v>OK</v>
      </c>
    </row>
    <row r="1239" spans="1:4" x14ac:dyDescent="0.2">
      <c r="A1239" s="5">
        <v>1178</v>
      </c>
      <c r="B1239" s="138">
        <f>'Expenditures 15-22'!E127</f>
        <v>454865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454865</v>
      </c>
      <c r="C1241" s="2" t="s">
        <v>594</v>
      </c>
      <c r="D1241" s="2" t="str">
        <f t="shared" si="18"/>
        <v>Error?</v>
      </c>
    </row>
    <row r="1242" spans="1:4" x14ac:dyDescent="0.2">
      <c r="A1242" s="5">
        <v>1181</v>
      </c>
      <c r="B1242" s="138">
        <f>'Expenditures 15-22'!E151</f>
        <v>454865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441351</v>
      </c>
      <c r="D1245" s="2" t="str">
        <f t="shared" si="18"/>
        <v>Error?</v>
      </c>
    </row>
    <row r="1246" spans="1:4" x14ac:dyDescent="0.2">
      <c r="A1246" s="10">
        <v>1185</v>
      </c>
      <c r="D1246" s="2" t="str">
        <f t="shared" si="18"/>
        <v>OK</v>
      </c>
    </row>
    <row r="1247" spans="1:4" x14ac:dyDescent="0.2">
      <c r="A1247" s="5">
        <v>1186</v>
      </c>
      <c r="B1247" s="138">
        <f>'Expenditures 15-22'!F127</f>
        <v>441351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441351</v>
      </c>
      <c r="C1249" s="2" t="s">
        <v>594</v>
      </c>
      <c r="D1249" s="2" t="str">
        <f t="shared" si="18"/>
        <v>Error?</v>
      </c>
    </row>
    <row r="1250" spans="1:4" x14ac:dyDescent="0.2">
      <c r="A1250" s="5">
        <v>1189</v>
      </c>
      <c r="B1250" s="138">
        <f>'Expenditures 15-22'!F151</f>
        <v>441351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81365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81365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81365</v>
      </c>
      <c r="C1258" s="2" t="s">
        <v>594</v>
      </c>
      <c r="D1258" s="2" t="str">
        <f t="shared" si="18"/>
        <v>Error?</v>
      </c>
    </row>
    <row r="1259" spans="1:4" x14ac:dyDescent="0.2">
      <c r="A1259" s="5">
        <v>1198</v>
      </c>
      <c r="B1259" s="138">
        <f>'Expenditures 15-22'!G151</f>
        <v>81365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1212354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1212354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1212354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1212354</v>
      </c>
      <c r="C1288" s="2" t="s">
        <v>594</v>
      </c>
      <c r="D1288" s="2" t="str">
        <f t="shared" si="19"/>
        <v>Error?</v>
      </c>
    </row>
    <row r="1289" spans="1:4" x14ac:dyDescent="0.2">
      <c r="A1289" s="5">
        <v>1228</v>
      </c>
      <c r="B1289" s="138">
        <f>'Expenditures 15-22'!K152</f>
        <v>38613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177011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850000</v>
      </c>
      <c r="D1315" s="2" t="str">
        <f t="shared" si="19"/>
        <v>Error?</v>
      </c>
    </row>
    <row r="1316" spans="1:4" x14ac:dyDescent="0.2">
      <c r="A1316" s="5">
        <v>1255</v>
      </c>
      <c r="B1316" s="138">
        <f>'Expenditures 15-22'!H171</f>
        <v>1750</v>
      </c>
      <c r="D1316" s="2" t="str">
        <f t="shared" si="19"/>
        <v>Error?</v>
      </c>
    </row>
    <row r="1317" spans="1:4" x14ac:dyDescent="0.2">
      <c r="A1317" s="5">
        <v>1256</v>
      </c>
      <c r="B1317" s="138">
        <f>'Expenditures 15-22'!H172</f>
        <v>1028761</v>
      </c>
      <c r="C1317" s="2" t="s">
        <v>594</v>
      </c>
      <c r="D1317" s="2" t="str">
        <f t="shared" si="19"/>
        <v>Error?</v>
      </c>
    </row>
    <row r="1318" spans="1:4" x14ac:dyDescent="0.2">
      <c r="A1318" s="5">
        <v>1257</v>
      </c>
      <c r="B1318" s="138">
        <f>'Expenditures 15-22'!H174</f>
        <v>1028761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177011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850000</v>
      </c>
      <c r="C1329" s="2" t="s">
        <v>594</v>
      </c>
      <c r="D1329" s="2" t="str">
        <f t="shared" si="19"/>
        <v>Error?</v>
      </c>
    </row>
    <row r="1330" spans="1:4" x14ac:dyDescent="0.2">
      <c r="A1330" s="5">
        <v>1269</v>
      </c>
      <c r="B1330" s="138">
        <f>'Expenditures 15-22'!K171</f>
        <v>1750</v>
      </c>
      <c r="C1330" s="2" t="s">
        <v>594</v>
      </c>
      <c r="D1330" s="2" t="str">
        <f t="shared" si="19"/>
        <v>Error?</v>
      </c>
    </row>
    <row r="1331" spans="1:4" x14ac:dyDescent="0.2">
      <c r="A1331" s="5">
        <v>1270</v>
      </c>
      <c r="B1331" s="138">
        <f>'Expenditures 15-22'!K172</f>
        <v>1028761</v>
      </c>
      <c r="C1331" s="2" t="s">
        <v>594</v>
      </c>
      <c r="D1331" s="2" t="str">
        <f t="shared" si="19"/>
        <v>Error?</v>
      </c>
    </row>
    <row r="1332" spans="1:4" x14ac:dyDescent="0.2">
      <c r="A1332" s="5">
        <v>1271</v>
      </c>
      <c r="B1332" s="138">
        <f>'Expenditures 15-22'!K174</f>
        <v>1028761</v>
      </c>
      <c r="C1332" s="2" t="s">
        <v>594</v>
      </c>
      <c r="D1332" s="2" t="str">
        <f t="shared" si="19"/>
        <v>Error?</v>
      </c>
    </row>
    <row r="1333" spans="1:4" x14ac:dyDescent="0.2">
      <c r="A1333" s="5">
        <v>1272</v>
      </c>
      <c r="B1333" s="138">
        <f>'Expenditures 15-22'!K175</f>
        <v>-18029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407525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407525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407525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407525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407525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407525</v>
      </c>
      <c r="C1388" s="2" t="s">
        <v>594</v>
      </c>
      <c r="D1388" s="2" t="str">
        <f t="shared" si="20"/>
        <v>Error?</v>
      </c>
    </row>
    <row r="1389" spans="1:4" x14ac:dyDescent="0.2">
      <c r="A1389" s="5">
        <v>1328</v>
      </c>
      <c r="B1389" s="138">
        <f>'Expenditures 15-22'!K211</f>
        <v>122489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6217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1039</v>
      </c>
      <c r="D1407" s="2" t="str">
        <f t="shared" ref="D1407:D1470" si="21">IF(ISBLANK(B1407),"OK",IF(A1407-B1407=0,"OK","Error?"))</f>
        <v>Error?</v>
      </c>
    </row>
    <row r="1408" spans="1:4" x14ac:dyDescent="0.2">
      <c r="A1408" s="5">
        <v>1347</v>
      </c>
      <c r="B1408" s="138">
        <f>'Expenditures 15-22'!D223</f>
        <v>5948</v>
      </c>
      <c r="D1408" s="2" t="str">
        <f t="shared" si="21"/>
        <v>Error?</v>
      </c>
    </row>
    <row r="1409" spans="1:4" x14ac:dyDescent="0.2">
      <c r="A1409" s="5">
        <v>1348</v>
      </c>
      <c r="B1409" s="138">
        <f>'Expenditures 15-22'!D224</f>
        <v>30</v>
      </c>
      <c r="D1409" s="2" t="str">
        <f t="shared" si="21"/>
        <v>Error?</v>
      </c>
    </row>
    <row r="1410" spans="1:4" x14ac:dyDescent="0.2">
      <c r="A1410" s="5">
        <v>1349</v>
      </c>
      <c r="B1410" s="138">
        <f>'Expenditures 15-22'!D229</f>
        <v>117459</v>
      </c>
      <c r="C1410" s="2" t="s">
        <v>594</v>
      </c>
      <c r="D1410" s="2" t="str">
        <f t="shared" si="21"/>
        <v>Error?</v>
      </c>
    </row>
    <row r="1411" spans="1:4" x14ac:dyDescent="0.2">
      <c r="A1411" s="5">
        <v>1350</v>
      </c>
      <c r="B1411" s="138">
        <f>'Expenditures 15-22'!D232</f>
        <v>4982</v>
      </c>
      <c r="D1411" s="2" t="str">
        <f t="shared" si="21"/>
        <v>Error?</v>
      </c>
    </row>
    <row r="1412" spans="1:4" x14ac:dyDescent="0.2">
      <c r="A1412" s="5">
        <v>1351</v>
      </c>
      <c r="B1412" s="138">
        <f>'Expenditures 15-22'!D233</f>
        <v>1026</v>
      </c>
      <c r="D1412" s="2" t="str">
        <f t="shared" si="21"/>
        <v>Error?</v>
      </c>
    </row>
    <row r="1413" spans="1:4" x14ac:dyDescent="0.2">
      <c r="A1413" s="5">
        <v>1352</v>
      </c>
      <c r="B1413" s="138">
        <f>'Expenditures 15-22'!D234</f>
        <v>16923</v>
      </c>
      <c r="D1413" s="2" t="str">
        <f t="shared" si="21"/>
        <v>Error?</v>
      </c>
    </row>
    <row r="1414" spans="1:4" x14ac:dyDescent="0.2">
      <c r="A1414" s="5">
        <v>1353</v>
      </c>
      <c r="B1414" s="138">
        <f>'Expenditures 15-22'!D235</f>
        <v>4107</v>
      </c>
      <c r="D1414" s="2" t="str">
        <f t="shared" si="21"/>
        <v>Error?</v>
      </c>
    </row>
    <row r="1415" spans="1:4" x14ac:dyDescent="0.2">
      <c r="A1415" s="5">
        <v>1354</v>
      </c>
      <c r="B1415" s="138">
        <f>'Expenditures 15-22'!D236</f>
        <v>1188</v>
      </c>
      <c r="D1415" s="2" t="str">
        <f t="shared" si="21"/>
        <v>Error?</v>
      </c>
    </row>
    <row r="1416" spans="1:4" x14ac:dyDescent="0.2">
      <c r="A1416" s="5">
        <v>1355</v>
      </c>
      <c r="B1416" s="138">
        <f>'Expenditures 15-22'!D237</f>
        <v>241</v>
      </c>
      <c r="D1416" s="2" t="str">
        <f t="shared" si="21"/>
        <v>Error?</v>
      </c>
    </row>
    <row r="1417" spans="1:4" x14ac:dyDescent="0.2">
      <c r="A1417" s="5">
        <v>1356</v>
      </c>
      <c r="B1417" s="138">
        <f>'Expenditures 15-22'!D238</f>
        <v>28467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25620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25620</v>
      </c>
      <c r="C1421" s="2" t="s">
        <v>594</v>
      </c>
      <c r="D1421" s="2" t="str">
        <f t="shared" si="21"/>
        <v>Error?</v>
      </c>
    </row>
    <row r="1422" spans="1:4" x14ac:dyDescent="0.2">
      <c r="A1422" s="5">
        <v>1361</v>
      </c>
      <c r="B1422" s="138">
        <f>'Expenditures 15-22'!D245</f>
        <v>202</v>
      </c>
      <c r="D1422" s="2" t="str">
        <f t="shared" si="21"/>
        <v>Error?</v>
      </c>
    </row>
    <row r="1423" spans="1:4" x14ac:dyDescent="0.2">
      <c r="A1423" s="5">
        <v>1362</v>
      </c>
      <c r="B1423" s="138">
        <f>'Expenditures 15-22'!D246</f>
        <v>6106</v>
      </c>
      <c r="D1423" s="2" t="str">
        <f t="shared" si="21"/>
        <v>Error?</v>
      </c>
    </row>
    <row r="1424" spans="1:4" x14ac:dyDescent="0.2">
      <c r="A1424" s="5">
        <v>1363</v>
      </c>
      <c r="B1424" s="138">
        <f>'Expenditures 15-22'!D257</f>
        <v>6308</v>
      </c>
      <c r="C1424" s="2" t="s">
        <v>594</v>
      </c>
      <c r="D1424" s="2" t="str">
        <f t="shared" si="21"/>
        <v>Error?</v>
      </c>
    </row>
    <row r="1425" spans="1:4" x14ac:dyDescent="0.2">
      <c r="A1425" s="5">
        <v>1364</v>
      </c>
      <c r="B1425" s="138">
        <f>'Expenditures 15-22'!D259</f>
        <v>26451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26451</v>
      </c>
      <c r="C1427" s="2" t="s">
        <v>594</v>
      </c>
      <c r="D1427" s="2" t="str">
        <f t="shared" si="21"/>
        <v>Error?</v>
      </c>
    </row>
    <row r="1428" spans="1:4" x14ac:dyDescent="0.2">
      <c r="A1428" s="5">
        <v>1367</v>
      </c>
      <c r="B1428" s="138">
        <f>'Expenditures 15-22'!D263</f>
        <v>5092</v>
      </c>
      <c r="D1428" s="2" t="str">
        <f t="shared" si="21"/>
        <v>Error?</v>
      </c>
    </row>
    <row r="1429" spans="1:4" x14ac:dyDescent="0.2">
      <c r="A1429" s="5">
        <v>1368</v>
      </c>
      <c r="B1429" s="138">
        <f>'Expenditures 15-22'!D264</f>
        <v>5091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30321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24917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65421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2227</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6295</v>
      </c>
      <c r="D1442" s="2" t="str">
        <f t="shared" si="21"/>
        <v>Error?</v>
      </c>
    </row>
    <row r="1443" spans="1:4" x14ac:dyDescent="0.2">
      <c r="A1443" s="10">
        <v>1382</v>
      </c>
      <c r="D1443" s="2" t="str">
        <f t="shared" si="21"/>
        <v>OK</v>
      </c>
    </row>
    <row r="1444" spans="1:4" x14ac:dyDescent="0.2">
      <c r="A1444" s="5">
        <v>1383</v>
      </c>
      <c r="B1444" s="138">
        <f>'Expenditures 15-22'!D277</f>
        <v>8522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160789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278248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6217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1039</v>
      </c>
      <c r="C1471" s="2" t="s">
        <v>594</v>
      </c>
      <c r="D1471" s="2" t="str">
        <f t="shared" ref="D1471:D1534" si="22">IF(ISBLANK(B1471),"OK",IF(A1471-B1471=0,"OK","Error?"))</f>
        <v>Error?</v>
      </c>
    </row>
    <row r="1472" spans="1:4" x14ac:dyDescent="0.2">
      <c r="A1472" s="5">
        <v>1411</v>
      </c>
      <c r="B1472" s="138">
        <f>'Expenditures 15-22'!K223</f>
        <v>5948</v>
      </c>
      <c r="C1472" s="2" t="s">
        <v>594</v>
      </c>
      <c r="D1472" s="2" t="str">
        <f t="shared" si="22"/>
        <v>Error?</v>
      </c>
    </row>
    <row r="1473" spans="1:4" x14ac:dyDescent="0.2">
      <c r="A1473" s="5">
        <v>1412</v>
      </c>
      <c r="B1473" s="138">
        <f>'Expenditures 15-22'!K224</f>
        <v>30</v>
      </c>
      <c r="C1473" s="2" t="s">
        <v>594</v>
      </c>
      <c r="D1473" s="2" t="str">
        <f t="shared" si="22"/>
        <v>Error?</v>
      </c>
    </row>
    <row r="1474" spans="1:4" x14ac:dyDescent="0.2">
      <c r="A1474" s="5">
        <v>1413</v>
      </c>
      <c r="B1474" s="138">
        <f>'Expenditures 15-22'!K229</f>
        <v>117459</v>
      </c>
      <c r="C1474" s="2" t="s">
        <v>594</v>
      </c>
      <c r="D1474" s="2" t="str">
        <f t="shared" si="22"/>
        <v>Error?</v>
      </c>
    </row>
    <row r="1475" spans="1:4" x14ac:dyDescent="0.2">
      <c r="A1475" s="5">
        <v>1414</v>
      </c>
      <c r="B1475" s="138">
        <f>'Expenditures 15-22'!K232</f>
        <v>4982</v>
      </c>
      <c r="C1475" s="2" t="s">
        <v>594</v>
      </c>
      <c r="D1475" s="2" t="str">
        <f t="shared" si="22"/>
        <v>Error?</v>
      </c>
    </row>
    <row r="1476" spans="1:4" x14ac:dyDescent="0.2">
      <c r="A1476" s="5">
        <v>1415</v>
      </c>
      <c r="B1476" s="138">
        <f>'Expenditures 15-22'!K233</f>
        <v>1026</v>
      </c>
      <c r="C1476" s="2" t="s">
        <v>594</v>
      </c>
      <c r="D1476" s="2" t="str">
        <f t="shared" si="22"/>
        <v>Error?</v>
      </c>
    </row>
    <row r="1477" spans="1:4" x14ac:dyDescent="0.2">
      <c r="A1477" s="5">
        <v>1416</v>
      </c>
      <c r="B1477" s="138">
        <f>'Expenditures 15-22'!K234</f>
        <v>16923</v>
      </c>
      <c r="C1477" s="2" t="s">
        <v>594</v>
      </c>
      <c r="D1477" s="2" t="str">
        <f t="shared" si="22"/>
        <v>Error?</v>
      </c>
    </row>
    <row r="1478" spans="1:4" x14ac:dyDescent="0.2">
      <c r="A1478" s="5">
        <v>1417</v>
      </c>
      <c r="B1478" s="138">
        <f>'Expenditures 15-22'!K235</f>
        <v>4107</v>
      </c>
      <c r="C1478" s="2" t="s">
        <v>594</v>
      </c>
      <c r="D1478" s="2" t="str">
        <f t="shared" si="22"/>
        <v>Error?</v>
      </c>
    </row>
    <row r="1479" spans="1:4" x14ac:dyDescent="0.2">
      <c r="A1479" s="5">
        <v>1418</v>
      </c>
      <c r="B1479" s="138">
        <f>'Expenditures 15-22'!K236</f>
        <v>1188</v>
      </c>
      <c r="C1479" s="2" t="s">
        <v>594</v>
      </c>
      <c r="D1479" s="2" t="str">
        <f t="shared" si="22"/>
        <v>Error?</v>
      </c>
    </row>
    <row r="1480" spans="1:4" x14ac:dyDescent="0.2">
      <c r="A1480" s="5">
        <v>1419</v>
      </c>
      <c r="B1480" s="138">
        <f>'Expenditures 15-22'!K237</f>
        <v>241</v>
      </c>
      <c r="C1480" s="2" t="s">
        <v>594</v>
      </c>
      <c r="D1480" s="2" t="str">
        <f t="shared" si="22"/>
        <v>Error?</v>
      </c>
    </row>
    <row r="1481" spans="1:4" x14ac:dyDescent="0.2">
      <c r="A1481" s="5">
        <v>1420</v>
      </c>
      <c r="B1481" s="138">
        <f>'Expenditures 15-22'!K238</f>
        <v>28467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25620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25620</v>
      </c>
      <c r="C1485" s="2" t="s">
        <v>594</v>
      </c>
      <c r="D1485" s="2" t="str">
        <f t="shared" si="22"/>
        <v>Error?</v>
      </c>
    </row>
    <row r="1486" spans="1:4" x14ac:dyDescent="0.2">
      <c r="A1486" s="5">
        <v>1425</v>
      </c>
      <c r="B1486" s="138">
        <f>'Expenditures 15-22'!K245</f>
        <v>202</v>
      </c>
      <c r="C1486" s="2" t="s">
        <v>594</v>
      </c>
      <c r="D1486" s="2" t="str">
        <f t="shared" si="22"/>
        <v>Error?</v>
      </c>
    </row>
    <row r="1487" spans="1:4" x14ac:dyDescent="0.2">
      <c r="A1487" s="5">
        <v>1426</v>
      </c>
      <c r="B1487" s="138">
        <f>'Expenditures 15-22'!K246</f>
        <v>6106</v>
      </c>
      <c r="C1487" s="2" t="s">
        <v>594</v>
      </c>
      <c r="D1487" s="2" t="str">
        <f t="shared" si="22"/>
        <v>Error?</v>
      </c>
    </row>
    <row r="1488" spans="1:4" x14ac:dyDescent="0.2">
      <c r="A1488" s="5">
        <v>1427</v>
      </c>
      <c r="B1488" s="138">
        <f>'Expenditures 15-22'!K257</f>
        <v>6308</v>
      </c>
      <c r="C1488" s="2" t="s">
        <v>594</v>
      </c>
      <c r="D1488" s="2" t="str">
        <f t="shared" si="22"/>
        <v>Error?</v>
      </c>
    </row>
    <row r="1489" spans="1:4" x14ac:dyDescent="0.2">
      <c r="A1489" s="5">
        <v>1428</v>
      </c>
      <c r="B1489" s="138">
        <f>'Expenditures 15-22'!K259</f>
        <v>26451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26451</v>
      </c>
      <c r="C1491" s="2" t="s">
        <v>594</v>
      </c>
      <c r="D1491" s="2" t="str">
        <f t="shared" si="22"/>
        <v>Error?</v>
      </c>
    </row>
    <row r="1492" spans="1:4" x14ac:dyDescent="0.2">
      <c r="A1492" s="5">
        <v>1431</v>
      </c>
      <c r="B1492" s="138">
        <f>'Expenditures 15-22'!K263</f>
        <v>5092</v>
      </c>
      <c r="C1492" s="2" t="s">
        <v>594</v>
      </c>
      <c r="D1492" s="2" t="str">
        <f t="shared" si="22"/>
        <v>Error?</v>
      </c>
    </row>
    <row r="1493" spans="1:4" x14ac:dyDescent="0.2">
      <c r="A1493" s="5">
        <v>1432</v>
      </c>
      <c r="B1493" s="138">
        <f>'Expenditures 15-22'!K264</f>
        <v>5091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30321</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24917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65421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2227</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6295</v>
      </c>
      <c r="C1506" s="2" t="s">
        <v>594</v>
      </c>
      <c r="D1506" s="2" t="str">
        <f t="shared" si="22"/>
        <v>Error?</v>
      </c>
    </row>
    <row r="1507" spans="1:4" x14ac:dyDescent="0.2">
      <c r="A1507" s="10">
        <v>1446</v>
      </c>
      <c r="D1507" s="2" t="str">
        <f t="shared" si="22"/>
        <v>OK</v>
      </c>
    </row>
    <row r="1508" spans="1:4" x14ac:dyDescent="0.2">
      <c r="A1508" s="5">
        <v>1447</v>
      </c>
      <c r="B1508" s="138">
        <f>'Expenditures 15-22'!K277</f>
        <v>8522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160789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278248</v>
      </c>
      <c r="C1517" s="2" t="s">
        <v>594</v>
      </c>
      <c r="D1517" s="2" t="str">
        <f t="shared" si="22"/>
        <v>Error?</v>
      </c>
    </row>
    <row r="1518" spans="1:4" x14ac:dyDescent="0.2">
      <c r="A1518" s="5">
        <v>1457</v>
      </c>
      <c r="B1518" s="138">
        <f>'Expenditures 15-22'!K296</f>
        <v>4212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5696605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6610798</v>
      </c>
      <c r="C1630" s="2" t="s">
        <v>594</v>
      </c>
      <c r="D1630" s="2" t="str">
        <f t="shared" si="24"/>
        <v>Error?</v>
      </c>
    </row>
    <row r="1631" spans="1:4" x14ac:dyDescent="0.2">
      <c r="A1631" s="5">
        <v>1570</v>
      </c>
      <c r="B1631" s="138">
        <f>'Acct Summary 7-8'!D79</f>
        <v>700538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740508</v>
      </c>
      <c r="C1644" s="2" t="s">
        <v>594</v>
      </c>
      <c r="D1644" s="2" t="str">
        <f t="shared" si="24"/>
        <v>Error?</v>
      </c>
    </row>
    <row r="1645" spans="1:4" x14ac:dyDescent="0.2">
      <c r="A1645" s="5">
        <v>1584</v>
      </c>
      <c r="B1645" s="138">
        <f>'Acct Summary 7-8'!E79</f>
        <v>589911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569139</v>
      </c>
      <c r="C1658" s="2" t="s">
        <v>594</v>
      </c>
      <c r="D1658" s="2" t="str">
        <f t="shared" si="24"/>
        <v>Error?</v>
      </c>
    </row>
    <row r="1659" spans="1:4" x14ac:dyDescent="0.2">
      <c r="A1659" s="5">
        <v>1598</v>
      </c>
      <c r="B1659" s="138">
        <f>'Acct Summary 7-8'!F79</f>
        <v>9587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132076</v>
      </c>
      <c r="C1672" s="2" t="s">
        <v>594</v>
      </c>
      <c r="D1672" s="2" t="str">
        <f t="shared" si="25"/>
        <v>Error?</v>
      </c>
    </row>
    <row r="1673" spans="1:4" x14ac:dyDescent="0.2">
      <c r="A1673" s="5">
        <v>1612</v>
      </c>
      <c r="B1673" s="138">
        <f>'Acct Summary 7-8'!G79</f>
        <v>180504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184716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2910342</v>
      </c>
      <c r="C1744" s="2" t="s">
        <v>594</v>
      </c>
      <c r="D1744" s="2" t="str">
        <f t="shared" si="26"/>
        <v>Error?</v>
      </c>
    </row>
    <row r="1745" spans="1:5" x14ac:dyDescent="0.2">
      <c r="A1745" s="5">
        <v>1684</v>
      </c>
      <c r="B1745" s="138">
        <f>'Tax Sched 23'!B5</f>
        <v>451944</v>
      </c>
      <c r="C1745" s="2" t="s">
        <v>594</v>
      </c>
      <c r="D1745" s="2" t="str">
        <f t="shared" si="26"/>
        <v>Error?</v>
      </c>
    </row>
    <row r="1746" spans="1:5" x14ac:dyDescent="0.2">
      <c r="A1746" s="5">
        <v>1685</v>
      </c>
      <c r="B1746" s="138">
        <f>'Tax Sched 23'!B6</f>
        <v>1005677</v>
      </c>
      <c r="C1746" s="2" t="s">
        <v>594</v>
      </c>
      <c r="D1746" s="2" t="str">
        <f t="shared" si="26"/>
        <v>Error?</v>
      </c>
    </row>
    <row r="1747" spans="1:5" x14ac:dyDescent="0.2">
      <c r="A1747" s="5">
        <v>1686</v>
      </c>
      <c r="B1747" s="138">
        <f>'Tax Sched 23'!B7</f>
        <v>187924</v>
      </c>
      <c r="C1747" s="2" t="s">
        <v>594</v>
      </c>
      <c r="D1747" s="2" t="str">
        <f t="shared" si="26"/>
        <v>Error?</v>
      </c>
    </row>
    <row r="1748" spans="1:5" x14ac:dyDescent="0.2">
      <c r="A1748" s="5">
        <v>1687</v>
      </c>
      <c r="B1748" s="138">
        <f>'Tax Sched 23'!B8</f>
        <v>38933</v>
      </c>
      <c r="C1748" s="2" t="s">
        <v>594</v>
      </c>
      <c r="D1748" s="2" t="str">
        <f t="shared" si="26"/>
        <v>Error?</v>
      </c>
    </row>
    <row r="1749" spans="1:5" x14ac:dyDescent="0.2">
      <c r="A1749" s="5">
        <v>1688</v>
      </c>
      <c r="B1749" s="138">
        <f>'Tax Sched 23'!B10</f>
        <v>31879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156487</v>
      </c>
      <c r="C1752" s="2" t="s">
        <v>594</v>
      </c>
      <c r="D1752" s="2" t="str">
        <f t="shared" si="26"/>
        <v>Error?</v>
      </c>
    </row>
    <row r="1753" spans="1:5" x14ac:dyDescent="0.2">
      <c r="A1753" s="5">
        <v>1692</v>
      </c>
      <c r="B1753" s="138">
        <f>'Tax Sched 23'!B12</f>
        <v>39266</v>
      </c>
      <c r="C1753" s="2" t="s">
        <v>594</v>
      </c>
      <c r="D1753" s="2" t="str">
        <f t="shared" si="26"/>
        <v>Error?</v>
      </c>
    </row>
    <row r="1754" spans="1:5" x14ac:dyDescent="0.2">
      <c r="A1754" s="5">
        <v>1693</v>
      </c>
      <c r="B1754" s="138">
        <f>'Tax Sched 23'!B14</f>
        <v>41578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5086336</v>
      </c>
      <c r="C1759" s="2" t="s">
        <v>594</v>
      </c>
      <c r="D1759" s="2" t="str">
        <f t="shared" si="26"/>
        <v>Error?</v>
      </c>
    </row>
    <row r="1760" spans="1:5" x14ac:dyDescent="0.2">
      <c r="A1760" s="5">
        <v>1699</v>
      </c>
      <c r="B1760" s="138">
        <f>'Tax Sched 23'!D4</f>
        <v>1352467</v>
      </c>
      <c r="C1760" s="2" t="s">
        <v>594</v>
      </c>
      <c r="D1760" s="2" t="str">
        <f t="shared" si="26"/>
        <v>Error?</v>
      </c>
    </row>
    <row r="1761" spans="1:5" x14ac:dyDescent="0.2">
      <c r="A1761" s="5">
        <v>1700</v>
      </c>
      <c r="B1761" s="138">
        <f>'Tax Sched 23'!D5</f>
        <v>211322</v>
      </c>
      <c r="C1761" s="2" t="s">
        <v>594</v>
      </c>
      <c r="D1761" s="2" t="str">
        <f t="shared" si="26"/>
        <v>Error?</v>
      </c>
    </row>
    <row r="1762" spans="1:5" s="8" customFormat="1" x14ac:dyDescent="0.2">
      <c r="A1762" s="5">
        <v>1701</v>
      </c>
      <c r="B1762" s="138">
        <f>'Tax Sched 23'!D6</f>
        <v>469185</v>
      </c>
      <c r="C1762" s="2" t="s">
        <v>594</v>
      </c>
      <c r="D1762" s="2" t="str">
        <f t="shared" si="26"/>
        <v>Error?</v>
      </c>
      <c r="E1762" s="9"/>
    </row>
    <row r="1763" spans="1:5" x14ac:dyDescent="0.2">
      <c r="A1763" s="5">
        <v>1702</v>
      </c>
      <c r="B1763" s="138">
        <f>'Tax Sched 23'!D7</f>
        <v>85069</v>
      </c>
      <c r="C1763" s="2" t="s">
        <v>594</v>
      </c>
      <c r="D1763" s="2" t="str">
        <f t="shared" si="26"/>
        <v>Error?</v>
      </c>
    </row>
    <row r="1764" spans="1:5" x14ac:dyDescent="0.2">
      <c r="A1764" s="5">
        <v>1703</v>
      </c>
      <c r="B1764" s="138">
        <f>'Tax Sched 23'!D8</f>
        <v>2942</v>
      </c>
      <c r="C1764" s="2" t="s">
        <v>594</v>
      </c>
      <c r="D1764" s="2" t="str">
        <f t="shared" si="26"/>
        <v>Error?</v>
      </c>
    </row>
    <row r="1765" spans="1:5" x14ac:dyDescent="0.2">
      <c r="A1765" s="5">
        <v>1704</v>
      </c>
      <c r="B1765" s="138">
        <f>'Tax Sched 23'!D10</f>
        <v>13523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74387</v>
      </c>
      <c r="C1768" s="2" t="s">
        <v>594</v>
      </c>
      <c r="D1768" s="2" t="str">
        <f t="shared" si="26"/>
        <v>Error?</v>
      </c>
    </row>
    <row r="1769" spans="1:5" x14ac:dyDescent="0.2">
      <c r="A1769" s="5">
        <v>1708</v>
      </c>
      <c r="B1769" s="138">
        <f>'Tax Sched 23'!D12</f>
        <v>19272</v>
      </c>
      <c r="C1769" s="2" t="s">
        <v>594</v>
      </c>
      <c r="D1769" s="2" t="str">
        <f t="shared" si="26"/>
        <v>Error?</v>
      </c>
    </row>
    <row r="1770" spans="1:5" x14ac:dyDescent="0.2">
      <c r="A1770" s="5">
        <v>1709</v>
      </c>
      <c r="B1770" s="138">
        <f>'Tax Sched 23'!D14</f>
        <v>16905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2359525</v>
      </c>
      <c r="C1775" s="2" t="s">
        <v>594</v>
      </c>
      <c r="D1775" s="2" t="str">
        <f t="shared" si="26"/>
        <v>Error?</v>
      </c>
    </row>
    <row r="1776" spans="1:5" x14ac:dyDescent="0.2">
      <c r="A1776" s="5">
        <v>1715</v>
      </c>
      <c r="B1776" s="138">
        <f>'Tax Sched 23'!C4</f>
        <v>1557875</v>
      </c>
      <c r="D1776" s="2" t="str">
        <f t="shared" si="26"/>
        <v>Error?</v>
      </c>
    </row>
    <row r="1777" spans="1:4" x14ac:dyDescent="0.2">
      <c r="A1777" s="5">
        <v>1716</v>
      </c>
      <c r="B1777" s="138">
        <f>'Tax Sched 23'!C5</f>
        <v>240622</v>
      </c>
      <c r="D1777" s="2" t="str">
        <f t="shared" si="26"/>
        <v>Error?</v>
      </c>
    </row>
    <row r="1778" spans="1:4" x14ac:dyDescent="0.2">
      <c r="A1778" s="5">
        <v>1717</v>
      </c>
      <c r="B1778" s="138">
        <f>'Tax Sched 23'!C6</f>
        <v>536492</v>
      </c>
      <c r="D1778" s="2" t="str">
        <f t="shared" si="26"/>
        <v>Error?</v>
      </c>
    </row>
    <row r="1779" spans="1:4" x14ac:dyDescent="0.2">
      <c r="A1779" s="5">
        <v>1718</v>
      </c>
      <c r="B1779" s="138">
        <f>'Tax Sched 23'!C7</f>
        <v>102855</v>
      </c>
      <c r="D1779" s="2" t="str">
        <f t="shared" si="26"/>
        <v>Error?</v>
      </c>
    </row>
    <row r="1780" spans="1:4" x14ac:dyDescent="0.2">
      <c r="A1780" s="5">
        <v>1719</v>
      </c>
      <c r="B1780" s="138">
        <f>'Tax Sched 23'!C8</f>
        <v>35991</v>
      </c>
      <c r="D1780" s="2" t="str">
        <f t="shared" si="26"/>
        <v>Error?</v>
      </c>
    </row>
    <row r="1781" spans="1:4" x14ac:dyDescent="0.2">
      <c r="A1781" s="5">
        <v>1720</v>
      </c>
      <c r="B1781" s="138">
        <f>'Tax Sched 23'!C10</f>
        <v>18356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82100</v>
      </c>
      <c r="D1784" s="2" t="str">
        <f t="shared" si="26"/>
        <v>Error?</v>
      </c>
    </row>
    <row r="1785" spans="1:4" x14ac:dyDescent="0.2">
      <c r="A1785" s="5">
        <v>1724</v>
      </c>
      <c r="B1785" s="138">
        <f>'Tax Sched 23'!C12</f>
        <v>19994</v>
      </c>
      <c r="D1785" s="2" t="str">
        <f t="shared" si="26"/>
        <v>Error?</v>
      </c>
    </row>
    <row r="1786" spans="1:4" x14ac:dyDescent="0.2">
      <c r="A1786" s="5">
        <v>1725</v>
      </c>
      <c r="B1786" s="138">
        <f>'Tax Sched 23'!C14</f>
        <v>24673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2726811</v>
      </c>
      <c r="C1791" s="2" t="s">
        <v>594</v>
      </c>
      <c r="D1791" s="2" t="str">
        <f t="shared" ref="D1791:D1854" si="27">IF(ISBLANK(B1791),"OK",IF(A1791-B1791=0,"OK","Error?"))</f>
        <v>Error?</v>
      </c>
    </row>
    <row r="1792" spans="1:4" x14ac:dyDescent="0.2">
      <c r="A1792" s="5">
        <v>1731</v>
      </c>
      <c r="B1792" s="138">
        <f>'Tax Sched 23'!F4</f>
        <v>1414180</v>
      </c>
      <c r="C1792" s="2" t="s">
        <v>594</v>
      </c>
      <c r="D1792" s="2" t="str">
        <f t="shared" si="27"/>
        <v>Error?</v>
      </c>
    </row>
    <row r="1793" spans="1:4" x14ac:dyDescent="0.2">
      <c r="A1793" s="5">
        <v>1732</v>
      </c>
      <c r="B1793" s="138">
        <f>'Tax Sched 23'!F5</f>
        <v>218431</v>
      </c>
      <c r="C1793" s="2" t="s">
        <v>594</v>
      </c>
      <c r="D1793" s="2" t="str">
        <f t="shared" si="27"/>
        <v>Error?</v>
      </c>
    </row>
    <row r="1794" spans="1:4" x14ac:dyDescent="0.2">
      <c r="A1794" s="5">
        <v>1733</v>
      </c>
      <c r="B1794" s="138">
        <f>'Tax Sched 23'!F6</f>
        <v>486592</v>
      </c>
      <c r="C1794" s="2" t="s">
        <v>594</v>
      </c>
      <c r="D1794" s="2" t="str">
        <f t="shared" si="27"/>
        <v>Error?</v>
      </c>
    </row>
    <row r="1795" spans="1:4" x14ac:dyDescent="0.2">
      <c r="A1795" s="5">
        <v>1734</v>
      </c>
      <c r="B1795" s="138">
        <f>'Tax Sched 23'!F7</f>
        <v>93370</v>
      </c>
      <c r="C1795" s="2" t="s">
        <v>594</v>
      </c>
      <c r="D1795" s="2" t="str">
        <f t="shared" si="27"/>
        <v>Error?</v>
      </c>
    </row>
    <row r="1796" spans="1:4" x14ac:dyDescent="0.2">
      <c r="A1796" s="5">
        <v>1735</v>
      </c>
      <c r="B1796" s="138">
        <f>'Tax Sched 23'!F8</f>
        <v>32672</v>
      </c>
      <c r="C1796" s="2" t="s">
        <v>594</v>
      </c>
      <c r="D1796" s="2" t="str">
        <f t="shared" si="27"/>
        <v>Error?</v>
      </c>
    </row>
    <row r="1797" spans="1:4" x14ac:dyDescent="0.2">
      <c r="A1797" s="5">
        <v>1736</v>
      </c>
      <c r="B1797" s="138">
        <f>'Tax Sched 23'!F10</f>
        <v>16662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74529</v>
      </c>
      <c r="C1800" s="2" t="s">
        <v>594</v>
      </c>
      <c r="D1800" s="2" t="str">
        <f t="shared" si="27"/>
        <v>Error?</v>
      </c>
    </row>
    <row r="1801" spans="1:4" x14ac:dyDescent="0.2">
      <c r="A1801" s="5">
        <v>1740</v>
      </c>
      <c r="B1801" s="138">
        <f>'Tax Sched 23'!F12</f>
        <v>18152</v>
      </c>
      <c r="C1801" s="2" t="s">
        <v>594</v>
      </c>
      <c r="D1801" s="2" t="str">
        <f t="shared" si="27"/>
        <v>Error?</v>
      </c>
    </row>
    <row r="1802" spans="1:4" x14ac:dyDescent="0.2">
      <c r="A1802" s="5">
        <v>1741</v>
      </c>
      <c r="B1802" s="138">
        <f>'Tax Sched 23'!F14</f>
        <v>22399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2474896</v>
      </c>
      <c r="C1807" s="2" t="s">
        <v>594</v>
      </c>
      <c r="D1807" s="2" t="str">
        <f t="shared" si="27"/>
        <v>Error?</v>
      </c>
    </row>
    <row r="1808" spans="1:4" x14ac:dyDescent="0.2">
      <c r="A1808" s="5">
        <v>1747</v>
      </c>
      <c r="B1808" s="138">
        <f>'Tax Sched 23'!E4</f>
        <v>2972055</v>
      </c>
      <c r="D1808" s="2" t="str">
        <f t="shared" si="27"/>
        <v>Error?</v>
      </c>
    </row>
    <row r="1809" spans="1:4" x14ac:dyDescent="0.2">
      <c r="A1809" s="5">
        <v>1748</v>
      </c>
      <c r="B1809" s="138">
        <f>'Tax Sched 23'!E5</f>
        <v>459053</v>
      </c>
      <c r="D1809" s="2" t="str">
        <f t="shared" si="27"/>
        <v>Error?</v>
      </c>
    </row>
    <row r="1810" spans="1:4" x14ac:dyDescent="0.2">
      <c r="A1810" s="5">
        <v>1749</v>
      </c>
      <c r="B1810" s="138">
        <f>'Tax Sched 23'!E6</f>
        <v>1023084</v>
      </c>
      <c r="D1810" s="2" t="str">
        <f t="shared" si="27"/>
        <v>Error?</v>
      </c>
    </row>
    <row r="1811" spans="1:4" x14ac:dyDescent="0.2">
      <c r="A1811" s="5">
        <v>1750</v>
      </c>
      <c r="B1811" s="138">
        <f>'Tax Sched 23'!E7</f>
        <v>196225</v>
      </c>
      <c r="D1811" s="2" t="str">
        <f t="shared" si="27"/>
        <v>Error?</v>
      </c>
    </row>
    <row r="1812" spans="1:4" x14ac:dyDescent="0.2">
      <c r="A1812" s="5">
        <v>1751</v>
      </c>
      <c r="B1812" s="138">
        <f>'Tax Sched 23'!E8</f>
        <v>68663</v>
      </c>
      <c r="D1812" s="2" t="str">
        <f t="shared" si="27"/>
        <v>Error?</v>
      </c>
    </row>
    <row r="1813" spans="1:4" x14ac:dyDescent="0.2">
      <c r="A1813" s="5">
        <v>1752</v>
      </c>
      <c r="B1813" s="138">
        <f>'Tax Sched 23'!E10</f>
        <v>35018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156629</v>
      </c>
      <c r="D1816" s="2" t="str">
        <f t="shared" si="27"/>
        <v>Error?</v>
      </c>
    </row>
    <row r="1817" spans="1:4" x14ac:dyDescent="0.2">
      <c r="A1817" s="5">
        <v>1756</v>
      </c>
      <c r="B1817" s="138">
        <f>'Tax Sched 23'!E12</f>
        <v>38146</v>
      </c>
      <c r="D1817" s="2" t="str">
        <f t="shared" si="27"/>
        <v>Error?</v>
      </c>
    </row>
    <row r="1818" spans="1:4" x14ac:dyDescent="0.2">
      <c r="A1818" s="5">
        <v>1757</v>
      </c>
      <c r="B1818" s="138">
        <f>'Tax Sched 23'!E14</f>
        <v>47072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5201707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6512000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41578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83</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41661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41661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138937</v>
      </c>
      <c r="D2008" s="2" t="str">
        <f t="shared" si="30"/>
        <v>Error?</v>
      </c>
    </row>
    <row r="2009" spans="1:4" x14ac:dyDescent="0.2">
      <c r="A2009" s="5">
        <v>1948</v>
      </c>
      <c r="B2009" s="138">
        <f>'Cap Outlay Deprec 26'!C8</f>
        <v>17589782</v>
      </c>
      <c r="D2009" s="2" t="str">
        <f t="shared" si="30"/>
        <v>Error?</v>
      </c>
    </row>
    <row r="2010" spans="1:4" x14ac:dyDescent="0.2">
      <c r="A2010" s="5">
        <v>1949</v>
      </c>
      <c r="B2010" s="138">
        <f>'Cap Outlay Deprec 26'!C10</f>
        <v>478647</v>
      </c>
      <c r="D2010" s="2" t="str">
        <f t="shared" si="30"/>
        <v>Error?</v>
      </c>
    </row>
    <row r="2011" spans="1:4" x14ac:dyDescent="0.2">
      <c r="A2011" s="5">
        <v>1950</v>
      </c>
      <c r="B2011" s="138">
        <f>'Cap Outlay Deprec 26'!C12</f>
        <v>2067888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20275254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111640</v>
      </c>
      <c r="D2015" s="2" t="str">
        <f t="shared" si="30"/>
        <v>Error?</v>
      </c>
    </row>
    <row r="2016" spans="1:4" x14ac:dyDescent="0.2">
      <c r="A2016" s="5">
        <v>1955</v>
      </c>
      <c r="B2016" s="138">
        <f>'Cap Outlay Deprec 26'!D10</f>
        <v>2140</v>
      </c>
      <c r="D2016" s="2" t="str">
        <f t="shared" si="30"/>
        <v>Error?</v>
      </c>
    </row>
    <row r="2017" spans="1:4" x14ac:dyDescent="0.2">
      <c r="A2017" s="5">
        <v>1956</v>
      </c>
      <c r="B2017" s="138">
        <f>'Cap Outlay Deprec 26'!D12</f>
        <v>189144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302924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270722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270722</v>
      </c>
      <c r="C2025" s="2" t="s">
        <v>594</v>
      </c>
      <c r="D2025" s="2" t="str">
        <f t="shared" si="30"/>
        <v>Error?</v>
      </c>
    </row>
    <row r="2026" spans="1:4" x14ac:dyDescent="0.2">
      <c r="A2026" s="5">
        <v>1965</v>
      </c>
      <c r="B2026" s="138">
        <f>'Cap Outlay Deprec 26'!F5</f>
        <v>138937</v>
      </c>
      <c r="C2026" s="2" t="s">
        <v>594</v>
      </c>
      <c r="D2026" s="2" t="str">
        <f t="shared" si="30"/>
        <v>Error?</v>
      </c>
    </row>
    <row r="2027" spans="1:4" x14ac:dyDescent="0.2">
      <c r="A2027" s="5">
        <v>1966</v>
      </c>
      <c r="B2027" s="138">
        <f>'Cap Outlay Deprec 26'!F8</f>
        <v>17701422</v>
      </c>
      <c r="C2027" s="2" t="s">
        <v>594</v>
      </c>
      <c r="D2027" s="2" t="str">
        <f t="shared" si="30"/>
        <v>Error?</v>
      </c>
    </row>
    <row r="2028" spans="1:4" x14ac:dyDescent="0.2">
      <c r="A2028" s="5">
        <v>1967</v>
      </c>
      <c r="B2028" s="138">
        <f>'Cap Outlay Deprec 26'!F10</f>
        <v>480787</v>
      </c>
      <c r="C2028" s="2" t="s">
        <v>594</v>
      </c>
      <c r="D2028" s="2" t="str">
        <f t="shared" si="30"/>
        <v>Error?</v>
      </c>
    </row>
    <row r="2029" spans="1:4" x14ac:dyDescent="0.2">
      <c r="A2029" s="5">
        <v>1968</v>
      </c>
      <c r="B2029" s="138">
        <f>'Cap Outlay Deprec 26'!F12</f>
        <v>1986310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20307456</v>
      </c>
      <c r="C2031" s="2" t="s">
        <v>594</v>
      </c>
      <c r="D2031" s="2" t="str">
        <f t="shared" si="30"/>
        <v>Error?</v>
      </c>
    </row>
    <row r="2032" spans="1:4" x14ac:dyDescent="0.2">
      <c r="A2032" s="10">
        <v>1971</v>
      </c>
      <c r="D2032" s="2" t="str">
        <f t="shared" si="30"/>
        <v>OK</v>
      </c>
    </row>
    <row r="2033" spans="1:4" x14ac:dyDescent="0.2">
      <c r="A2033" s="5">
        <v>1972</v>
      </c>
      <c r="B2033" s="138">
        <f>'Cap Outlay Deprec 26'!H8</f>
        <v>4776895</v>
      </c>
      <c r="D2033" s="2" t="str">
        <f t="shared" si="30"/>
        <v>Error?</v>
      </c>
    </row>
    <row r="2034" spans="1:4" x14ac:dyDescent="0.2">
      <c r="A2034" s="5">
        <v>1973</v>
      </c>
      <c r="B2034" s="138">
        <f>'Cap Outlay Deprec 26'!H10</f>
        <v>151212</v>
      </c>
      <c r="D2034" s="2" t="str">
        <f t="shared" si="30"/>
        <v>Error?</v>
      </c>
    </row>
    <row r="2035" spans="1:4" x14ac:dyDescent="0.2">
      <c r="A2035" s="5">
        <v>1974</v>
      </c>
      <c r="B2035" s="138">
        <f>'Cap Outlay Deprec 26'!H12</f>
        <v>1051085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5979192</v>
      </c>
      <c r="C2037" s="2" t="s">
        <v>594</v>
      </c>
      <c r="D2037" s="2" t="str">
        <f t="shared" si="30"/>
        <v>Error?</v>
      </c>
    </row>
    <row r="2038" spans="1:4" x14ac:dyDescent="0.2">
      <c r="A2038" s="10">
        <v>1977</v>
      </c>
      <c r="D2038" s="2" t="str">
        <f t="shared" si="30"/>
        <v>OK</v>
      </c>
    </row>
    <row r="2039" spans="1:4" x14ac:dyDescent="0.2">
      <c r="A2039" s="5">
        <v>1978</v>
      </c>
      <c r="B2039" s="138">
        <f>'Cap Outlay Deprec 26'!I8</f>
        <v>353335</v>
      </c>
      <c r="D2039" s="2" t="str">
        <f t="shared" si="30"/>
        <v>Error?</v>
      </c>
    </row>
    <row r="2040" spans="1:4" x14ac:dyDescent="0.2">
      <c r="A2040" s="5">
        <v>1979</v>
      </c>
      <c r="B2040" s="138">
        <f>'Cap Outlay Deprec 26'!I10</f>
        <v>23986</v>
      </c>
      <c r="D2040" s="2" t="str">
        <f t="shared" si="30"/>
        <v>Error?</v>
      </c>
    </row>
    <row r="2041" spans="1:4" x14ac:dyDescent="0.2">
      <c r="A2041" s="5">
        <v>1980</v>
      </c>
      <c r="B2041" s="138">
        <f>'Cap Outlay Deprec 26'!I12</f>
        <v>186040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563361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270722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270722</v>
      </c>
      <c r="C2049" s="2" t="s">
        <v>594</v>
      </c>
      <c r="D2049" s="2" t="str">
        <f t="shared" si="31"/>
        <v>Error?</v>
      </c>
    </row>
    <row r="2050" spans="1:4" x14ac:dyDescent="0.2">
      <c r="A2050" s="10">
        <v>1989</v>
      </c>
      <c r="D2050" s="2" t="str">
        <f t="shared" si="31"/>
        <v>OK</v>
      </c>
    </row>
    <row r="2051" spans="1:4" x14ac:dyDescent="0.2">
      <c r="A2051" s="5">
        <v>1990</v>
      </c>
      <c r="B2051" s="138">
        <f>'Cap Outlay Deprec 26'!K8</f>
        <v>5130230</v>
      </c>
      <c r="C2051" s="2" t="s">
        <v>594</v>
      </c>
      <c r="D2051" s="2" t="str">
        <f t="shared" si="31"/>
        <v>Error?</v>
      </c>
    </row>
    <row r="2052" spans="1:4" x14ac:dyDescent="0.2">
      <c r="A2052" s="5">
        <v>1991</v>
      </c>
      <c r="B2052" s="138">
        <f>'Cap Outlay Deprec 26'!K10</f>
        <v>175198</v>
      </c>
      <c r="C2052" s="2" t="s">
        <v>594</v>
      </c>
      <c r="D2052" s="2" t="str">
        <f t="shared" si="31"/>
        <v>Error?</v>
      </c>
    </row>
    <row r="2053" spans="1:4" x14ac:dyDescent="0.2">
      <c r="A2053" s="5">
        <v>1992</v>
      </c>
      <c r="B2053" s="138">
        <f>'Cap Outlay Deprec 26'!K12</f>
        <v>966403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6271831</v>
      </c>
      <c r="C2055" s="2" t="s">
        <v>594</v>
      </c>
      <c r="D2055" s="2" t="str">
        <f t="shared" si="31"/>
        <v>Error?</v>
      </c>
    </row>
    <row r="2056" spans="1:4" x14ac:dyDescent="0.2">
      <c r="A2056" s="5">
        <v>1995</v>
      </c>
      <c r="B2056" s="138">
        <f>'Cap Outlay Deprec 26'!L5</f>
        <v>138937</v>
      </c>
      <c r="C2056" s="2" t="s">
        <v>594</v>
      </c>
      <c r="D2056" s="2" t="str">
        <f t="shared" si="31"/>
        <v>Error?</v>
      </c>
    </row>
    <row r="2057" spans="1:4" x14ac:dyDescent="0.2">
      <c r="A2057" s="5">
        <v>1996</v>
      </c>
      <c r="B2057" s="138">
        <f>'Cap Outlay Deprec 26'!L8</f>
        <v>12571192</v>
      </c>
      <c r="C2057" s="2" t="s">
        <v>594</v>
      </c>
      <c r="D2057" s="2" t="str">
        <f t="shared" si="31"/>
        <v>Error?</v>
      </c>
    </row>
    <row r="2058" spans="1:4" x14ac:dyDescent="0.2">
      <c r="A2058" s="5">
        <v>1997</v>
      </c>
      <c r="B2058" s="138">
        <f>'Cap Outlay Deprec 26'!L10</f>
        <v>305589</v>
      </c>
      <c r="C2058" s="2" t="s">
        <v>594</v>
      </c>
      <c r="D2058" s="2" t="str">
        <f t="shared" si="31"/>
        <v>Error?</v>
      </c>
    </row>
    <row r="2059" spans="1:4" x14ac:dyDescent="0.2">
      <c r="A2059" s="5">
        <v>1998</v>
      </c>
      <c r="B2059" s="138">
        <f>'Cap Outlay Deprec 26'!L12</f>
        <v>1019907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14035625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67371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83895</v>
      </c>
      <c r="C2088" s="2" t="s">
        <v>594</v>
      </c>
      <c r="D2088" s="2" t="str">
        <f t="shared" si="31"/>
        <v>Error?</v>
      </c>
    </row>
    <row r="2089" spans="1:4" x14ac:dyDescent="0.2">
      <c r="A2089" s="5">
        <v>2028</v>
      </c>
      <c r="B2089" s="138">
        <f>'Expenditures 15-22'!K92</f>
        <v>70128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1357</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580247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94034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3716702</v>
      </c>
      <c r="C2551" s="2" t="s">
        <v>594</v>
      </c>
      <c r="D2551" s="2" t="str">
        <f t="shared" si="38"/>
        <v>Error?</v>
      </c>
    </row>
    <row r="2552" spans="1:4" x14ac:dyDescent="0.2">
      <c r="A2552" s="10">
        <v>2491</v>
      </c>
      <c r="D2552" s="2" t="str">
        <f t="shared" si="38"/>
        <v>OK</v>
      </c>
    </row>
    <row r="2553" spans="1:4" x14ac:dyDescent="0.2">
      <c r="A2553" s="5">
        <v>2492</v>
      </c>
      <c r="B2553" s="138">
        <f>'Acct Summary 7-8'!C6</f>
        <v>4321851</v>
      </c>
      <c r="C2553" s="2" t="s">
        <v>594</v>
      </c>
      <c r="D2553" s="2" t="str">
        <f t="shared" si="38"/>
        <v>Error?</v>
      </c>
    </row>
    <row r="2554" spans="1:4" x14ac:dyDescent="0.2">
      <c r="A2554" s="5">
        <v>2493</v>
      </c>
      <c r="B2554" s="138">
        <f>'Acct Summary 7-8'!C7</f>
        <v>1190709</v>
      </c>
      <c r="C2554" s="2" t="s">
        <v>594</v>
      </c>
      <c r="D2554" s="2" t="str">
        <f t="shared" si="38"/>
        <v>Error?</v>
      </c>
    </row>
    <row r="2555" spans="1:4" x14ac:dyDescent="0.2">
      <c r="A2555" s="5">
        <v>2494</v>
      </c>
      <c r="B2555" s="138">
        <f>'Acct Summary 7-8'!C8</f>
        <v>9229262</v>
      </c>
      <c r="C2555" s="2" t="s">
        <v>594</v>
      </c>
      <c r="D2555" s="2" t="str">
        <f t="shared" si="38"/>
        <v>Error?</v>
      </c>
    </row>
    <row r="2556" spans="1:4" x14ac:dyDescent="0.2">
      <c r="A2556" s="5">
        <v>2495</v>
      </c>
      <c r="B2556" s="138">
        <f>'Acct Summary 7-8'!C12</f>
        <v>5337777</v>
      </c>
      <c r="C2556" s="2" t="s">
        <v>594</v>
      </c>
      <c r="D2556" s="2" t="str">
        <f t="shared" si="38"/>
        <v>Error?</v>
      </c>
    </row>
    <row r="2557" spans="1:4" x14ac:dyDescent="0.2">
      <c r="A2557" s="5">
        <v>2496</v>
      </c>
      <c r="B2557" s="138">
        <f>'Acct Summary 7-8'!C13</f>
        <v>2814554</v>
      </c>
      <c r="C2557" s="2" t="s">
        <v>594</v>
      </c>
      <c r="D2557" s="2" t="str">
        <f t="shared" si="38"/>
        <v>Error?</v>
      </c>
    </row>
    <row r="2558" spans="1:4" x14ac:dyDescent="0.2">
      <c r="A2558" s="5">
        <v>2497</v>
      </c>
      <c r="B2558" s="138">
        <f>'Acct Summary 7-8'!C14</f>
        <v>11458</v>
      </c>
      <c r="C2558" s="2" t="s">
        <v>594</v>
      </c>
      <c r="D2558" s="2" t="str">
        <f t="shared" si="38"/>
        <v>Error?</v>
      </c>
    </row>
    <row r="2559" spans="1:4" x14ac:dyDescent="0.2">
      <c r="A2559" s="5">
        <v>2498</v>
      </c>
      <c r="B2559" s="138">
        <f>'Acct Summary 7-8'!C15</f>
        <v>154023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8317812</v>
      </c>
      <c r="C2561" s="2" t="s">
        <v>594</v>
      </c>
      <c r="D2561" s="2" t="str">
        <f t="shared" si="39"/>
        <v>Error?</v>
      </c>
    </row>
    <row r="2562" spans="1:4" x14ac:dyDescent="0.2">
      <c r="A2562" s="5">
        <v>2501</v>
      </c>
      <c r="B2562" s="138">
        <f>'Acct Summary 7-8'!C20</f>
        <v>911450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459846</v>
      </c>
      <c r="C2564" s="2" t="s">
        <v>594</v>
      </c>
      <c r="D2564" s="2" t="str">
        <f t="shared" si="39"/>
        <v>Error?</v>
      </c>
    </row>
    <row r="2565" spans="1:4" x14ac:dyDescent="0.2">
      <c r="A2565" s="10">
        <v>2504</v>
      </c>
      <c r="D2565" s="2" t="str">
        <f t="shared" si="39"/>
        <v>OK</v>
      </c>
    </row>
    <row r="2566" spans="1:4" x14ac:dyDescent="0.2">
      <c r="A2566" s="5">
        <v>2505</v>
      </c>
      <c r="B2566" s="138">
        <f>'Acct Summary 7-8'!D6</f>
        <v>791121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1250967</v>
      </c>
      <c r="C2568" s="2" t="s">
        <v>594</v>
      </c>
      <c r="D2568" s="2" t="str">
        <f t="shared" si="39"/>
        <v>Error?</v>
      </c>
    </row>
    <row r="2569" spans="1:4" x14ac:dyDescent="0.2">
      <c r="A2569" s="5">
        <v>2508</v>
      </c>
      <c r="B2569" s="138">
        <f>'Acct Summary 7-8'!D13</f>
        <v>1212354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1212354</v>
      </c>
      <c r="C2573" s="2" t="s">
        <v>594</v>
      </c>
      <c r="D2573" s="2" t="str">
        <f t="shared" si="39"/>
        <v>Error?</v>
      </c>
    </row>
    <row r="2574" spans="1:4" x14ac:dyDescent="0.2">
      <c r="A2574" s="5">
        <v>2513</v>
      </c>
      <c r="B2574" s="138">
        <f>'Acct Summary 7-8'!D20</f>
        <v>38613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188529</v>
      </c>
      <c r="C2591" s="2" t="s">
        <v>594</v>
      </c>
      <c r="D2591" s="2" t="str">
        <f t="shared" si="39"/>
        <v>Error?</v>
      </c>
    </row>
    <row r="2592" spans="1:4" x14ac:dyDescent="0.2">
      <c r="A2592" s="10">
        <v>2531</v>
      </c>
      <c r="D2592" s="2" t="str">
        <f t="shared" si="39"/>
        <v>OK</v>
      </c>
    </row>
    <row r="2593" spans="1:4" x14ac:dyDescent="0.2">
      <c r="A2593" s="5">
        <v>2532</v>
      </c>
      <c r="B2593" s="138">
        <f>'Acct Summary 7-8'!F6</f>
        <v>341485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530014</v>
      </c>
      <c r="C2595" s="2" t="s">
        <v>594</v>
      </c>
      <c r="D2595" s="2" t="str">
        <f t="shared" si="39"/>
        <v>Error?</v>
      </c>
    </row>
    <row r="2596" spans="1:4" x14ac:dyDescent="0.2">
      <c r="A2596" s="5">
        <v>2535</v>
      </c>
      <c r="B2596" s="138">
        <f>'Acct Summary 7-8'!F13</f>
        <v>407525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407525</v>
      </c>
      <c r="C2600" s="2" t="s">
        <v>594</v>
      </c>
      <c r="D2600" s="2" t="str">
        <f t="shared" si="39"/>
        <v>Error?</v>
      </c>
    </row>
    <row r="2601" spans="1:4" x14ac:dyDescent="0.2">
      <c r="A2601" s="5">
        <v>2540</v>
      </c>
      <c r="B2601" s="138">
        <f>'Acct Summary 7-8'!F20</f>
        <v>122489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282460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282460</v>
      </c>
      <c r="C2606" s="2" t="s">
        <v>594</v>
      </c>
      <c r="D2606" s="2" t="str">
        <f t="shared" si="39"/>
        <v>Error?</v>
      </c>
    </row>
    <row r="2607" spans="1:4" x14ac:dyDescent="0.2">
      <c r="A2607" s="5">
        <v>2546</v>
      </c>
      <c r="B2607" s="138">
        <f>'Acct Summary 7-8'!G12</f>
        <v>117459</v>
      </c>
      <c r="C2607" s="2" t="s">
        <v>594</v>
      </c>
      <c r="D2607" s="2" t="str">
        <f t="shared" si="39"/>
        <v>Error?</v>
      </c>
    </row>
    <row r="2608" spans="1:4" x14ac:dyDescent="0.2">
      <c r="A2608" s="5">
        <v>2547</v>
      </c>
      <c r="B2608" s="138">
        <f>'Acct Summary 7-8'!G13</f>
        <v>160789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278248</v>
      </c>
      <c r="C2612" s="2" t="s">
        <v>594</v>
      </c>
      <c r="D2612" s="2" t="str">
        <f t="shared" si="39"/>
        <v>Error?</v>
      </c>
    </row>
    <row r="2613" spans="1:4" x14ac:dyDescent="0.2">
      <c r="A2613" s="5">
        <v>2552</v>
      </c>
      <c r="B2613" s="138">
        <f>'Acct Summary 7-8'!G20</f>
        <v>4212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1010732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1010732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1028761</v>
      </c>
      <c r="C2634" s="2" t="s">
        <v>594</v>
      </c>
      <c r="D2634" s="2" t="str">
        <f t="shared" si="40"/>
        <v>Error?</v>
      </c>
    </row>
    <row r="2635" spans="1:4" x14ac:dyDescent="0.2">
      <c r="A2635" s="5">
        <v>2574</v>
      </c>
      <c r="B2635" s="138">
        <f>'Acct Summary 7-8'!E17</f>
        <v>1028761</v>
      </c>
      <c r="C2635" s="2" t="s">
        <v>594</v>
      </c>
      <c r="D2635" s="2" t="str">
        <f t="shared" si="40"/>
        <v>Error?</v>
      </c>
    </row>
    <row r="2636" spans="1:4" x14ac:dyDescent="0.2">
      <c r="A2636" s="5">
        <v>2575</v>
      </c>
      <c r="B2636" s="138">
        <f>'Acct Summary 7-8'!E20</f>
        <v>-18029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3500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3500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2743</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16524</v>
      </c>
      <c r="C2789" s="2" t="s">
        <v>594</v>
      </c>
      <c r="D2789" s="2" t="str">
        <f t="shared" si="42"/>
        <v>Error?</v>
      </c>
    </row>
    <row r="2790" spans="1:4" x14ac:dyDescent="0.2">
      <c r="A2790" s="5">
        <v>2729</v>
      </c>
      <c r="B2790" s="138">
        <f>'Expenditures 15-22'!E102</f>
        <v>16524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2743</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357914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91293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357914</v>
      </c>
      <c r="D2912" s="2" t="str">
        <f t="shared" si="44"/>
        <v>Error?</v>
      </c>
    </row>
    <row r="2913" spans="1:4" x14ac:dyDescent="0.2">
      <c r="A2913" s="5">
        <v>2852</v>
      </c>
      <c r="B2913" s="138">
        <f>'Assets-Liab 5-6'!I41</f>
        <v>357914</v>
      </c>
      <c r="C2913" s="2" t="s">
        <v>594</v>
      </c>
      <c r="D2913" s="2" t="str">
        <f t="shared" si="44"/>
        <v>Error?</v>
      </c>
    </row>
    <row r="2914" spans="1:4" x14ac:dyDescent="0.2">
      <c r="A2914" s="5">
        <v>2853</v>
      </c>
      <c r="B2914" s="138">
        <f>'Assets-Liab 5-6'!L33</f>
        <v>91293</v>
      </c>
      <c r="D2914" s="2" t="str">
        <f t="shared" si="44"/>
        <v>Error?</v>
      </c>
    </row>
    <row r="2915" spans="1:4" x14ac:dyDescent="0.2">
      <c r="A2915" s="10">
        <v>2854</v>
      </c>
      <c r="D2915" s="2" t="str">
        <f t="shared" si="44"/>
        <v>OK</v>
      </c>
    </row>
    <row r="2916" spans="1:4" x14ac:dyDescent="0.2">
      <c r="A2916" s="5">
        <v>2855</v>
      </c>
      <c r="B2916" s="138">
        <f>'Assets-Liab 5-6'!L34</f>
        <v>91293</v>
      </c>
      <c r="C2916" s="2" t="s">
        <v>594</v>
      </c>
      <c r="D2916" s="2" t="str">
        <f t="shared" si="44"/>
        <v>Error?</v>
      </c>
    </row>
    <row r="2917" spans="1:4" x14ac:dyDescent="0.2">
      <c r="A2917" s="5">
        <v>2856</v>
      </c>
      <c r="B2917" s="138">
        <f>'Assets-Liab 5-6'!L41</f>
        <v>91293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16524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67371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83895</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113412</v>
      </c>
      <c r="D3055" s="2" t="str">
        <f t="shared" si="46"/>
        <v>Error?</v>
      </c>
    </row>
    <row r="3056" spans="1:4" x14ac:dyDescent="0.2">
      <c r="A3056" s="5">
        <v>2995</v>
      </c>
      <c r="B3056" s="138">
        <f>'Expenditures 15-22'!D10</f>
        <v>46267</v>
      </c>
      <c r="D3056" s="2" t="str">
        <f t="shared" si="46"/>
        <v>Error?</v>
      </c>
    </row>
    <row r="3057" spans="1:4" x14ac:dyDescent="0.2">
      <c r="A3057" s="5">
        <v>2996</v>
      </c>
      <c r="B3057" s="138">
        <f>'Expenditures 15-22'!E10</f>
        <v>34083</v>
      </c>
      <c r="D3057" s="2" t="str">
        <f t="shared" si="46"/>
        <v>Error?</v>
      </c>
    </row>
    <row r="3058" spans="1:4" x14ac:dyDescent="0.2">
      <c r="A3058" s="5">
        <v>2997</v>
      </c>
      <c r="B3058" s="138">
        <f>'Expenditures 15-22'!F10</f>
        <v>12015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205777</v>
      </c>
      <c r="C3062" s="2" t="s">
        <v>594</v>
      </c>
      <c r="D3062" s="2" t="str">
        <f t="shared" si="46"/>
        <v>Error?</v>
      </c>
    </row>
    <row r="3063" spans="1:4" x14ac:dyDescent="0.2">
      <c r="A3063" s="10">
        <v>3002</v>
      </c>
      <c r="D3063" s="2" t="str">
        <f t="shared" si="46"/>
        <v>OK</v>
      </c>
    </row>
    <row r="3064" spans="1:4" x14ac:dyDescent="0.2">
      <c r="A3064" s="5">
        <v>3003</v>
      </c>
      <c r="B3064" s="138">
        <f>'Expenditures 15-22'!D219</f>
        <v>5596</v>
      </c>
      <c r="D3064" s="2" t="str">
        <f t="shared" si="46"/>
        <v>Error?</v>
      </c>
    </row>
    <row r="3065" spans="1:4" x14ac:dyDescent="0.2">
      <c r="A3065" s="5">
        <v>3004</v>
      </c>
      <c r="B3065" s="138">
        <f>'Expenditures 15-22'!K219</f>
        <v>5596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34907</v>
      </c>
      <c r="C3225" s="2" t="s">
        <v>594</v>
      </c>
      <c r="D3225" s="2" t="str">
        <f t="shared" si="49"/>
        <v>Error?</v>
      </c>
    </row>
    <row r="3226" spans="1:4" x14ac:dyDescent="0.2">
      <c r="A3226" s="5">
        <v>3165</v>
      </c>
      <c r="B3226" s="138">
        <f>'Acct Summary 7-8'!I8</f>
        <v>34907</v>
      </c>
      <c r="C3226" s="2" t="s">
        <v>594</v>
      </c>
      <c r="D3226" s="2" t="str">
        <f t="shared" si="49"/>
        <v>Error?</v>
      </c>
    </row>
    <row r="3227" spans="1:4" x14ac:dyDescent="0.2">
      <c r="A3227" s="5">
        <v>3166</v>
      </c>
      <c r="B3227" s="138">
        <f>'Acct Summary 7-8'!I20</f>
        <v>34907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2743</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2743</v>
      </c>
      <c r="C3232" s="2" t="s">
        <v>594</v>
      </c>
      <c r="D3232" s="2" t="str">
        <f t="shared" si="49"/>
        <v>Error?</v>
      </c>
    </row>
    <row r="3233" spans="1:4" x14ac:dyDescent="0.2">
      <c r="A3233" s="5">
        <v>3172</v>
      </c>
      <c r="B3233" s="138">
        <f>'Acct Summary 7-8'!C78</f>
        <v>914193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1357</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1357</v>
      </c>
      <c r="C3238" s="2" t="s">
        <v>594</v>
      </c>
      <c r="D3238" s="2" t="str">
        <f t="shared" si="49"/>
        <v>Error?</v>
      </c>
    </row>
    <row r="3239" spans="1:4" x14ac:dyDescent="0.2">
      <c r="A3239" s="5">
        <v>3178</v>
      </c>
      <c r="B3239" s="138">
        <f>'Acct Summary 7-8'!D78</f>
        <v>39970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122489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4212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2743</v>
      </c>
      <c r="C3276" s="2" t="s">
        <v>594</v>
      </c>
      <c r="D3276" s="2" t="str">
        <f t="shared" si="50"/>
        <v>Error?</v>
      </c>
    </row>
    <row r="3277" spans="1:4" x14ac:dyDescent="0.2">
      <c r="A3277" s="5">
        <v>3216</v>
      </c>
      <c r="B3277" s="138">
        <f>'Acct Summary 7-8'!E77</f>
        <v>-2743</v>
      </c>
      <c r="C3277" s="2" t="s">
        <v>594</v>
      </c>
      <c r="D3277" s="2" t="str">
        <f t="shared" si="50"/>
        <v>Error?</v>
      </c>
    </row>
    <row r="3278" spans="1:4" x14ac:dyDescent="0.2">
      <c r="A3278" s="5">
        <v>3217</v>
      </c>
      <c r="B3278" s="138">
        <f>'Acct Summary 7-8'!E78</f>
        <v>-20772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1357</v>
      </c>
      <c r="C3318" s="2" t="s">
        <v>594</v>
      </c>
      <c r="D3318" s="2" t="str">
        <f t="shared" si="50"/>
        <v>Error?</v>
      </c>
    </row>
    <row r="3319" spans="1:4" x14ac:dyDescent="0.2">
      <c r="A3319" s="5">
        <v>3258</v>
      </c>
      <c r="B3319" s="138">
        <f>'Acct Summary 7-8'!I77</f>
        <v>-1357</v>
      </c>
      <c r="C3319" s="2" t="s">
        <v>594</v>
      </c>
      <c r="D3319" s="2" t="str">
        <f t="shared" si="50"/>
        <v>Error?</v>
      </c>
    </row>
    <row r="3320" spans="1:4" x14ac:dyDescent="0.2">
      <c r="A3320" s="5">
        <v>3259</v>
      </c>
      <c r="B3320" s="138">
        <f>'Acct Summary 7-8'!I78</f>
        <v>33550</v>
      </c>
      <c r="C3320" s="2" t="s">
        <v>594</v>
      </c>
      <c r="D3320" s="2" t="str">
        <f t="shared" si="50"/>
        <v>Error?</v>
      </c>
    </row>
    <row r="3321" spans="1:4" x14ac:dyDescent="0.2">
      <c r="A3321" s="5">
        <v>3260</v>
      </c>
      <c r="B3321" s="138">
        <f>'Acct Summary 7-8'!I79</f>
        <v>324364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357914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761116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140142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446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2073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903957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41376</v>
      </c>
      <c r="D3387" s="2" t="str">
        <f t="shared" si="51"/>
        <v>Error?</v>
      </c>
    </row>
    <row r="3388" spans="1:4" x14ac:dyDescent="0.2">
      <c r="A3388" s="5">
        <v>3327</v>
      </c>
      <c r="B3388" s="138">
        <f>'Expenditures 15-22'!D217</f>
        <v>48455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41376</v>
      </c>
      <c r="C3390" s="2" t="s">
        <v>594</v>
      </c>
      <c r="D3390" s="2" t="str">
        <f t="shared" si="51"/>
        <v>Error?</v>
      </c>
    </row>
    <row r="3391" spans="1:4" x14ac:dyDescent="0.2">
      <c r="A3391" s="5">
        <v>3330</v>
      </c>
      <c r="B3391" s="138">
        <f>'Expenditures 15-22'!K217</f>
        <v>48455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6610798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740508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569139</v>
      </c>
      <c r="D3417" s="2" t="str">
        <f t="shared" si="52"/>
        <v>Error?</v>
      </c>
    </row>
    <row r="3418" spans="1:4" x14ac:dyDescent="0.2">
      <c r="A3418" s="10">
        <v>3357</v>
      </c>
      <c r="D3418" s="2" t="str">
        <f t="shared" si="52"/>
        <v>OK</v>
      </c>
    </row>
    <row r="3419" spans="1:4" x14ac:dyDescent="0.2">
      <c r="A3419" s="5">
        <v>3358</v>
      </c>
      <c r="B3419" s="138">
        <f>'Assets-Liab 5-6'!F4</f>
        <v>132076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184716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357914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91293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178933</v>
      </c>
      <c r="C3446" s="2" t="s">
        <v>594</v>
      </c>
      <c r="D3446" s="2" t="str">
        <f t="shared" si="52"/>
        <v>Error?</v>
      </c>
    </row>
    <row r="3447" spans="1:4" x14ac:dyDescent="0.2">
      <c r="A3447" s="5">
        <v>3386</v>
      </c>
      <c r="B3447" s="138">
        <f>'Tax Sched 23'!D16</f>
        <v>94673</v>
      </c>
      <c r="C3447" s="2" t="s">
        <v>594</v>
      </c>
      <c r="D3447" s="2" t="str">
        <f t="shared" si="52"/>
        <v>Error?</v>
      </c>
    </row>
    <row r="3448" spans="1:4" x14ac:dyDescent="0.2">
      <c r="A3448" s="5">
        <v>3387</v>
      </c>
      <c r="B3448" s="138">
        <f>'Tax Sched 23'!C16</f>
        <v>84260</v>
      </c>
      <c r="D3448" s="2" t="str">
        <f t="shared" si="52"/>
        <v>Error?</v>
      </c>
    </row>
    <row r="3449" spans="1:4" x14ac:dyDescent="0.2">
      <c r="A3449" s="5">
        <v>3388</v>
      </c>
      <c r="B3449" s="138">
        <f>'Tax Sched 23'!F16</f>
        <v>76489</v>
      </c>
      <c r="C3449" s="2" t="s">
        <v>594</v>
      </c>
      <c r="D3449" s="2" t="str">
        <f t="shared" si="52"/>
        <v>Error?</v>
      </c>
    </row>
    <row r="3450" spans="1:4" x14ac:dyDescent="0.2">
      <c r="A3450" s="5">
        <v>3389</v>
      </c>
      <c r="B3450" s="138">
        <f>'Tax Sched 23'!E16</f>
        <v>160749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199097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199097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199097</v>
      </c>
      <c r="D3567" s="2" t="str">
        <f t="shared" si="54"/>
        <v>Error?</v>
      </c>
    </row>
    <row r="3568" spans="1:4" x14ac:dyDescent="0.2">
      <c r="A3568" s="5">
        <v>3507</v>
      </c>
      <c r="B3568" s="138">
        <f>'Assets-Liab 5-6'!K41</f>
        <v>199097</v>
      </c>
      <c r="C3568" s="2" t="s">
        <v>594</v>
      </c>
      <c r="D3568" s="2" t="str">
        <f t="shared" si="54"/>
        <v>Error?</v>
      </c>
    </row>
    <row r="3569" spans="1:4" x14ac:dyDescent="0.2">
      <c r="A3569" s="5">
        <v>3508</v>
      </c>
      <c r="B3569" s="138">
        <f>'Acct Summary 7-8'!K4</f>
        <v>41008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41008</v>
      </c>
      <c r="C3571" s="2" t="s">
        <v>594</v>
      </c>
      <c r="D3571" s="2" t="str">
        <f t="shared" si="54"/>
        <v>Error?</v>
      </c>
    </row>
    <row r="3572" spans="1:4" x14ac:dyDescent="0.2">
      <c r="A3572" s="5">
        <v>3511</v>
      </c>
      <c r="B3572" s="138">
        <f>'Acct Summary 7-8'!K13</f>
        <v>46591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46591</v>
      </c>
      <c r="C3575" s="2" t="s">
        <v>594</v>
      </c>
      <c r="D3575" s="2" t="str">
        <f t="shared" si="54"/>
        <v>Error?</v>
      </c>
    </row>
    <row r="3576" spans="1:4" x14ac:dyDescent="0.2">
      <c r="A3576" s="5">
        <v>3515</v>
      </c>
      <c r="B3576" s="138">
        <f>'Acct Summary 7-8'!K20</f>
        <v>-5583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-5583</v>
      </c>
      <c r="C3588" s="2" t="s">
        <v>594</v>
      </c>
      <c r="D3588" s="2" t="str">
        <f t="shared" si="55"/>
        <v>Error?</v>
      </c>
    </row>
    <row r="3589" spans="1:4" x14ac:dyDescent="0.2">
      <c r="A3589" s="5">
        <v>3528</v>
      </c>
      <c r="B3589" s="138">
        <f>'Acct Summary 7-8'!K79</f>
        <v>204680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199097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250</v>
      </c>
      <c r="D3632" s="2" t="str">
        <f t="shared" si="55"/>
        <v>Error?</v>
      </c>
    </row>
    <row r="3633" spans="1:4" x14ac:dyDescent="0.2">
      <c r="A3633" s="5">
        <v>3572</v>
      </c>
      <c r="B3633" s="138">
        <f>'Expenditures 15-22'!E350</f>
        <v>250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250</v>
      </c>
      <c r="C3635" s="2" t="s">
        <v>594</v>
      </c>
      <c r="D3635" s="2" t="str">
        <f t="shared" si="55"/>
        <v>Error?</v>
      </c>
    </row>
    <row r="3636" spans="1:4" x14ac:dyDescent="0.2">
      <c r="A3636" s="5">
        <v>3575</v>
      </c>
      <c r="B3636" s="138">
        <f>'Expenditures 15-22'!E367</f>
        <v>250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46341</v>
      </c>
      <c r="D3646" s="2" t="str">
        <f t="shared" si="55"/>
        <v>Error?</v>
      </c>
    </row>
    <row r="3647" spans="1:4" x14ac:dyDescent="0.2">
      <c r="A3647" s="5">
        <v>3586</v>
      </c>
      <c r="B3647" s="138">
        <f>'Expenditures 15-22'!G350</f>
        <v>46341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46341</v>
      </c>
      <c r="C3649" s="2" t="s">
        <v>594</v>
      </c>
      <c r="D3649" s="2" t="str">
        <f t="shared" si="56"/>
        <v>Error?</v>
      </c>
    </row>
    <row r="3650" spans="1:4" x14ac:dyDescent="0.2">
      <c r="A3650" s="5">
        <v>3589</v>
      </c>
      <c r="B3650" s="138">
        <f>'Expenditures 15-22'!G367</f>
        <v>46341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46591</v>
      </c>
      <c r="C3669" s="2" t="s">
        <v>594</v>
      </c>
      <c r="D3669" s="2" t="str">
        <f t="shared" si="56"/>
        <v>Error?</v>
      </c>
    </row>
    <row r="3670" spans="1:4" x14ac:dyDescent="0.2">
      <c r="A3670" s="5">
        <v>3609</v>
      </c>
      <c r="B3670" s="138">
        <f>'Expenditures 15-22'!K350</f>
        <v>46591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46591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46591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-5583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43373</v>
      </c>
      <c r="C3725" s="2" t="s">
        <v>594</v>
      </c>
      <c r="D3725" s="2" t="str">
        <f t="shared" si="57"/>
        <v>Error?</v>
      </c>
    </row>
    <row r="3726" spans="1:4" x14ac:dyDescent="0.2">
      <c r="A3726" s="5">
        <v>3665</v>
      </c>
      <c r="B3726" s="138">
        <f>'Tax Sched 23'!D13</f>
        <v>19780</v>
      </c>
      <c r="C3726" s="2" t="s">
        <v>594</v>
      </c>
      <c r="D3726" s="2" t="str">
        <f t="shared" si="57"/>
        <v>Error?</v>
      </c>
    </row>
    <row r="3727" spans="1:4" x14ac:dyDescent="0.2">
      <c r="A3727" s="5">
        <v>3666</v>
      </c>
      <c r="B3727" s="138">
        <f>'Tax Sched 23'!C13</f>
        <v>23593</v>
      </c>
      <c r="D3727" s="2" t="str">
        <f t="shared" si="57"/>
        <v>Error?</v>
      </c>
    </row>
    <row r="3728" spans="1:4" x14ac:dyDescent="0.2">
      <c r="A3728" s="5">
        <v>3667</v>
      </c>
      <c r="B3728" s="138">
        <f>'Tax Sched 23'!F13</f>
        <v>21420</v>
      </c>
      <c r="C3728" s="2" t="s">
        <v>594</v>
      </c>
      <c r="D3728" s="2" t="str">
        <f t="shared" si="57"/>
        <v>Error?</v>
      </c>
    </row>
    <row r="3729" spans="1:4" x14ac:dyDescent="0.2">
      <c r="A3729" s="5">
        <v>3668</v>
      </c>
      <c r="B3729" s="138">
        <f>'Tax Sched 23'!E13</f>
        <v>45013</v>
      </c>
      <c r="D3729" s="2" t="str">
        <f t="shared" si="57"/>
        <v>Error?</v>
      </c>
    </row>
    <row r="3730" spans="1:4" x14ac:dyDescent="0.2">
      <c r="A3730" s="5">
        <v>3669</v>
      </c>
      <c r="B3730" s="138">
        <f>'ICR Computation 30'!E10</f>
        <v>387553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497664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9726926</v>
      </c>
      <c r="C4122" s="2" t="s">
        <v>594</v>
      </c>
      <c r="D4122" s="2" t="str">
        <f t="shared" si="63"/>
        <v>Error?</v>
      </c>
    </row>
    <row r="4123" spans="1:4" x14ac:dyDescent="0.2">
      <c r="A4123" s="5">
        <v>4062</v>
      </c>
      <c r="B4123" s="138">
        <f>'Acct Summary 7-8'!D10</f>
        <v>1250967</v>
      </c>
      <c r="C4123" s="2" t="s">
        <v>594</v>
      </c>
      <c r="D4123" s="2" t="str">
        <f t="shared" si="63"/>
        <v>Error?</v>
      </c>
    </row>
    <row r="4124" spans="1:4" x14ac:dyDescent="0.2">
      <c r="A4124" s="5">
        <v>4063</v>
      </c>
      <c r="B4124" s="138">
        <f>'Acct Summary 7-8'!E10</f>
        <v>1010732</v>
      </c>
      <c r="C4124" s="2" t="s">
        <v>594</v>
      </c>
      <c r="D4124" s="2" t="str">
        <f t="shared" si="63"/>
        <v>Error?</v>
      </c>
    </row>
    <row r="4125" spans="1:4" x14ac:dyDescent="0.2">
      <c r="A4125" s="5">
        <v>4064</v>
      </c>
      <c r="B4125" s="138">
        <f>'Acct Summary 7-8'!F10</f>
        <v>530014</v>
      </c>
      <c r="C4125" s="2" t="s">
        <v>594</v>
      </c>
      <c r="D4125" s="2" t="str">
        <f t="shared" si="63"/>
        <v>Error?</v>
      </c>
    </row>
    <row r="4126" spans="1:4" x14ac:dyDescent="0.2">
      <c r="A4126" s="5">
        <v>4065</v>
      </c>
      <c r="B4126" s="138">
        <f>'Acct Summary 7-8'!G10</f>
        <v>282460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34907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41008</v>
      </c>
      <c r="C4130" s="2" t="s">
        <v>594</v>
      </c>
      <c r="D4130" s="2" t="str">
        <f t="shared" si="63"/>
        <v>Error?</v>
      </c>
    </row>
    <row r="4131" spans="1:4" x14ac:dyDescent="0.2">
      <c r="A4131" s="5">
        <v>4070</v>
      </c>
      <c r="B4131" s="138">
        <f>'Acct Summary 7-8'!C18</f>
        <v>497664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8815476</v>
      </c>
      <c r="C4136" s="2" t="s">
        <v>594</v>
      </c>
      <c r="D4136" s="2" t="str">
        <f t="shared" si="63"/>
        <v>Error?</v>
      </c>
    </row>
    <row r="4137" spans="1:4" x14ac:dyDescent="0.2">
      <c r="A4137" s="5">
        <v>4076</v>
      </c>
      <c r="B4137" s="138">
        <f>'Acct Summary 7-8'!D19</f>
        <v>1212354</v>
      </c>
      <c r="C4137" s="2" t="s">
        <v>594</v>
      </c>
      <c r="D4137" s="2" t="str">
        <f t="shared" si="63"/>
        <v>Error?</v>
      </c>
    </row>
    <row r="4138" spans="1:4" x14ac:dyDescent="0.2">
      <c r="A4138" s="5">
        <v>4077</v>
      </c>
      <c r="B4138" s="138">
        <f>'Acct Summary 7-8'!E19</f>
        <v>1028761</v>
      </c>
      <c r="C4138" s="2" t="s">
        <v>594</v>
      </c>
      <c r="D4138" s="2" t="str">
        <f t="shared" si="63"/>
        <v>Error?</v>
      </c>
    </row>
    <row r="4139" spans="1:4" x14ac:dyDescent="0.2">
      <c r="A4139" s="5">
        <v>4078</v>
      </c>
      <c r="B4139" s="138">
        <f>'Acct Summary 7-8'!F19</f>
        <v>407525</v>
      </c>
      <c r="C4139" s="2" t="s">
        <v>594</v>
      </c>
      <c r="D4139" s="2" t="str">
        <f t="shared" si="63"/>
        <v>Error?</v>
      </c>
    </row>
    <row r="4140" spans="1:4" x14ac:dyDescent="0.2">
      <c r="A4140" s="5">
        <v>4079</v>
      </c>
      <c r="B4140" s="138">
        <f>'Acct Summary 7-8'!G19</f>
        <v>278248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46591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5662000</v>
      </c>
      <c r="C4171" s="2" t="s">
        <v>594</v>
      </c>
      <c r="D4171" s="2" t="str">
        <f t="shared" si="64"/>
        <v>Error?</v>
      </c>
    </row>
    <row r="4172" spans="1:4" x14ac:dyDescent="0.2">
      <c r="A4172" s="5">
        <v>4111</v>
      </c>
      <c r="B4172" s="138">
        <f>'Short-Term Long-Term Debt 24'!J49</f>
        <v>5092861</v>
      </c>
      <c r="C4172" s="2" t="s">
        <v>594</v>
      </c>
      <c r="D4172" s="2" t="str">
        <f t="shared" si="64"/>
        <v>Error?</v>
      </c>
    </row>
    <row r="4173" spans="1:4" x14ac:dyDescent="0.2">
      <c r="A4173" s="5">
        <v>4112</v>
      </c>
      <c r="B4173" s="138">
        <f>'Short-Term Long-Term Debt 24'!H49</f>
        <v>850000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3895.6</v>
      </c>
      <c r="C4265" s="2" t="s">
        <v>594</v>
      </c>
      <c r="D4265" s="2" t="str">
        <f t="shared" si="65"/>
        <v>Error?</v>
      </c>
      <c r="E4265" s="128"/>
    </row>
    <row r="4266" spans="1:5" x14ac:dyDescent="0.2">
      <c r="A4266" s="12">
        <v>4205</v>
      </c>
      <c r="B4266" s="138">
        <f>('FP Info 3'!F10)*100000</f>
        <v>601.69999999999993</v>
      </c>
      <c r="C4266" s="2" t="s">
        <v>594</v>
      </c>
      <c r="D4266" s="2" t="str">
        <f t="shared" si="65"/>
        <v>Error?</v>
      </c>
      <c r="E4266" s="128"/>
    </row>
    <row r="4267" spans="1:5" x14ac:dyDescent="0.2">
      <c r="A4267" s="12">
        <v>4206</v>
      </c>
      <c r="B4267" s="138">
        <f>('FP Info 3'!H10)*100000</f>
        <v>257.2</v>
      </c>
      <c r="C4267" s="2" t="s">
        <v>594</v>
      </c>
      <c r="D4267" s="2" t="str">
        <f t="shared" si="65"/>
        <v>Error?</v>
      </c>
      <c r="E4267" s="128"/>
    </row>
    <row r="4268" spans="1:5" x14ac:dyDescent="0.2">
      <c r="A4268" s="12">
        <v>4207</v>
      </c>
      <c r="B4268" s="138">
        <f>('FP Info 3'!J10)*100000</f>
        <v>4755</v>
      </c>
      <c r="C4268" s="2" t="s">
        <v>594</v>
      </c>
      <c r="D4268" s="2" t="str">
        <f t="shared" si="65"/>
        <v>Error?</v>
      </c>
    </row>
    <row r="4269" spans="1:5" x14ac:dyDescent="0.2">
      <c r="A4269" s="12">
        <v>4208</v>
      </c>
      <c r="B4269" s="138">
        <f>'FP Info 3'!J16</f>
        <v>7841296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16782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16866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14701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41694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45.9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20000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77005641</v>
      </c>
      <c r="D4995" s="2" t="str">
        <f t="shared" si="77"/>
        <v>Error?</v>
      </c>
    </row>
    <row r="4996" spans="1:4" x14ac:dyDescent="0.2">
      <c r="A4996" s="12">
        <v>4935</v>
      </c>
      <c r="B4996" s="138">
        <f>'FP Info 3'!H31</f>
        <v>10626778.458000001</v>
      </c>
      <c r="D4996" s="2" t="str">
        <f t="shared" si="77"/>
        <v>Error?</v>
      </c>
    </row>
    <row r="4997" spans="1:4" x14ac:dyDescent="0.2">
      <c r="A4997" s="12">
        <v>4936</v>
      </c>
      <c r="B4997" s="138">
        <f>'FP Info 3'!H37</f>
        <v>5662000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43373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2910342</v>
      </c>
      <c r="D5061" s="2" t="str">
        <f t="shared" si="78"/>
        <v>Error?</v>
      </c>
    </row>
    <row r="5062" spans="1:4" x14ac:dyDescent="0.2">
      <c r="A5062" s="10">
        <v>5001</v>
      </c>
      <c r="D5062" s="2" t="str">
        <f t="shared" si="78"/>
        <v>OK</v>
      </c>
    </row>
    <row r="5063" spans="1:4" x14ac:dyDescent="0.2">
      <c r="A5063" s="5">
        <v>5002</v>
      </c>
      <c r="B5063" s="138">
        <f>'Revenues 9-14'!C7</f>
        <v>41578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2995293</v>
      </c>
      <c r="C5066" s="2" t="s">
        <v>594</v>
      </c>
      <c r="D5066" s="2" t="str">
        <f t="shared" si="78"/>
        <v>Error?</v>
      </c>
    </row>
    <row r="5067" spans="1:4" x14ac:dyDescent="0.2">
      <c r="A5067" s="5">
        <v>5006</v>
      </c>
      <c r="B5067" s="138">
        <f>'Revenues 9-14'!C14</f>
        <v>6843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592797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599640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51675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51675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597</v>
      </c>
      <c r="D5094" s="2" t="str">
        <f t="shared" si="78"/>
        <v>Error?</v>
      </c>
    </row>
    <row r="5095" spans="1:4" x14ac:dyDescent="0.2">
      <c r="A5095" s="5">
        <v>5034</v>
      </c>
      <c r="B5095" s="138">
        <f>'Revenues 9-14'!C74</f>
        <v>8235</v>
      </c>
      <c r="D5095" s="2" t="str">
        <f t="shared" si="78"/>
        <v>Error?</v>
      </c>
    </row>
    <row r="5096" spans="1:4" x14ac:dyDescent="0.2">
      <c r="A5096" s="5">
        <v>5035</v>
      </c>
      <c r="B5096" s="138">
        <f>'Revenues 9-14'!C75</f>
        <v>9075</v>
      </c>
      <c r="C5096" s="2" t="s">
        <v>594</v>
      </c>
      <c r="D5096" s="2" t="str">
        <f t="shared" si="78"/>
        <v>Error?</v>
      </c>
    </row>
    <row r="5097" spans="1:4" x14ac:dyDescent="0.2">
      <c r="A5097" s="5">
        <v>5036</v>
      </c>
      <c r="B5097" s="138">
        <f>'Revenues 9-14'!C77</f>
        <v>13538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39254</v>
      </c>
      <c r="D5099" s="2" t="str">
        <f t="shared" si="78"/>
        <v>Error?</v>
      </c>
    </row>
    <row r="5100" spans="1:4" x14ac:dyDescent="0.2">
      <c r="A5100" s="5">
        <v>5039</v>
      </c>
      <c r="B5100" s="138">
        <f>'Revenues 9-14'!C80</f>
        <v>32</v>
      </c>
      <c r="D5100" s="2" t="str">
        <f t="shared" si="78"/>
        <v>Error?</v>
      </c>
    </row>
    <row r="5101" spans="1:4" x14ac:dyDescent="0.2">
      <c r="A5101" s="5">
        <v>5040</v>
      </c>
      <c r="B5101" s="138">
        <f>'Revenues 9-14'!C81</f>
        <v>150</v>
      </c>
      <c r="D5101" s="2" t="str">
        <f t="shared" si="78"/>
        <v>Error?</v>
      </c>
    </row>
    <row r="5102" spans="1:4" x14ac:dyDescent="0.2">
      <c r="A5102" s="5">
        <v>5041</v>
      </c>
      <c r="B5102" s="138">
        <f>'Revenues 9-14'!C82</f>
        <v>52974</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7400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645</v>
      </c>
      <c r="D5119" s="2" t="str">
        <f t="shared" ref="D5119:D5182" si="79">IF(ISBLANK(B5119),"OK",IF(A5119-B5119=0,"OK","Error?"))</f>
        <v>Error?</v>
      </c>
    </row>
    <row r="5120" spans="1:4" x14ac:dyDescent="0.2">
      <c r="A5120" s="5">
        <v>5059</v>
      </c>
      <c r="B5120" s="138">
        <f>'Revenues 9-14'!C108</f>
        <v>8045</v>
      </c>
      <c r="C5120" s="2" t="s">
        <v>594</v>
      </c>
      <c r="D5120" s="2" t="str">
        <f t="shared" si="79"/>
        <v>Error?</v>
      </c>
    </row>
    <row r="5121" spans="1:4" x14ac:dyDescent="0.2">
      <c r="A5121" s="5">
        <v>5060</v>
      </c>
      <c r="B5121" s="138">
        <f>'Revenues 9-14'!C109</f>
        <v>3716702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3633367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3633367</v>
      </c>
      <c r="C5132" s="2" t="s">
        <v>594</v>
      </c>
      <c r="D5132" s="2" t="str">
        <f t="shared" si="79"/>
        <v>Error?</v>
      </c>
    </row>
    <row r="5133" spans="1:4" x14ac:dyDescent="0.2">
      <c r="A5133" s="5">
        <v>5072</v>
      </c>
      <c r="B5133" s="138">
        <f>'Revenues 9-14'!C124</f>
        <v>198352</v>
      </c>
      <c r="D5133" s="2" t="str">
        <f t="shared" si="79"/>
        <v>Error?</v>
      </c>
    </row>
    <row r="5134" spans="1:4" x14ac:dyDescent="0.2">
      <c r="A5134" s="5">
        <v>5073</v>
      </c>
      <c r="B5134" s="138">
        <f>'Revenues 9-14'!C125</f>
        <v>70801</v>
      </c>
      <c r="D5134" s="2" t="str">
        <f t="shared" si="79"/>
        <v>Error?</v>
      </c>
    </row>
    <row r="5135" spans="1:4" x14ac:dyDescent="0.2">
      <c r="A5135" s="5">
        <v>5074</v>
      </c>
      <c r="B5135" s="138">
        <f>'Revenues 9-14'!C126</f>
        <v>70026</v>
      </c>
      <c r="D5135" s="2" t="str">
        <f t="shared" si="79"/>
        <v>Error?</v>
      </c>
    </row>
    <row r="5136" spans="1:4" x14ac:dyDescent="0.2">
      <c r="A5136" s="10">
        <v>5075</v>
      </c>
      <c r="D5136" s="2" t="str">
        <f t="shared" si="79"/>
        <v>OK</v>
      </c>
    </row>
    <row r="5137" spans="1:4" x14ac:dyDescent="0.2">
      <c r="A5137" s="5">
        <v>5076</v>
      </c>
      <c r="B5137" s="138">
        <f>'Revenues 9-14'!C127</f>
        <v>11230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2342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352751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2143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2143</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6397</v>
      </c>
      <c r="D5167" s="2" t="str">
        <f t="shared" si="79"/>
        <v>Error?</v>
      </c>
    </row>
    <row r="5168" spans="1:4" x14ac:dyDescent="0.2">
      <c r="A5168" s="5">
        <v>5107</v>
      </c>
      <c r="B5168" s="138">
        <f>'Revenues 9-14'!C147</f>
        <v>343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306850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688484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4321851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292598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94955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387553</v>
      </c>
      <c r="C5246" s="2" t="s">
        <v>594</v>
      </c>
      <c r="D5246" s="2" t="str">
        <f t="shared" si="80"/>
        <v>Error?</v>
      </c>
    </row>
    <row r="5247" spans="1:4" x14ac:dyDescent="0.2">
      <c r="A5247" s="5">
        <v>5186</v>
      </c>
      <c r="B5247" s="138">
        <f>'Revenues 9-14'!C203</f>
        <v>424704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14701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424704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14031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274378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288409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1190709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1190709</v>
      </c>
      <c r="C5326" s="2" t="s">
        <v>594</v>
      </c>
      <c r="D5326" s="2" t="str">
        <f t="shared" si="82"/>
        <v>Error?</v>
      </c>
    </row>
    <row r="5327" spans="1:4" x14ac:dyDescent="0.2">
      <c r="A5327" s="5">
        <v>5266</v>
      </c>
      <c r="B5327" s="138">
        <f>'Revenues 9-14'!C275</f>
        <v>9229262</v>
      </c>
      <c r="C5327" s="2" t="s">
        <v>594</v>
      </c>
      <c r="D5327" s="2" t="str">
        <f t="shared" si="82"/>
        <v>Error?</v>
      </c>
    </row>
    <row r="5328" spans="1:4" x14ac:dyDescent="0.2">
      <c r="A5328" s="5">
        <v>5267</v>
      </c>
      <c r="B5328" s="138">
        <f>'Revenues 9-14'!D5</f>
        <v>451944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451944</v>
      </c>
      <c r="C5334" s="2" t="s">
        <v>594</v>
      </c>
      <c r="D5334" s="2" t="str">
        <f t="shared" si="82"/>
        <v>Error?</v>
      </c>
    </row>
    <row r="5335" spans="1:4" x14ac:dyDescent="0.2">
      <c r="A5335" s="5">
        <v>5274</v>
      </c>
      <c r="B5335" s="138">
        <f>'Revenues 9-14'!D14</f>
        <v>1041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1041</v>
      </c>
      <c r="C5339" s="2" t="s">
        <v>594</v>
      </c>
      <c r="D5339" s="2" t="str">
        <f t="shared" si="82"/>
        <v>Error?</v>
      </c>
    </row>
    <row r="5340" spans="1:4" x14ac:dyDescent="0.2">
      <c r="A5340" s="5">
        <v>5279</v>
      </c>
      <c r="B5340" s="138">
        <f>'Revenues 9-14'!D65</f>
        <v>5221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5221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1640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1640</v>
      </c>
      <c r="C5355" s="2" t="s">
        <v>594</v>
      </c>
      <c r="D5355" s="2" t="str">
        <f t="shared" si="82"/>
        <v>Error?</v>
      </c>
    </row>
    <row r="5356" spans="1:4" x14ac:dyDescent="0.2">
      <c r="A5356" s="5">
        <v>5295</v>
      </c>
      <c r="B5356" s="138">
        <f>'Revenues 9-14'!D109</f>
        <v>459846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791121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791121</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791121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1250967</v>
      </c>
      <c r="C5508" s="2" t="s">
        <v>594</v>
      </c>
      <c r="D5508" s="2" t="str">
        <f t="shared" si="85"/>
        <v>Error?</v>
      </c>
    </row>
    <row r="5509" spans="1:4" x14ac:dyDescent="0.2">
      <c r="A5509" s="5">
        <v>5448</v>
      </c>
      <c r="B5509" s="138">
        <f>'Revenues 9-14'!E5</f>
        <v>1005677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1005677</v>
      </c>
      <c r="C5513" s="2" t="s">
        <v>594</v>
      </c>
      <c r="D5513" s="2" t="str">
        <f t="shared" si="85"/>
        <v>Error?</v>
      </c>
    </row>
    <row r="5514" spans="1:4" x14ac:dyDescent="0.2">
      <c r="A5514" s="5">
        <v>5453</v>
      </c>
      <c r="B5514" s="138">
        <f>'Revenues 9-14'!E14</f>
        <v>2312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2312</v>
      </c>
      <c r="C5518" s="2" t="s">
        <v>594</v>
      </c>
      <c r="D5518" s="2" t="str">
        <f t="shared" si="85"/>
        <v>Error?</v>
      </c>
    </row>
    <row r="5519" spans="1:4" x14ac:dyDescent="0.2">
      <c r="A5519" s="5">
        <v>5458</v>
      </c>
      <c r="B5519" s="138">
        <f>'Revenues 9-14'!E65</f>
        <v>2743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2743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1010732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1010732</v>
      </c>
      <c r="C5552" s="2" t="s">
        <v>594</v>
      </c>
      <c r="D5552" s="2" t="str">
        <f t="shared" si="85"/>
        <v>Error?</v>
      </c>
    </row>
    <row r="5553" spans="1:4" x14ac:dyDescent="0.2">
      <c r="A5553" s="5">
        <v>5492</v>
      </c>
      <c r="B5553" s="138">
        <f>'Revenues 9-14'!F5</f>
        <v>187924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187924</v>
      </c>
      <c r="C5557" s="2" t="s">
        <v>594</v>
      </c>
      <c r="D5557" s="2" t="str">
        <f t="shared" si="85"/>
        <v>Error?</v>
      </c>
    </row>
    <row r="5558" spans="1:4" x14ac:dyDescent="0.2">
      <c r="A5558" s="5">
        <v>5497</v>
      </c>
      <c r="B5558" s="138">
        <f>'Revenues 9-14'!F14</f>
        <v>419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419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188529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206081</v>
      </c>
      <c r="D5615" s="2" t="str">
        <f t="shared" si="86"/>
        <v>Error?</v>
      </c>
    </row>
    <row r="5616" spans="1:4" x14ac:dyDescent="0.2">
      <c r="A5616" s="10">
        <v>5555</v>
      </c>
      <c r="D5616" s="2" t="str">
        <f t="shared" si="86"/>
        <v>OK</v>
      </c>
    </row>
    <row r="5617" spans="1:4" x14ac:dyDescent="0.2">
      <c r="A5617" s="5">
        <v>5556</v>
      </c>
      <c r="B5617" s="138">
        <f>'Revenues 9-14'!F152</f>
        <v>111404</v>
      </c>
      <c r="D5617" s="2" t="str">
        <f t="shared" si="86"/>
        <v>Error?</v>
      </c>
    </row>
    <row r="5618" spans="1:4" x14ac:dyDescent="0.2">
      <c r="A5618" s="5">
        <v>5557</v>
      </c>
      <c r="B5618" s="138">
        <f>'Revenues 9-14'!F154</f>
        <v>317485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24000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341485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341485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530014</v>
      </c>
      <c r="C5720" s="2" t="s">
        <v>594</v>
      </c>
      <c r="D5720" s="2" t="str">
        <f t="shared" si="88"/>
        <v>Error?</v>
      </c>
    </row>
    <row r="5721" spans="1:4" x14ac:dyDescent="0.2">
      <c r="A5721" s="5">
        <v>5660</v>
      </c>
      <c r="B5721" s="138">
        <f>'Revenues 9-14'!G5</f>
        <v>38933</v>
      </c>
      <c r="D5721" s="2" t="str">
        <f t="shared" si="88"/>
        <v>Error?</v>
      </c>
    </row>
    <row r="5722" spans="1:4" x14ac:dyDescent="0.2">
      <c r="A5722" s="5">
        <v>5661</v>
      </c>
      <c r="B5722" s="138">
        <f>'Revenues 9-14'!G7</f>
        <v>0</v>
      </c>
      <c r="D5722" s="2" t="str">
        <f t="shared" si="88"/>
        <v>Error?</v>
      </c>
    </row>
    <row r="5723" spans="1:4" x14ac:dyDescent="0.2">
      <c r="A5723" s="5">
        <v>5662</v>
      </c>
      <c r="B5723" s="138">
        <f>'Revenues 9-14'!G8</f>
        <v>178933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217866</v>
      </c>
      <c r="C5725" s="2" t="s">
        <v>594</v>
      </c>
      <c r="D5725" s="2" t="str">
        <f t="shared" si="88"/>
        <v>Error?</v>
      </c>
    </row>
    <row r="5726" spans="1:4" x14ac:dyDescent="0.2">
      <c r="A5726" s="5">
        <v>5665</v>
      </c>
      <c r="B5726" s="138">
        <f>'Revenues 9-14'!G14</f>
        <v>481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63466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63947</v>
      </c>
      <c r="C5730" s="2" t="s">
        <v>594</v>
      </c>
      <c r="D5730" s="2" t="str">
        <f t="shared" si="88"/>
        <v>Error?</v>
      </c>
    </row>
    <row r="5731" spans="1:4" x14ac:dyDescent="0.2">
      <c r="A5731" s="5">
        <v>5670</v>
      </c>
      <c r="B5731" s="138">
        <f>'Revenues 9-14'!G65</f>
        <v>647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282460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31879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31879</v>
      </c>
      <c r="C5918" s="2" t="s">
        <v>594</v>
      </c>
      <c r="D5918" s="2" t="str">
        <f t="shared" si="91"/>
        <v>Error?</v>
      </c>
    </row>
    <row r="5919" spans="1:4" x14ac:dyDescent="0.2">
      <c r="A5919" s="5">
        <v>5858</v>
      </c>
      <c r="B5919" s="138">
        <f>'Revenues 9-14'!I14</f>
        <v>67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67</v>
      </c>
      <c r="C5923" s="2" t="s">
        <v>594</v>
      </c>
      <c r="D5923" s="2" t="str">
        <f t="shared" si="91"/>
        <v>Error?</v>
      </c>
    </row>
    <row r="5924" spans="1:4" x14ac:dyDescent="0.2">
      <c r="A5924" s="5">
        <v>5863</v>
      </c>
      <c r="B5924" s="138">
        <f>'Revenues 9-14'!I65</f>
        <v>2961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2961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34907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39266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39266</v>
      </c>
      <c r="C5987" s="2" t="s">
        <v>594</v>
      </c>
      <c r="D5987" s="2" t="str">
        <f t="shared" si="92"/>
        <v>Error?</v>
      </c>
    </row>
    <row r="5988" spans="1:4" x14ac:dyDescent="0.2">
      <c r="A5988" s="5">
        <v>5927</v>
      </c>
      <c r="B5988" s="138">
        <f>'Revenues 9-14'!K14</f>
        <v>95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95</v>
      </c>
      <c r="C5992" s="2" t="s">
        <v>594</v>
      </c>
      <c r="D5992" s="2" t="str">
        <f t="shared" si="92"/>
        <v>Error?</v>
      </c>
    </row>
    <row r="5993" spans="1:4" x14ac:dyDescent="0.2">
      <c r="A5993" s="5">
        <v>5932</v>
      </c>
      <c r="B5993" s="138">
        <f>'Revenues 9-14'!K65</f>
        <v>1647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1647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41008</v>
      </c>
      <c r="C6023" s="2" t="s">
        <v>594</v>
      </c>
      <c r="D6023" s="2" t="str">
        <f t="shared" si="93"/>
        <v>Error?</v>
      </c>
    </row>
    <row r="6024" spans="1:5" x14ac:dyDescent="0.2">
      <c r="A6024" s="5">
        <v>5963</v>
      </c>
      <c r="B6024" s="138">
        <f>'Revenues 9-14'!G109</f>
        <v>282460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34907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41008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47223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875.63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276102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276102</v>
      </c>
      <c r="D6215" s="2" t="str">
        <f t="shared" si="96"/>
        <v>Error?</v>
      </c>
      <c r="E6215" s="2" t="s">
        <v>199</v>
      </c>
    </row>
    <row r="6216" spans="1:5" x14ac:dyDescent="0.2">
      <c r="A6216">
        <v>6155</v>
      </c>
      <c r="B6216" s="138">
        <f>'Assets-Liab 5-6'!J41</f>
        <v>276102</v>
      </c>
      <c r="D6216" s="2" t="str">
        <f t="shared" si="96"/>
        <v>Error?</v>
      </c>
      <c r="E6216" s="2" t="s">
        <v>199</v>
      </c>
    </row>
    <row r="6217" spans="1:5" x14ac:dyDescent="0.2">
      <c r="A6217">
        <v>6156</v>
      </c>
      <c r="B6217" s="138">
        <f>'Assets-Liab 5-6'!J4</f>
        <v>276102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172828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172828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172828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148473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148473</v>
      </c>
      <c r="D6229" s="2" t="str">
        <f t="shared" si="96"/>
        <v>Error?</v>
      </c>
      <c r="E6229" s="2" t="s">
        <v>199</v>
      </c>
    </row>
    <row r="6230" spans="1:5" x14ac:dyDescent="0.2">
      <c r="A6230">
        <v>6169</v>
      </c>
      <c r="B6230" s="138">
        <f>'Acct Summary 7-8'!J20</f>
        <v>24355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24355</v>
      </c>
      <c r="D6263" s="2" t="str">
        <f t="shared" si="96"/>
        <v>Error?</v>
      </c>
      <c r="E6263" s="2" t="s">
        <v>199</v>
      </c>
    </row>
    <row r="6264" spans="1:5" x14ac:dyDescent="0.2">
      <c r="A6264">
        <v>6203</v>
      </c>
      <c r="B6264" s="138">
        <f>'Acct Summary 7-8'!J79</f>
        <v>251747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276102</v>
      </c>
      <c r="D6266" s="2" t="str">
        <f t="shared" si="96"/>
        <v>Error?</v>
      </c>
      <c r="E6266" s="2" t="s">
        <v>199</v>
      </c>
    </row>
    <row r="6267" spans="1:5" x14ac:dyDescent="0.2">
      <c r="A6267">
        <v>6206</v>
      </c>
      <c r="B6267" s="138">
        <f>'Acct Summary 7-8'!C82</f>
        <v>914193</v>
      </c>
      <c r="D6267" s="2" t="str">
        <f t="shared" si="96"/>
        <v>Error?</v>
      </c>
      <c r="E6267" s="2" t="s">
        <v>199</v>
      </c>
    </row>
    <row r="6268" spans="1:5" x14ac:dyDescent="0.2">
      <c r="A6268">
        <v>6207</v>
      </c>
      <c r="B6268" s="138">
        <f>'Acct Summary 7-8'!D82</f>
        <v>39970</v>
      </c>
      <c r="D6268" s="2" t="str">
        <f t="shared" si="96"/>
        <v>Error?</v>
      </c>
      <c r="E6268" s="2" t="s">
        <v>199</v>
      </c>
    </row>
    <row r="6269" spans="1:5" x14ac:dyDescent="0.2">
      <c r="A6269">
        <v>6208</v>
      </c>
      <c r="B6269" s="138">
        <f>'Acct Summary 7-8'!E82</f>
        <v>-20772</v>
      </c>
      <c r="D6269" s="2" t="str">
        <f t="shared" si="96"/>
        <v>Error?</v>
      </c>
      <c r="E6269" s="2" t="s">
        <v>199</v>
      </c>
    </row>
    <row r="6270" spans="1:5" x14ac:dyDescent="0.2">
      <c r="A6270">
        <v>6209</v>
      </c>
      <c r="B6270" s="138">
        <f>'Acct Summary 7-8'!F82</f>
        <v>122489</v>
      </c>
      <c r="D6270" s="2" t="str">
        <f t="shared" si="96"/>
        <v>Error?</v>
      </c>
      <c r="E6270" s="2" t="s">
        <v>199</v>
      </c>
    </row>
    <row r="6271" spans="1:5" x14ac:dyDescent="0.2">
      <c r="A6271">
        <v>6210</v>
      </c>
      <c r="B6271" s="138">
        <f>'Acct Summary 7-8'!G82</f>
        <v>4212</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33550</v>
      </c>
      <c r="D6273" s="2" t="str">
        <f t="shared" si="97"/>
        <v>Error?</v>
      </c>
      <c r="E6273" s="2" t="s">
        <v>199</v>
      </c>
    </row>
    <row r="6274" spans="1:5" x14ac:dyDescent="0.2">
      <c r="A6274">
        <v>6213</v>
      </c>
      <c r="B6274" s="138">
        <f>'Acct Summary 7-8'!J82</f>
        <v>24355</v>
      </c>
      <c r="D6274" s="2" t="str">
        <f t="shared" si="97"/>
        <v>Error?</v>
      </c>
      <c r="E6274" s="2" t="s">
        <v>199</v>
      </c>
    </row>
    <row r="6275" spans="1:5" x14ac:dyDescent="0.2">
      <c r="A6275">
        <v>6214</v>
      </c>
      <c r="B6275" s="138">
        <f>'Acct Summary 7-8'!K82</f>
        <v>-5583</v>
      </c>
      <c r="D6275" s="2" t="str">
        <f t="shared" si="97"/>
        <v>Error?</v>
      </c>
      <c r="E6275" s="2" t="s">
        <v>199</v>
      </c>
    </row>
    <row r="6276" spans="1:5" x14ac:dyDescent="0.2">
      <c r="A6276">
        <v>6215</v>
      </c>
      <c r="B6276" s="138">
        <f>'Acct Summary 7-8'!C83</f>
        <v>0.13828784361585394</v>
      </c>
      <c r="D6276" s="2" t="str">
        <f t="shared" si="97"/>
        <v>Error?</v>
      </c>
      <c r="E6276" s="2" t="s">
        <v>199</v>
      </c>
    </row>
    <row r="6277" spans="1:5" x14ac:dyDescent="0.2">
      <c r="A6277">
        <v>6216</v>
      </c>
      <c r="B6277" s="138">
        <f>'Acct Summary 7-8'!D83</f>
        <v>5.3976459403544591E-2</v>
      </c>
      <c r="D6277" s="2" t="str">
        <f t="shared" si="97"/>
        <v>Error?</v>
      </c>
      <c r="E6277" s="2" t="s">
        <v>199</v>
      </c>
    </row>
    <row r="6278" spans="1:5" x14ac:dyDescent="0.2">
      <c r="A6278">
        <v>6217</v>
      </c>
      <c r="B6278" s="138">
        <f>'Acct Summary 7-8'!E83</f>
        <v>-3.6497235297528373E-2</v>
      </c>
      <c r="D6278" s="2" t="str">
        <f t="shared" si="97"/>
        <v>Error?</v>
      </c>
      <c r="E6278" s="2" t="s">
        <v>199</v>
      </c>
    </row>
    <row r="6279" spans="1:5" x14ac:dyDescent="0.2">
      <c r="A6279">
        <v>6218</v>
      </c>
      <c r="B6279" s="138">
        <f>'Acct Summary 7-8'!F83</f>
        <v>0.9274130046336958</v>
      </c>
      <c r="D6279" s="2" t="str">
        <f t="shared" si="97"/>
        <v>Error?</v>
      </c>
      <c r="E6279" s="2" t="s">
        <v>199</v>
      </c>
    </row>
    <row r="6280" spans="1:5" x14ac:dyDescent="0.2">
      <c r="A6280">
        <v>6219</v>
      </c>
      <c r="B6280" s="138">
        <f>'Acct Summary 7-8'!G83</f>
        <v>2.2802572597934126E-2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9.3737601770257653E-2</v>
      </c>
      <c r="D6282" s="2" t="str">
        <f t="shared" si="97"/>
        <v>Error?</v>
      </c>
      <c r="E6282" s="2" t="s">
        <v>199</v>
      </c>
    </row>
    <row r="6283" spans="1:5" x14ac:dyDescent="0.2">
      <c r="A6283">
        <v>6222</v>
      </c>
      <c r="B6283" s="138">
        <f>'Acct Summary 7-8'!J83</f>
        <v>8.8210154218368572E-2</v>
      </c>
      <c r="D6283" s="2" t="str">
        <f t="shared" si="97"/>
        <v>Error?</v>
      </c>
      <c r="E6283" s="2" t="s">
        <v>199</v>
      </c>
    </row>
    <row r="6284" spans="1:5" x14ac:dyDescent="0.2">
      <c r="A6284">
        <v>6223</v>
      </c>
      <c r="B6284" s="138">
        <f>'Acct Summary 7-8'!K83</f>
        <v>-2.8041607859485576E-2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156487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156487</v>
      </c>
      <c r="D6301" s="2" t="str">
        <f t="shared" si="97"/>
        <v>Error?</v>
      </c>
      <c r="E6301" s="2" t="s">
        <v>199</v>
      </c>
    </row>
    <row r="6302" spans="1:5" x14ac:dyDescent="0.2">
      <c r="A6302">
        <v>6241</v>
      </c>
      <c r="B6302" s="138">
        <f>'Revenues 9-14'!J14</f>
        <v>366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366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1741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1741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14234</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14234</v>
      </c>
      <c r="D6351" s="2" t="str">
        <f t="shared" si="98"/>
        <v>Error?</v>
      </c>
      <c r="E6351" s="2" t="s">
        <v>199</v>
      </c>
    </row>
    <row r="6352" spans="1:5" x14ac:dyDescent="0.2">
      <c r="A6352">
        <v>6291</v>
      </c>
      <c r="B6352" s="138">
        <f>'Revenues 9-14'!J109</f>
        <v>172828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149687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180882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7375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209398</v>
      </c>
      <c r="D6880" s="2" t="str">
        <f t="shared" si="106"/>
        <v>Error?</v>
      </c>
    </row>
    <row r="6881" spans="1:4" x14ac:dyDescent="0.2">
      <c r="A6881">
        <v>6820</v>
      </c>
      <c r="B6881" s="138">
        <f>'Expenditures 15-22'!K22</f>
        <v>209398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1393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1393</v>
      </c>
      <c r="D6940" s="2" t="str">
        <f t="shared" si="107"/>
        <v>Error?</v>
      </c>
    </row>
    <row r="6941" spans="1:4" x14ac:dyDescent="0.2">
      <c r="A6941">
        <v>6880</v>
      </c>
      <c r="B6941" s="138">
        <f>'Expenditures 15-22'!L52</f>
        <v>6000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24745</v>
      </c>
      <c r="D6981" s="2" t="str">
        <f t="shared" si="108"/>
        <v>Error?</v>
      </c>
    </row>
    <row r="6982" spans="1:4" x14ac:dyDescent="0.2">
      <c r="A6982">
        <v>6921</v>
      </c>
      <c r="B6982" s="138">
        <f>'Expenditures 15-22'!K85</f>
        <v>24745</v>
      </c>
      <c r="D6982" s="2" t="str">
        <f t="shared" si="108"/>
        <v>Error?</v>
      </c>
    </row>
    <row r="6983" spans="1:4" x14ac:dyDescent="0.2">
      <c r="A6983">
        <v>6922</v>
      </c>
      <c r="B6983" s="138">
        <f>'Expenditures 15-22'!H86</f>
        <v>45383</v>
      </c>
      <c r="D6983" s="2" t="str">
        <f t="shared" si="108"/>
        <v>Error?</v>
      </c>
    </row>
    <row r="6984" spans="1:4" x14ac:dyDescent="0.2">
      <c r="A6984">
        <v>6923</v>
      </c>
      <c r="B6984" s="138">
        <f>'Expenditures 15-22'!K86</f>
        <v>45383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70128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148473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172828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8798</v>
      </c>
      <c r="D7073" s="2" t="str">
        <f t="shared" si="109"/>
        <v>Error?</v>
      </c>
    </row>
    <row r="7074" spans="1:4" x14ac:dyDescent="0.2">
      <c r="A7074">
        <v>7013</v>
      </c>
      <c r="B7074" s="138">
        <f>'Expenditures 15-22'!K216</f>
        <v>8798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32608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32608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327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327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76987</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6903</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83890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1362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1362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141570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6903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148473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141570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6903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148473</v>
      </c>
      <c r="D7224" s="2" t="str">
        <f t="shared" si="111"/>
        <v>Error?</v>
      </c>
    </row>
    <row r="7225" spans="1:4" x14ac:dyDescent="0.2">
      <c r="A7225">
        <v>7164</v>
      </c>
      <c r="B7225" s="138">
        <f>'Expenditures 15-22'!K343</f>
        <v>24355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12455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5628</v>
      </c>
      <c r="D7248" s="2" t="str">
        <f t="shared" si="112"/>
        <v>Error?</v>
      </c>
    </row>
    <row r="7249" spans="1:4" x14ac:dyDescent="0.2">
      <c r="A7249">
        <f t="shared" si="113"/>
        <v>7188</v>
      </c>
      <c r="B7249" s="138">
        <f>'Expenditures 15-22'!G7</f>
        <v>13112</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7375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563361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30286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30286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343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343</v>
      </c>
      <c r="D7719" s="2" t="str">
        <f t="shared" si="126"/>
        <v>Error?</v>
      </c>
      <c r="E7719" s="2" t="s">
        <v>881</v>
      </c>
    </row>
    <row r="7720" spans="1:6" x14ac:dyDescent="0.2">
      <c r="A7720">
        <v>7659</v>
      </c>
      <c r="B7720" s="138">
        <f>'Rest Tax Levies-Tort Im 25'!H14</f>
        <v>41661</v>
      </c>
      <c r="D7720" s="2" t="str">
        <f t="shared" si="126"/>
        <v>Error?</v>
      </c>
      <c r="E7720" s="2" t="s">
        <v>881</v>
      </c>
    </row>
    <row r="7721" spans="1:6" x14ac:dyDescent="0.2">
      <c r="A7721">
        <v>7660</v>
      </c>
      <c r="B7721" s="138">
        <f>'Rest Tax Levies-Tort Im 25'!K14</f>
        <v>343</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1357</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1039005</v>
      </c>
      <c r="D7797" s="2" t="str">
        <f t="shared" si="127"/>
        <v>Error?</v>
      </c>
      <c r="E7797" s="4" t="s">
        <v>2017</v>
      </c>
    </row>
    <row r="7798" spans="1:5" x14ac:dyDescent="0.2">
      <c r="A7798">
        <v>7737</v>
      </c>
      <c r="B7798" s="138">
        <f>'Contracts Paid in CY 29'!F141</f>
        <v>150000</v>
      </c>
      <c r="D7798" s="2" t="str">
        <f t="shared" si="127"/>
        <v>Error?</v>
      </c>
      <c r="E7798" s="4" t="s">
        <v>2017</v>
      </c>
    </row>
    <row r="7799" spans="1:5" x14ac:dyDescent="0.2">
      <c r="A7799">
        <v>7738</v>
      </c>
      <c r="B7799" s="138">
        <f>'Contracts Paid in CY 29'!G141</f>
        <v>889005</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60"/>
  <sheetViews>
    <sheetView showGridLines="0" showZeros="0" zoomScale="110" zoomScaleNormal="110" workbookViewId="0">
      <selection activeCell="A10" sqref="A10:F10"/>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7" t="s">
        <v>1253</v>
      </c>
      <c r="B2" s="2437"/>
      <c r="C2" s="2437"/>
      <c r="D2" s="2437"/>
      <c r="E2" s="2437"/>
      <c r="F2" s="2437"/>
      <c r="G2" s="2437"/>
      <c r="H2" s="2437"/>
      <c r="I2" s="2437"/>
      <c r="J2" s="2437"/>
      <c r="K2" s="2437"/>
      <c r="L2" s="2437"/>
    </row>
    <row r="3" spans="1:29" ht="13.5" customHeight="1" x14ac:dyDescent="0.2">
      <c r="A3" s="2423" t="s">
        <v>1252</v>
      </c>
      <c r="B3" s="2423"/>
      <c r="C3" s="2423"/>
      <c r="D3" s="2423"/>
      <c r="E3" s="2423"/>
      <c r="F3" s="2423"/>
      <c r="G3" s="2423"/>
      <c r="H3" s="2423"/>
      <c r="I3" s="2423"/>
      <c r="J3" s="2423"/>
      <c r="K3" s="2423"/>
      <c r="L3" s="2423"/>
    </row>
    <row r="4" spans="1:29" ht="13.5" customHeight="1" x14ac:dyDescent="0.2">
      <c r="A4" s="2437" t="s">
        <v>1799</v>
      </c>
      <c r="B4" s="2454"/>
      <c r="C4" s="2454"/>
      <c r="D4" s="2454"/>
      <c r="E4" s="2454"/>
      <c r="F4" s="2454"/>
      <c r="G4" s="2454"/>
      <c r="H4" s="2454"/>
      <c r="I4" s="2454"/>
      <c r="J4" s="2454"/>
      <c r="K4" s="2454"/>
      <c r="L4" s="245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7" t="str">
        <f>COVER!A17</f>
        <v>COUNTY OF WINNEBAGO SCHOOL DISTRICT NO. 320</v>
      </c>
      <c r="B7" s="2418"/>
      <c r="C7" s="2418"/>
      <c r="D7" s="2455"/>
      <c r="E7" s="2456" t="str">
        <f>COVER!A13</f>
        <v>04-101-3200-26</v>
      </c>
      <c r="F7" s="2457"/>
      <c r="G7" s="2424" t="str">
        <f>COVER!T23</f>
        <v>066-004238</v>
      </c>
      <c r="H7" s="2425"/>
      <c r="I7" s="2425"/>
      <c r="J7" s="2425"/>
      <c r="K7" s="2425"/>
      <c r="L7" s="2426"/>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7"/>
      <c r="B9" s="2428"/>
      <c r="C9" s="2428"/>
      <c r="D9" s="2428"/>
      <c r="E9" s="2428"/>
      <c r="F9" s="2429"/>
      <c r="G9" s="2430" t="str">
        <f>COVER!T13</f>
        <v xml:space="preserve">BENNING GROUP, LLC </v>
      </c>
      <c r="H9" s="2431"/>
      <c r="I9" s="2431"/>
      <c r="J9" s="2431"/>
      <c r="K9" s="2431"/>
      <c r="L9" s="2432"/>
    </row>
    <row r="10" spans="1:29" ht="13.5" customHeight="1" x14ac:dyDescent="0.2">
      <c r="A10" s="2414" t="str">
        <f>COVER!A38</f>
        <v xml:space="preserve">SCOTT FISHER </v>
      </c>
      <c r="B10" s="2415"/>
      <c r="C10" s="2415"/>
      <c r="D10" s="2415"/>
      <c r="E10" s="2415"/>
      <c r="F10" s="2416"/>
      <c r="G10" s="2430" t="str">
        <f>COVER!T17</f>
        <v>50 W. DOUGLAS STREET, SUITE 801</v>
      </c>
      <c r="H10" s="2443"/>
      <c r="I10" s="2443"/>
      <c r="J10" s="2443"/>
      <c r="K10" s="2443"/>
      <c r="L10" s="2444"/>
    </row>
    <row r="11" spans="1:29" ht="13.5" customHeight="1" x14ac:dyDescent="0.2">
      <c r="A11" s="1184" t="s">
        <v>1599</v>
      </c>
      <c r="B11" s="1185"/>
      <c r="C11" s="1186"/>
      <c r="D11" s="1191"/>
      <c r="E11" s="1186"/>
      <c r="F11" s="1190"/>
      <c r="G11" s="2430" t="str">
        <f>COVER!T19</f>
        <v xml:space="preserve">FREEPORT </v>
      </c>
      <c r="H11" s="2443"/>
      <c r="I11" s="2443"/>
      <c r="J11" s="2443"/>
      <c r="K11" s="2443"/>
      <c r="L11" s="2444"/>
    </row>
    <row r="12" spans="1:29" ht="13.5" customHeight="1" x14ac:dyDescent="0.2">
      <c r="A12" s="2448" t="s">
        <v>1598</v>
      </c>
      <c r="B12" s="2449"/>
      <c r="C12" s="2449"/>
      <c r="D12" s="2449"/>
      <c r="E12" s="2449"/>
      <c r="F12" s="2450"/>
      <c r="G12" s="2445"/>
      <c r="H12" s="2446"/>
      <c r="I12" s="2446"/>
      <c r="J12" s="2446"/>
      <c r="K12" s="2446"/>
      <c r="L12" s="2447"/>
    </row>
    <row r="13" spans="1:29" ht="13.5" customHeight="1" x14ac:dyDescent="0.2">
      <c r="A13" s="2430"/>
      <c r="B13" s="2443"/>
      <c r="C13" s="2443"/>
      <c r="D13" s="2443"/>
      <c r="E13" s="2443"/>
      <c r="F13" s="2444"/>
      <c r="G13" s="2438" t="s">
        <v>1600</v>
      </c>
      <c r="H13" s="2439"/>
      <c r="I13" s="2451" t="str">
        <f>COVER!T25</f>
        <v>jblocker@benninggroup.com</v>
      </c>
      <c r="J13" s="2452"/>
      <c r="K13" s="2452"/>
      <c r="L13" s="2453"/>
    </row>
    <row r="14" spans="1:29" ht="13.5" customHeight="1" x14ac:dyDescent="0.2">
      <c r="A14" s="2430" t="str">
        <f>COVER!A19</f>
        <v>850 HAYES AVE</v>
      </c>
      <c r="B14" s="2443"/>
      <c r="C14" s="2443"/>
      <c r="D14" s="2443"/>
      <c r="E14" s="2443"/>
      <c r="F14" s="2444"/>
      <c r="G14" s="1195" t="s">
        <v>1247</v>
      </c>
      <c r="H14" s="1193"/>
      <c r="I14" s="1193"/>
      <c r="J14" s="1193"/>
      <c r="K14" s="1193"/>
      <c r="L14" s="1194"/>
    </row>
    <row r="15" spans="1:29" ht="13.5" customHeight="1" x14ac:dyDescent="0.2">
      <c r="A15" s="2430" t="str">
        <f>COVER!A21</f>
        <v>SOUTH BELOIT</v>
      </c>
      <c r="B15" s="2443"/>
      <c r="C15" s="2443"/>
      <c r="D15" s="2443"/>
      <c r="E15" s="2443"/>
      <c r="F15" s="2444"/>
      <c r="G15" s="2440" t="str">
        <f>COVER!T15</f>
        <v xml:space="preserve">JENNY L. BLOCKER </v>
      </c>
      <c r="H15" s="2441"/>
      <c r="I15" s="2441"/>
      <c r="J15" s="2441"/>
      <c r="K15" s="2441"/>
      <c r="L15" s="2442"/>
    </row>
    <row r="16" spans="1:29" ht="12.2" customHeight="1" x14ac:dyDescent="0.2">
      <c r="A16" s="2420">
        <f>COVER!A25</f>
        <v>61080</v>
      </c>
      <c r="B16" s="2421"/>
      <c r="C16" s="2421"/>
      <c r="D16" s="2421"/>
      <c r="E16" s="2421"/>
      <c r="F16" s="2422"/>
      <c r="G16" s="2433"/>
      <c r="H16" s="2434"/>
      <c r="I16" s="2434"/>
      <c r="J16" s="2434"/>
      <c r="K16" s="2434"/>
      <c r="L16" s="2435"/>
    </row>
    <row r="17" spans="1:13" ht="12.2" customHeight="1" x14ac:dyDescent="0.2">
      <c r="A17" s="2436"/>
      <c r="B17" s="2421"/>
      <c r="C17" s="2421"/>
      <c r="D17" s="2421"/>
      <c r="E17" s="2421"/>
      <c r="F17" s="2422"/>
      <c r="G17" s="1195" t="s">
        <v>1246</v>
      </c>
      <c r="H17" s="1193"/>
      <c r="I17" s="1193"/>
      <c r="J17" s="1193"/>
      <c r="K17" s="1197" t="s">
        <v>1245</v>
      </c>
      <c r="L17" s="1190"/>
      <c r="M17" s="1183"/>
    </row>
    <row r="18" spans="1:13" ht="12.2" customHeight="1" x14ac:dyDescent="0.2">
      <c r="A18" s="2414"/>
      <c r="B18" s="2415"/>
      <c r="C18" s="2415"/>
      <c r="D18" s="2415"/>
      <c r="E18" s="2415"/>
      <c r="F18" s="2416"/>
      <c r="G18" s="2417" t="str">
        <f>COVER!T21</f>
        <v>815/235-3157</v>
      </c>
      <c r="H18" s="2418"/>
      <c r="I18" s="2418"/>
      <c r="J18" s="2418"/>
      <c r="K18" s="2417" t="str">
        <f>COVER!X21</f>
        <v>815/235-3158</v>
      </c>
      <c r="L18" s="241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t="s">
        <v>2079</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2079</v>
      </c>
      <c r="C26" s="1202" t="s">
        <v>1801</v>
      </c>
    </row>
    <row r="27" spans="1:13" s="1198" customFormat="1" ht="9" customHeight="1" x14ac:dyDescent="0.2">
      <c r="B27" s="1203"/>
      <c r="C27" s="1202"/>
    </row>
    <row r="28" spans="1:13" s="1198" customFormat="1" ht="12.2" customHeight="1" x14ac:dyDescent="0.2">
      <c r="A28" s="1205"/>
      <c r="B28" s="1201" t="s">
        <v>2079</v>
      </c>
      <c r="C28" s="1202" t="s">
        <v>1802</v>
      </c>
    </row>
    <row r="29" spans="1:13" s="1198" customFormat="1" ht="9" customHeight="1" x14ac:dyDescent="0.2">
      <c r="A29" s="1205"/>
      <c r="B29" s="1203"/>
      <c r="C29" s="1202"/>
    </row>
    <row r="30" spans="1:13" s="1198" customFormat="1" ht="12.2" customHeight="1" x14ac:dyDescent="0.2">
      <c r="B30" s="1201" t="s">
        <v>2079</v>
      </c>
      <c r="C30" s="1202" t="s">
        <v>1643</v>
      </c>
      <c r="D30" s="1196"/>
      <c r="E30" s="1196"/>
    </row>
    <row r="31" spans="1:13" s="1198" customFormat="1" ht="9" customHeight="1" x14ac:dyDescent="0.2">
      <c r="B31" s="1203"/>
      <c r="C31" s="1202"/>
      <c r="D31" s="1196"/>
      <c r="E31" s="1196"/>
    </row>
    <row r="32" spans="1:13" s="1198" customFormat="1" ht="12.2" customHeight="1" x14ac:dyDescent="0.2">
      <c r="B32" s="1201" t="s">
        <v>2079</v>
      </c>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t="s">
        <v>2079</v>
      </c>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t="s">
        <v>2079</v>
      </c>
      <c r="C38" s="1202" t="s">
        <v>1647</v>
      </c>
    </row>
    <row r="39" spans="1:8" ht="9" customHeight="1" x14ac:dyDescent="0.2">
      <c r="B39" s="1203"/>
      <c r="C39" s="1206"/>
    </row>
    <row r="40" spans="1:8" s="1198" customFormat="1" ht="13.5" customHeight="1" x14ac:dyDescent="0.2">
      <c r="B40" s="1201" t="s">
        <v>2079</v>
      </c>
      <c r="C40" s="1202" t="s">
        <v>1648</v>
      </c>
    </row>
    <row r="41" spans="1:8" ht="9" customHeight="1" x14ac:dyDescent="0.2">
      <c r="A41" s="1207"/>
      <c r="B41" s="1203"/>
      <c r="C41" s="1206"/>
    </row>
    <row r="42" spans="1:8" s="1198" customFormat="1" ht="13.5" customHeight="1" x14ac:dyDescent="0.2">
      <c r="B42" s="1201" t="s">
        <v>2079</v>
      </c>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t="s">
        <v>2079</v>
      </c>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zoomScale="125" zoomScaleNormal="125" workbookViewId="0">
      <selection activeCell="F112" sqref="F112"/>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8" t="str">
        <f>'Single Audit Cover'!A7</f>
        <v>COUNTY OF WINNEBAGO SCHOOL DISTRICT NO. 320</v>
      </c>
      <c r="B1" s="2454"/>
      <c r="C1" s="2454"/>
      <c r="D1" s="2454"/>
    </row>
    <row r="2" spans="1:11" s="1214" customFormat="1" ht="12.75" x14ac:dyDescent="0.2">
      <c r="A2" s="2459" t="str">
        <f>'Single Audit Cover'!E7</f>
        <v>04-101-3200-26</v>
      </c>
      <c r="B2" s="2460"/>
      <c r="C2" s="2460"/>
      <c r="D2" s="2460"/>
    </row>
    <row r="3" spans="1:11" s="1214" customFormat="1" ht="12.75" x14ac:dyDescent="0.2">
      <c r="A3" s="2458" t="s">
        <v>1593</v>
      </c>
      <c r="B3" s="2454"/>
      <c r="C3" s="2454"/>
      <c r="D3" s="2454"/>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t="s">
        <v>2079</v>
      </c>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t="s">
        <v>2079</v>
      </c>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t="s">
        <v>2079</v>
      </c>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t="s">
        <v>2079</v>
      </c>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t="s">
        <v>2079</v>
      </c>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t="s">
        <v>2079</v>
      </c>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t="s">
        <v>2079</v>
      </c>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t="s">
        <v>2079</v>
      </c>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t="s">
        <v>2127</v>
      </c>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t="s">
        <v>2127</v>
      </c>
      <c r="C42" s="1231">
        <v>11</v>
      </c>
      <c r="D42" s="1242" t="s">
        <v>1655</v>
      </c>
      <c r="E42" s="312"/>
    </row>
    <row r="43" spans="1:5" ht="3" customHeight="1" x14ac:dyDescent="0.2">
      <c r="A43" s="1221"/>
      <c r="B43" s="1238"/>
      <c r="C43" s="1239"/>
      <c r="D43" s="1220"/>
    </row>
    <row r="44" spans="1:5" x14ac:dyDescent="0.2">
      <c r="A44" s="1221"/>
      <c r="B44" s="1224" t="s">
        <v>2079</v>
      </c>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t="s">
        <v>2079</v>
      </c>
      <c r="C48" s="1225">
        <f>C44+1</f>
        <v>13</v>
      </c>
      <c r="D48" s="1236" t="s">
        <v>1656</v>
      </c>
    </row>
    <row r="49" spans="1:4" ht="3" customHeight="1" x14ac:dyDescent="0.2">
      <c r="A49" s="1221"/>
      <c r="B49" s="1228"/>
      <c r="C49" s="1225"/>
      <c r="D49" s="1236"/>
    </row>
    <row r="50" spans="1:4" x14ac:dyDescent="0.2">
      <c r="A50" s="1221"/>
      <c r="B50" s="1224" t="s">
        <v>2079</v>
      </c>
      <c r="C50" s="1225">
        <f>C48+1</f>
        <v>14</v>
      </c>
      <c r="D50" s="1236" t="s">
        <v>1274</v>
      </c>
    </row>
    <row r="51" spans="1:4" ht="3" customHeight="1" x14ac:dyDescent="0.2">
      <c r="A51" s="1221"/>
      <c r="B51" s="1228"/>
      <c r="C51" s="1225"/>
      <c r="D51" s="1236"/>
    </row>
    <row r="52" spans="1:4" x14ac:dyDescent="0.2">
      <c r="A52" s="1221"/>
      <c r="B52" s="1224" t="s">
        <v>2079</v>
      </c>
      <c r="C52" s="1225">
        <f>C50+1</f>
        <v>15</v>
      </c>
      <c r="D52" s="1236" t="s">
        <v>1273</v>
      </c>
    </row>
    <row r="53" spans="1:4" ht="3" customHeight="1" x14ac:dyDescent="0.2">
      <c r="A53" s="1221"/>
      <c r="B53" s="1228"/>
      <c r="C53" s="1225"/>
      <c r="D53" s="1236"/>
    </row>
    <row r="54" spans="1:4" x14ac:dyDescent="0.2">
      <c r="A54" s="1221"/>
      <c r="B54" s="1224" t="s">
        <v>2079</v>
      </c>
      <c r="C54" s="1225">
        <f>C52+1</f>
        <v>16</v>
      </c>
      <c r="D54" s="1236" t="s">
        <v>1272</v>
      </c>
    </row>
    <row r="55" spans="1:4" ht="3" customHeight="1" x14ac:dyDescent="0.2">
      <c r="A55" s="1221"/>
      <c r="B55" s="1228"/>
      <c r="C55" s="1225"/>
      <c r="D55" s="1236"/>
    </row>
    <row r="56" spans="1:4" x14ac:dyDescent="0.2">
      <c r="A56" s="1221"/>
      <c r="B56" s="1224" t="s">
        <v>2079</v>
      </c>
      <c r="C56" s="1225">
        <f>C54+1</f>
        <v>17</v>
      </c>
      <c r="D56" s="1220" t="s">
        <v>1811</v>
      </c>
    </row>
    <row r="57" spans="1:4" ht="10.5" customHeight="1" x14ac:dyDescent="0.2">
      <c r="A57" s="1221"/>
      <c r="D57" s="1236" t="s">
        <v>1812</v>
      </c>
    </row>
    <row r="58" spans="1:4" x14ac:dyDescent="0.2">
      <c r="A58" s="1221"/>
      <c r="C58" s="1243" t="s">
        <v>2079</v>
      </c>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t="s">
        <v>2127</v>
      </c>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t="s">
        <v>2079</v>
      </c>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t="s">
        <v>2079</v>
      </c>
      <c r="D69" s="1236" t="s">
        <v>1816</v>
      </c>
    </row>
    <row r="70" spans="1:4" x14ac:dyDescent="0.2">
      <c r="A70" s="1221"/>
      <c r="D70" s="1245" t="s">
        <v>1268</v>
      </c>
    </row>
    <row r="71" spans="1:4" ht="3" customHeight="1" x14ac:dyDescent="0.2">
      <c r="A71" s="1221"/>
      <c r="D71" s="1220"/>
    </row>
    <row r="72" spans="1:4" x14ac:dyDescent="0.2">
      <c r="A72" s="1221"/>
      <c r="B72" s="1224" t="s">
        <v>2079</v>
      </c>
      <c r="C72" s="1225">
        <f>C56+1</f>
        <v>18</v>
      </c>
      <c r="D72" s="1246" t="s">
        <v>1817</v>
      </c>
    </row>
    <row r="73" spans="1:4" ht="3" customHeight="1" x14ac:dyDescent="0.2">
      <c r="A73" s="1221"/>
      <c r="B73" s="1228"/>
      <c r="C73" s="1225"/>
      <c r="D73" s="1246"/>
    </row>
    <row r="74" spans="1:4" x14ac:dyDescent="0.2">
      <c r="A74" s="1221"/>
      <c r="B74" s="1224" t="s">
        <v>2079</v>
      </c>
      <c r="C74" s="1225">
        <f>C72+1</f>
        <v>19</v>
      </c>
      <c r="D74" s="1236" t="s">
        <v>1267</v>
      </c>
    </row>
    <row r="75" spans="1:4" ht="3" customHeight="1" x14ac:dyDescent="0.2">
      <c r="A75" s="1221"/>
      <c r="B75" s="1228"/>
      <c r="C75" s="1225"/>
      <c r="D75" s="1236"/>
    </row>
    <row r="76" spans="1:4" x14ac:dyDescent="0.2">
      <c r="A76" s="1221"/>
      <c r="B76" s="1224" t="s">
        <v>2079</v>
      </c>
      <c r="C76" s="1225">
        <f>C74+1</f>
        <v>20</v>
      </c>
      <c r="D76" s="1247" t="s">
        <v>1818</v>
      </c>
    </row>
    <row r="77" spans="1:4" ht="3" customHeight="1" x14ac:dyDescent="0.2">
      <c r="A77" s="1221"/>
      <c r="B77" s="1228"/>
      <c r="C77" s="1225"/>
      <c r="D77" s="1247"/>
    </row>
    <row r="78" spans="1:4" x14ac:dyDescent="0.2">
      <c r="A78" s="1221"/>
      <c r="B78" s="1224" t="s">
        <v>2079</v>
      </c>
      <c r="C78" s="1225">
        <f>C76+1</f>
        <v>21</v>
      </c>
      <c r="D78" s="1220" t="s">
        <v>1819</v>
      </c>
    </row>
    <row r="79" spans="1:4" ht="3" customHeight="1" x14ac:dyDescent="0.2">
      <c r="A79" s="1221"/>
      <c r="B79" s="1228"/>
      <c r="C79" s="1225"/>
      <c r="D79" s="1220"/>
    </row>
    <row r="80" spans="1:4" x14ac:dyDescent="0.2">
      <c r="A80" s="1221"/>
      <c r="B80" s="1224" t="s">
        <v>2079</v>
      </c>
      <c r="C80" s="1225">
        <f>C78+1</f>
        <v>22</v>
      </c>
      <c r="D80" s="1248" t="s">
        <v>1820</v>
      </c>
    </row>
    <row r="81" spans="1:4" ht="3" customHeight="1" x14ac:dyDescent="0.2">
      <c r="A81" s="1221"/>
      <c r="B81" s="1228"/>
      <c r="C81" s="1225"/>
      <c r="D81" s="1248"/>
    </row>
    <row r="82" spans="1:4" x14ac:dyDescent="0.2">
      <c r="A82" s="1221"/>
      <c r="B82" s="1224" t="s">
        <v>2079</v>
      </c>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t="s">
        <v>2079</v>
      </c>
      <c r="C85" s="1225">
        <f>C82+1</f>
        <v>24</v>
      </c>
      <c r="D85" s="1236" t="s">
        <v>1265</v>
      </c>
    </row>
    <row r="86" spans="1:4" ht="3" customHeight="1" x14ac:dyDescent="0.2">
      <c r="A86" s="1221"/>
      <c r="B86" s="1228"/>
      <c r="C86" s="1225"/>
      <c r="D86" s="1236"/>
    </row>
    <row r="87" spans="1:4" x14ac:dyDescent="0.2">
      <c r="A87" s="1221"/>
      <c r="B87" s="1224" t="s">
        <v>2079</v>
      </c>
      <c r="C87" s="1225">
        <f>C85+1</f>
        <v>25</v>
      </c>
      <c r="D87" s="1236" t="s">
        <v>1264</v>
      </c>
    </row>
    <row r="88" spans="1:4" ht="3" customHeight="1" x14ac:dyDescent="0.2">
      <c r="A88" s="1221"/>
      <c r="B88" s="1228"/>
      <c r="C88" s="1225"/>
      <c r="D88" s="1236"/>
    </row>
    <row r="89" spans="1:4" x14ac:dyDescent="0.2">
      <c r="A89" s="1221"/>
      <c r="B89" s="1224" t="s">
        <v>2079</v>
      </c>
      <c r="C89" s="1225">
        <f>C87+1</f>
        <v>26</v>
      </c>
      <c r="D89" s="1236" t="s">
        <v>1263</v>
      </c>
    </row>
    <row r="90" spans="1:4" ht="3" customHeight="1" x14ac:dyDescent="0.2">
      <c r="A90" s="1221"/>
      <c r="B90" s="1228"/>
      <c r="C90" s="1225"/>
      <c r="D90" s="1236"/>
    </row>
    <row r="91" spans="1:4" x14ac:dyDescent="0.2">
      <c r="A91" s="1221"/>
      <c r="B91" s="1224" t="s">
        <v>2127</v>
      </c>
      <c r="C91" s="1225">
        <f>C89+1</f>
        <v>27</v>
      </c>
      <c r="D91" s="1236" t="s">
        <v>1822</v>
      </c>
    </row>
    <row r="92" spans="1:4" x14ac:dyDescent="0.2">
      <c r="A92" s="1221"/>
      <c r="B92" s="1249"/>
      <c r="C92" s="1243" t="s">
        <v>2127</v>
      </c>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t="s">
        <v>2079</v>
      </c>
      <c r="C96" s="1225">
        <f>C91+1</f>
        <v>28</v>
      </c>
      <c r="D96" s="1236" t="s">
        <v>1823</v>
      </c>
    </row>
    <row r="97" spans="1:4" ht="3" customHeight="1" x14ac:dyDescent="0.2">
      <c r="A97" s="1221"/>
      <c r="B97" s="1228"/>
      <c r="C97" s="1225"/>
      <c r="D97" s="1236"/>
    </row>
    <row r="98" spans="1:4" x14ac:dyDescent="0.2">
      <c r="A98" s="1221"/>
      <c r="B98" s="1224" t="s">
        <v>2079</v>
      </c>
      <c r="C98" s="1225">
        <f>C96+1</f>
        <v>29</v>
      </c>
      <c r="D98" s="1250" t="s">
        <v>1824</v>
      </c>
    </row>
    <row r="99" spans="1:4" ht="3" customHeight="1" x14ac:dyDescent="0.2">
      <c r="A99" s="1221"/>
      <c r="B99" s="1228"/>
      <c r="C99" s="1225"/>
      <c r="D99" s="1250"/>
    </row>
    <row r="100" spans="1:4" x14ac:dyDescent="0.2">
      <c r="A100" s="1221"/>
      <c r="B100" s="1224" t="s">
        <v>2079</v>
      </c>
      <c r="C100" s="1225">
        <f>C98+1</f>
        <v>30</v>
      </c>
      <c r="D100" s="1236" t="s">
        <v>1825</v>
      </c>
    </row>
    <row r="101" spans="1:4" ht="3" customHeight="1" x14ac:dyDescent="0.2">
      <c r="A101" s="1221"/>
      <c r="B101" s="1228"/>
      <c r="C101" s="1225"/>
      <c r="D101" s="1251"/>
    </row>
    <row r="102" spans="1:4" x14ac:dyDescent="0.2">
      <c r="A102" s="1221"/>
      <c r="B102" s="1224" t="s">
        <v>2079</v>
      </c>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t="s">
        <v>2127</v>
      </c>
      <c r="C106" s="1225">
        <f>C102+1</f>
        <v>32</v>
      </c>
      <c r="D106" s="1220" t="s">
        <v>1661</v>
      </c>
    </row>
    <row r="107" spans="1:4" ht="3" customHeight="1" x14ac:dyDescent="0.2">
      <c r="A107" s="1221"/>
      <c r="B107" s="1228"/>
      <c r="C107" s="1225"/>
      <c r="D107" s="1220"/>
    </row>
    <row r="108" spans="1:4" x14ac:dyDescent="0.2">
      <c r="A108" s="1221"/>
      <c r="B108" s="1224" t="s">
        <v>2127</v>
      </c>
      <c r="C108" s="1225">
        <v>33</v>
      </c>
      <c r="D108" s="1220" t="s">
        <v>1826</v>
      </c>
    </row>
    <row r="109" spans="1:4" ht="3" customHeight="1" x14ac:dyDescent="0.2">
      <c r="A109" s="1221"/>
      <c r="B109" s="1228"/>
      <c r="C109" s="1225"/>
      <c r="D109" s="1220"/>
    </row>
    <row r="110" spans="1:4" x14ac:dyDescent="0.2">
      <c r="A110" s="1221"/>
      <c r="B110" s="1224" t="s">
        <v>2127</v>
      </c>
      <c r="C110" s="1225">
        <f>C108+1</f>
        <v>34</v>
      </c>
      <c r="D110" s="1220" t="s">
        <v>1260</v>
      </c>
    </row>
    <row r="111" spans="1:4" ht="3" customHeight="1" x14ac:dyDescent="0.2">
      <c r="A111" s="1221"/>
      <c r="B111" s="1228"/>
      <c r="C111" s="1225"/>
      <c r="D111" s="1220"/>
    </row>
    <row r="112" spans="1:4" x14ac:dyDescent="0.2">
      <c r="A112" s="1221"/>
      <c r="B112" s="1224" t="s">
        <v>2127</v>
      </c>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t="s">
        <v>2127</v>
      </c>
      <c r="C115" s="1225">
        <f>C112+1</f>
        <v>36</v>
      </c>
      <c r="D115" s="1236" t="s">
        <v>1257</v>
      </c>
    </row>
    <row r="116" spans="1:4" ht="3" customHeight="1" x14ac:dyDescent="0.2">
      <c r="A116" s="1221"/>
      <c r="B116" s="1228"/>
      <c r="C116" s="1225"/>
      <c r="D116" s="1236"/>
    </row>
    <row r="117" spans="1:4" x14ac:dyDescent="0.2">
      <c r="A117" s="1221"/>
      <c r="B117" s="1224" t="s">
        <v>2127</v>
      </c>
      <c r="C117" s="1225">
        <f>C115+1</f>
        <v>37</v>
      </c>
      <c r="D117" s="1236" t="s">
        <v>1827</v>
      </c>
    </row>
    <row r="118" spans="1:4" ht="3" customHeight="1" x14ac:dyDescent="0.2">
      <c r="A118" s="1221"/>
      <c r="B118" s="1228"/>
      <c r="C118" s="1225"/>
      <c r="D118" s="1236"/>
    </row>
    <row r="119" spans="1:4" x14ac:dyDescent="0.2">
      <c r="A119" s="1221"/>
      <c r="B119" s="1224" t="s">
        <v>2127</v>
      </c>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t="s">
        <v>2127</v>
      </c>
      <c r="C123" s="1225">
        <f>C119+1</f>
        <v>39</v>
      </c>
      <c r="D123" s="1246" t="s">
        <v>1945</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A6" sqref="A6:E6"/>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62" t="str">
        <f>'Single Audit Cover'!A7</f>
        <v>COUNTY OF WINNEBAGO SCHOOL DISTRICT NO. 320</v>
      </c>
      <c r="B1" s="2462"/>
      <c r="C1" s="2462"/>
      <c r="D1" s="2462"/>
      <c r="E1" s="2462"/>
    </row>
    <row r="2" spans="1:5" x14ac:dyDescent="0.2">
      <c r="A2" s="2463" t="str">
        <f>'Single Audit Cover'!E7</f>
        <v>04-101-3200-26</v>
      </c>
      <c r="B2" s="2463"/>
      <c r="C2" s="2463"/>
      <c r="D2" s="2463"/>
      <c r="E2" s="2463"/>
    </row>
    <row r="3" spans="1:5" ht="4.5" customHeight="1" x14ac:dyDescent="0.2"/>
    <row r="4" spans="1:5" x14ac:dyDescent="0.2">
      <c r="A4" s="2462" t="s">
        <v>1307</v>
      </c>
      <c r="B4" s="2462"/>
      <c r="C4" s="2462"/>
      <c r="D4" s="2462"/>
      <c r="E4" s="2462"/>
    </row>
    <row r="5" spans="1:5" x14ac:dyDescent="0.2">
      <c r="A5" s="2465" t="str">
        <f>'Single Audit Cover'!A4</f>
        <v>Year Ending June 30, 2018</v>
      </c>
      <c r="B5" s="2465"/>
      <c r="C5" s="2465"/>
      <c r="D5" s="2465"/>
      <c r="E5" s="2465"/>
    </row>
    <row r="6" spans="1:5" x14ac:dyDescent="0.2">
      <c r="A6" s="2462" t="s">
        <v>1306</v>
      </c>
      <c r="B6" s="2462"/>
      <c r="C6" s="2462"/>
      <c r="D6" s="2462"/>
      <c r="E6" s="2462"/>
    </row>
    <row r="8" spans="1:5" x14ac:dyDescent="0.2">
      <c r="A8" s="1259" t="s">
        <v>1305</v>
      </c>
    </row>
    <row r="10" spans="1:5" x14ac:dyDescent="0.2">
      <c r="A10" s="1260" t="s">
        <v>1304</v>
      </c>
      <c r="B10" s="1261" t="s">
        <v>1303</v>
      </c>
      <c r="C10" s="1261"/>
      <c r="D10" s="1262">
        <f>SUM('Acct Summary 7-8'!C7:K7)</f>
        <v>1190709</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47223</v>
      </c>
    </row>
    <row r="15" spans="1:5" x14ac:dyDescent="0.2">
      <c r="A15" s="1260"/>
      <c r="B15" s="1261"/>
      <c r="C15" s="1261"/>
    </row>
    <row r="16" spans="1:5" x14ac:dyDescent="0.2">
      <c r="A16" s="1260" t="s">
        <v>1953</v>
      </c>
      <c r="B16" s="1261"/>
      <c r="C16" s="1261"/>
    </row>
    <row r="17" spans="1:4" x14ac:dyDescent="0.2">
      <c r="A17" s="1260" t="s">
        <v>1601</v>
      </c>
      <c r="B17" s="1261" t="s">
        <v>1298</v>
      </c>
      <c r="C17" s="1261"/>
      <c r="D17" s="1263">
        <f>-SUM('Revenues 9-14'!C271:D271,'Revenues 9-14'!F271:G271)</f>
        <v>-16866</v>
      </c>
    </row>
    <row r="19" spans="1:4" ht="13.5" thickBot="1" x14ac:dyDescent="0.25">
      <c r="A19" s="1264" t="s">
        <v>1297</v>
      </c>
      <c r="D19" s="1265">
        <f>SUM(D10:D17)</f>
        <v>1221066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4"/>
      <c r="B24" s="2464"/>
      <c r="D24" s="1267"/>
    </row>
    <row r="25" spans="1:4" x14ac:dyDescent="0.2">
      <c r="A25" s="2461"/>
      <c r="B25" s="2461"/>
      <c r="D25" s="1267"/>
    </row>
    <row r="26" spans="1:4" x14ac:dyDescent="0.2">
      <c r="A26" s="2461"/>
      <c r="B26" s="2461"/>
      <c r="D26" s="1267"/>
    </row>
    <row r="27" spans="1:4" x14ac:dyDescent="0.2">
      <c r="A27" s="2461"/>
      <c r="B27" s="2461"/>
      <c r="D27" s="1267"/>
    </row>
    <row r="28" spans="1:4" x14ac:dyDescent="0.2">
      <c r="A28" s="2461"/>
      <c r="B28" s="2461"/>
      <c r="D28" s="1267"/>
    </row>
    <row r="29" spans="1:4" x14ac:dyDescent="0.2">
      <c r="A29" s="2461"/>
      <c r="B29" s="2461"/>
      <c r="D29" s="1267"/>
    </row>
    <row r="30" spans="1:4" x14ac:dyDescent="0.2">
      <c r="A30" s="2461"/>
      <c r="B30" s="2461"/>
      <c r="D30" s="1267"/>
    </row>
    <row r="32" spans="1:4" x14ac:dyDescent="0.2">
      <c r="A32" s="1259" t="s">
        <v>1295</v>
      </c>
      <c r="D32" s="1262">
        <f>SUM(D19:D30)</f>
        <v>1221066</v>
      </c>
    </row>
    <row r="33" spans="1:4" x14ac:dyDescent="0.2">
      <c r="D33" s="1268"/>
    </row>
    <row r="34" spans="1:4" x14ac:dyDescent="0.2">
      <c r="A34" s="317" t="s">
        <v>1294</v>
      </c>
    </row>
    <row r="35" spans="1:4" x14ac:dyDescent="0.2">
      <c r="A35" s="317" t="s">
        <v>1293</v>
      </c>
      <c r="B35" s="1257" t="s">
        <v>1292</v>
      </c>
      <c r="D35" s="1269">
        <f>' SEFA (3)'!F27</f>
        <v>1221066</v>
      </c>
    </row>
    <row r="37" spans="1:4" x14ac:dyDescent="0.2">
      <c r="A37" s="1259" t="s">
        <v>1291</v>
      </c>
    </row>
    <row r="39" spans="1:4" ht="13.35" customHeight="1" x14ac:dyDescent="0.2">
      <c r="A39" s="1266" t="s">
        <v>1290</v>
      </c>
    </row>
    <row r="40" spans="1:4" x14ac:dyDescent="0.2">
      <c r="A40" s="2461"/>
      <c r="B40" s="2461"/>
      <c r="D40" s="1267"/>
    </row>
    <row r="41" spans="1:4" x14ac:dyDescent="0.2">
      <c r="A41" s="2461"/>
      <c r="B41" s="2461"/>
      <c r="D41" s="1270"/>
    </row>
    <row r="42" spans="1:4" x14ac:dyDescent="0.2">
      <c r="A42" s="2461"/>
      <c r="B42" s="2461"/>
      <c r="D42" s="1270"/>
    </row>
    <row r="43" spans="1:4" x14ac:dyDescent="0.2">
      <c r="A43" s="2461"/>
      <c r="B43" s="2461"/>
      <c r="D43" s="1270"/>
    </row>
    <row r="44" spans="1:4" x14ac:dyDescent="0.2">
      <c r="A44" s="2461"/>
      <c r="B44" s="2461"/>
      <c r="D44" s="1270"/>
    </row>
    <row r="45" spans="1:4" x14ac:dyDescent="0.2">
      <c r="A45" s="2461"/>
      <c r="B45" s="2461"/>
      <c r="D45" s="1270"/>
    </row>
    <row r="47" spans="1:4" x14ac:dyDescent="0.2">
      <c r="B47" s="1271" t="s">
        <v>1289</v>
      </c>
      <c r="C47" s="1271"/>
      <c r="D47" s="1272">
        <f>SUM(D35:D45)</f>
        <v>1221066</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zoomScale="120" zoomScaleNormal="120" workbookViewId="0">
      <selection activeCell="D8" sqref="D8"/>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7" t="str">
        <f>'Single Audit Cover'!A7</f>
        <v>COUNTY OF WINNEBAGO SCHOOL DISTRICT NO. 320</v>
      </c>
      <c r="B1" s="2467"/>
      <c r="C1" s="2467"/>
      <c r="D1" s="2467"/>
      <c r="E1" s="2467"/>
      <c r="F1" s="2467"/>
    </row>
    <row r="2" spans="1:7" ht="13.5" customHeight="1" x14ac:dyDescent="0.2">
      <c r="A2" s="2468" t="str">
        <f>'Single Audit Cover'!E7</f>
        <v>04-101-3200-26</v>
      </c>
      <c r="B2" s="2468"/>
      <c r="C2" s="2468"/>
      <c r="D2" s="2468"/>
      <c r="E2" s="2468"/>
      <c r="F2" s="2468"/>
      <c r="G2" s="1274"/>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5" t="s">
        <v>1831</v>
      </c>
      <c r="C6" s="317"/>
      <c r="D6" s="317"/>
    </row>
    <row r="7" spans="1:7" ht="60.95" customHeight="1" x14ac:dyDescent="0.2">
      <c r="A7" s="2466" t="s">
        <v>2186</v>
      </c>
      <c r="B7" s="2466"/>
      <c r="C7" s="2466"/>
      <c r="D7" s="2466"/>
      <c r="E7" s="2466"/>
      <c r="F7" s="2466"/>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2079</v>
      </c>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29.25" customHeight="1" x14ac:dyDescent="0.2">
      <c r="A13" s="2466" t="s">
        <v>2208</v>
      </c>
      <c r="B13" s="2466"/>
      <c r="C13" s="2466"/>
      <c r="D13" s="2466"/>
      <c r="E13" s="2466"/>
      <c r="F13" s="2466"/>
    </row>
    <row r="14" spans="1:7" ht="9.75" customHeight="1" x14ac:dyDescent="0.2">
      <c r="C14" s="1259"/>
      <c r="D14" s="1259"/>
    </row>
    <row r="15" spans="1:7" ht="13.5" customHeight="1" x14ac:dyDescent="0.2">
      <c r="C15" s="1870" t="s">
        <v>1332</v>
      </c>
      <c r="D15" s="2472" t="s">
        <v>1331</v>
      </c>
      <c r="E15" s="2472"/>
      <c r="F15" s="2472"/>
    </row>
    <row r="16" spans="1:7" ht="13.5" customHeight="1" x14ac:dyDescent="0.2">
      <c r="A16" s="1281"/>
      <c r="B16" s="1275" t="s">
        <v>1330</v>
      </c>
      <c r="C16" s="1870" t="s">
        <v>1329</v>
      </c>
      <c r="D16" s="2473" t="s">
        <v>1670</v>
      </c>
      <c r="E16" s="2473"/>
      <c r="F16" s="2473"/>
    </row>
    <row r="17" spans="1:6" ht="20.45" customHeight="1" x14ac:dyDescent="0.2">
      <c r="A17" s="1282"/>
      <c r="B17" s="1283" t="s">
        <v>2128</v>
      </c>
      <c r="C17" s="1284"/>
      <c r="D17" s="2471"/>
      <c r="E17" s="2471"/>
      <c r="F17" s="2471"/>
    </row>
    <row r="18" spans="1:6" ht="20.65" customHeight="1" x14ac:dyDescent="0.2">
      <c r="A18" s="1282"/>
      <c r="B18" s="1283"/>
      <c r="C18" s="1284"/>
      <c r="D18" s="2471"/>
      <c r="E18" s="2471"/>
      <c r="F18" s="2471"/>
    </row>
    <row r="19" spans="1:6" ht="20.65" customHeight="1" x14ac:dyDescent="0.2">
      <c r="A19" s="1282"/>
      <c r="B19" s="1283"/>
      <c r="C19" s="1284"/>
      <c r="D19" s="2471"/>
      <c r="E19" s="2471"/>
      <c r="F19" s="2471"/>
    </row>
    <row r="20" spans="1:6" ht="20.65" customHeight="1" x14ac:dyDescent="0.2">
      <c r="A20" s="1282"/>
      <c r="B20" s="1283"/>
      <c r="C20" s="1284"/>
      <c r="D20" s="2471"/>
      <c r="E20" s="2471"/>
      <c r="F20" s="2471"/>
    </row>
    <row r="21" spans="1:6" ht="20.65" customHeight="1" x14ac:dyDescent="0.2">
      <c r="A21" s="1282"/>
      <c r="B21" s="1283"/>
      <c r="C21" s="1284"/>
      <c r="D21" s="2471"/>
      <c r="E21" s="2471"/>
      <c r="F21" s="2471"/>
    </row>
    <row r="22" spans="1:6" ht="20.65" customHeight="1" x14ac:dyDescent="0.2">
      <c r="A22" s="1282"/>
      <c r="B22" s="1283"/>
      <c r="C22" s="1284"/>
      <c r="D22" s="2471"/>
      <c r="E22" s="2471"/>
      <c r="F22" s="2471"/>
    </row>
    <row r="23" spans="1:6" ht="20.65" customHeight="1" x14ac:dyDescent="0.2">
      <c r="A23" s="1282"/>
      <c r="B23" s="1283"/>
      <c r="C23" s="1284"/>
      <c r="D23" s="2471"/>
      <c r="E23" s="2471"/>
      <c r="F23" s="2471"/>
    </row>
    <row r="24" spans="1:6" ht="20.65" customHeight="1" x14ac:dyDescent="0.2">
      <c r="A24" s="1282"/>
      <c r="B24" s="1283"/>
      <c r="C24" s="1284"/>
      <c r="D24" s="2471"/>
      <c r="E24" s="2471"/>
      <c r="F24" s="2471"/>
    </row>
    <row r="25" spans="1:6" ht="20.65" customHeight="1" x14ac:dyDescent="0.2">
      <c r="A25" s="1282"/>
      <c r="B25" s="1283"/>
      <c r="C25" s="1284"/>
      <c r="D25" s="2471"/>
      <c r="E25" s="2471"/>
      <c r="F25" s="2471"/>
    </row>
    <row r="26" spans="1:6" ht="20.65" customHeight="1" x14ac:dyDescent="0.2">
      <c r="A26" s="1282"/>
      <c r="B26" s="1283"/>
      <c r="C26" s="1284"/>
      <c r="D26" s="2471"/>
      <c r="E26" s="2471"/>
      <c r="F26" s="2471"/>
    </row>
    <row r="27" spans="1:6" ht="20.65" customHeight="1" x14ac:dyDescent="0.2">
      <c r="A27" s="1282"/>
      <c r="B27" s="1283"/>
      <c r="C27" s="1284"/>
      <c r="D27" s="2471"/>
      <c r="E27" s="2471"/>
      <c r="F27" s="2471"/>
    </row>
    <row r="28" spans="1:6" ht="20.65" customHeight="1" x14ac:dyDescent="0.2">
      <c r="A28" s="1282"/>
      <c r="B28" s="1283"/>
      <c r="C28" s="1284"/>
      <c r="D28" s="2471"/>
      <c r="E28" s="2471"/>
      <c r="F28" s="2471"/>
    </row>
    <row r="29" spans="1:6" ht="20.65" customHeight="1" x14ac:dyDescent="0.2">
      <c r="A29" s="1282"/>
      <c r="B29" s="1283"/>
      <c r="C29" s="1284"/>
      <c r="D29" s="2471"/>
      <c r="E29" s="2471"/>
      <c r="F29" s="2471"/>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75" t="s">
        <v>2187</v>
      </c>
      <c r="B32" s="2475"/>
      <c r="C32" s="2475"/>
      <c r="D32" s="2475"/>
      <c r="E32" s="2475"/>
      <c r="F32" s="2475"/>
    </row>
    <row r="33" spans="1:6" ht="13.5" customHeight="1" x14ac:dyDescent="0.2">
      <c r="A33" s="328" t="s">
        <v>1509</v>
      </c>
      <c r="B33" s="328"/>
      <c r="C33" s="1287">
        <v>38140</v>
      </c>
      <c r="D33" s="1927"/>
      <c r="E33" s="1285"/>
    </row>
    <row r="34" spans="1:6" ht="13.5" customHeight="1" x14ac:dyDescent="0.2">
      <c r="A34" s="328" t="s">
        <v>1946</v>
      </c>
      <c r="B34" s="328"/>
      <c r="C34" s="1288">
        <v>9083</v>
      </c>
      <c r="D34" s="1927" t="s">
        <v>1671</v>
      </c>
      <c r="E34" s="2476">
        <f>+C33+C34</f>
        <v>47223</v>
      </c>
      <c r="F34" s="2477"/>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v>0</v>
      </c>
      <c r="D38" s="1927"/>
      <c r="E38" s="1285"/>
    </row>
    <row r="39" spans="1:6" ht="14.25" customHeight="1" x14ac:dyDescent="0.2">
      <c r="A39" s="328"/>
      <c r="B39" s="328" t="s">
        <v>1511</v>
      </c>
      <c r="C39" s="1291">
        <v>0</v>
      </c>
      <c r="D39" s="1927"/>
      <c r="E39" s="1285"/>
    </row>
    <row r="40" spans="1:6" ht="14.25" customHeight="1" x14ac:dyDescent="0.2">
      <c r="A40" s="328"/>
      <c r="B40" s="328" t="s">
        <v>1512</v>
      </c>
      <c r="C40" s="1291">
        <v>0</v>
      </c>
      <c r="D40" s="1927"/>
      <c r="E40" s="1285"/>
    </row>
    <row r="41" spans="1:6" ht="14.25" customHeight="1" x14ac:dyDescent="0.2">
      <c r="A41" s="328"/>
      <c r="B41" s="328" t="s">
        <v>1513</v>
      </c>
      <c r="C41" s="1291">
        <v>0</v>
      </c>
      <c r="D41" s="1927"/>
      <c r="E41" s="1285"/>
    </row>
    <row r="42" spans="1:6" ht="14.25" customHeight="1" x14ac:dyDescent="0.2">
      <c r="A42" s="328" t="s">
        <v>1514</v>
      </c>
      <c r="B42" s="328"/>
      <c r="C42" s="1925">
        <v>0</v>
      </c>
      <c r="D42" s="1927"/>
      <c r="E42" s="1285"/>
    </row>
    <row r="43" spans="1:6" ht="14.25" customHeight="1" x14ac:dyDescent="0.2">
      <c r="A43" s="328" t="s">
        <v>1515</v>
      </c>
      <c r="B43" s="328"/>
      <c r="C43" s="1292" t="s">
        <v>401</v>
      </c>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8" t="s">
        <v>1672</v>
      </c>
      <c r="C49" s="2478"/>
      <c r="D49" s="2478"/>
      <c r="E49" s="1398"/>
    </row>
    <row r="50" spans="1:5" s="1299" customFormat="1" ht="3.75" customHeight="1" x14ac:dyDescent="0.2">
      <c r="A50" s="1298"/>
      <c r="B50" s="1869"/>
      <c r="C50" s="1869"/>
      <c r="D50" s="1869"/>
      <c r="E50" s="1398"/>
    </row>
    <row r="51" spans="1:5" s="1299" customFormat="1" ht="20.25" customHeight="1" x14ac:dyDescent="0.2">
      <c r="A51" s="1300">
        <v>6</v>
      </c>
      <c r="B51" s="2474" t="s">
        <v>1632</v>
      </c>
      <c r="C51" s="2474"/>
      <c r="D51" s="2474"/>
    </row>
    <row r="52" spans="1:5" ht="14.25" customHeight="1" x14ac:dyDescent="0.2">
      <c r="A52" s="1300"/>
      <c r="B52" s="2474"/>
      <c r="C52" s="2474"/>
      <c r="D52" s="247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1"/>
  <sheetViews>
    <sheetView showGridLines="0" zoomScaleNormal="100" workbookViewId="0">
      <selection activeCell="F17" sqref="F17:F1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3" t="str">
        <f>'Single Audit Cover'!A7</f>
        <v>COUNTY OF WINNEBAGO SCHOOL DISTRICT NO. 320</v>
      </c>
      <c r="C1" s="2479"/>
      <c r="D1" s="2479"/>
      <c r="E1" s="2479"/>
      <c r="F1" s="2479"/>
      <c r="G1" s="2479"/>
      <c r="H1" s="2479"/>
      <c r="I1" s="2479"/>
      <c r="J1" s="2479"/>
      <c r="K1" s="2479"/>
      <c r="L1" s="2479"/>
      <c r="M1" s="2479"/>
    </row>
    <row r="2" spans="2:14" ht="15" x14ac:dyDescent="0.2">
      <c r="B2" s="2468" t="str">
        <f>'Single Audit Cover'!E7</f>
        <v>04-101-3200-26</v>
      </c>
      <c r="C2" s="2468"/>
      <c r="D2" s="2468"/>
      <c r="E2" s="2468"/>
      <c r="F2" s="2468"/>
      <c r="G2" s="2468"/>
      <c r="H2" s="2468"/>
      <c r="I2" s="2468"/>
      <c r="J2" s="2468"/>
      <c r="K2" s="2468"/>
      <c r="L2" s="2468"/>
      <c r="M2" s="2468"/>
      <c r="N2" s="1301"/>
    </row>
    <row r="3" spans="2:14" ht="15" x14ac:dyDescent="0.2">
      <c r="B3" s="2480" t="s">
        <v>1281</v>
      </c>
      <c r="C3" s="2480"/>
      <c r="D3" s="2480"/>
      <c r="E3" s="2480"/>
      <c r="F3" s="2480"/>
      <c r="G3" s="2480"/>
      <c r="H3" s="2480"/>
      <c r="I3" s="2480"/>
      <c r="J3" s="2480"/>
      <c r="K3" s="2480"/>
      <c r="L3" s="2480"/>
      <c r="M3" s="2480"/>
      <c r="N3" s="1301"/>
    </row>
    <row r="4" spans="2:14" ht="15" x14ac:dyDescent="0.2">
      <c r="B4" s="2481" t="str">
        <f>'Single Audit Cover'!A4</f>
        <v>Year Ending June 30, 2018</v>
      </c>
      <c r="C4" s="2481"/>
      <c r="D4" s="2481"/>
      <c r="E4" s="2481"/>
      <c r="F4" s="2481"/>
      <c r="G4" s="2481"/>
      <c r="H4" s="2481"/>
      <c r="I4" s="2481"/>
      <c r="J4" s="2481"/>
      <c r="K4" s="2481"/>
      <c r="L4" s="2481"/>
      <c r="M4" s="2481"/>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2129</v>
      </c>
      <c r="C11" s="1337"/>
      <c r="D11" s="1338"/>
      <c r="E11" s="1339"/>
      <c r="F11" s="1339"/>
      <c r="G11" s="1339"/>
      <c r="H11" s="1339"/>
      <c r="I11" s="1339"/>
      <c r="J11" s="1339"/>
      <c r="K11" s="1339"/>
      <c r="L11" s="1339">
        <f>+G11+I11+K11</f>
        <v>0</v>
      </c>
      <c r="M11" s="1339"/>
    </row>
    <row r="12" spans="2:14" ht="20.100000000000001" customHeight="1" x14ac:dyDescent="0.2">
      <c r="B12" s="1336" t="s">
        <v>2130</v>
      </c>
      <c r="C12" s="1340"/>
      <c r="D12" s="1341"/>
      <c r="E12" s="1342"/>
      <c r="F12" s="1342"/>
      <c r="G12" s="1342"/>
      <c r="H12" s="1342"/>
      <c r="I12" s="1342"/>
      <c r="J12" s="1342"/>
      <c r="K12" s="1342"/>
      <c r="L12" s="1339">
        <f t="shared" ref="L12:L27" si="0">+G12+I12+K12</f>
        <v>0</v>
      </c>
      <c r="M12" s="1342"/>
    </row>
    <row r="13" spans="2:14" ht="22.5" x14ac:dyDescent="0.2">
      <c r="B13" s="1336" t="s">
        <v>2131</v>
      </c>
      <c r="C13" s="1340">
        <v>10.555</v>
      </c>
      <c r="D13" s="1341">
        <v>2018</v>
      </c>
      <c r="E13" s="1342">
        <v>0</v>
      </c>
      <c r="F13" s="1342">
        <v>9083</v>
      </c>
      <c r="G13" s="1342">
        <v>0</v>
      </c>
      <c r="H13" s="1342">
        <v>0</v>
      </c>
      <c r="I13" s="1342">
        <v>9083</v>
      </c>
      <c r="J13" s="1342">
        <v>0</v>
      </c>
      <c r="K13" s="1342">
        <v>0</v>
      </c>
      <c r="L13" s="1339">
        <f t="shared" si="0"/>
        <v>9083</v>
      </c>
      <c r="M13" s="1342" t="s">
        <v>2127</v>
      </c>
    </row>
    <row r="14" spans="2:14" ht="20.100000000000001" customHeight="1" x14ac:dyDescent="0.2">
      <c r="B14" s="1336" t="s">
        <v>2132</v>
      </c>
      <c r="C14" s="1340">
        <v>10.55</v>
      </c>
      <c r="D14" s="1341">
        <v>2017</v>
      </c>
      <c r="E14" s="1342">
        <v>39513</v>
      </c>
      <c r="F14" s="1342">
        <v>0</v>
      </c>
      <c r="G14" s="1342">
        <v>39513</v>
      </c>
      <c r="H14" s="1342">
        <v>0</v>
      </c>
      <c r="I14" s="1342">
        <v>0</v>
      </c>
      <c r="J14" s="1342">
        <v>0</v>
      </c>
      <c r="K14" s="1342">
        <v>0</v>
      </c>
      <c r="L14" s="1339">
        <f t="shared" si="0"/>
        <v>39513</v>
      </c>
      <c r="M14" s="1342" t="s">
        <v>2127</v>
      </c>
    </row>
    <row r="15" spans="2:14" ht="20.100000000000001" customHeight="1" x14ac:dyDescent="0.2">
      <c r="B15" s="1336" t="s">
        <v>2132</v>
      </c>
      <c r="C15" s="1340">
        <v>10.55</v>
      </c>
      <c r="D15" s="1341">
        <v>2018</v>
      </c>
      <c r="E15" s="1342">
        <v>0</v>
      </c>
      <c r="F15" s="1342">
        <v>38140</v>
      </c>
      <c r="G15" s="1342">
        <v>0</v>
      </c>
      <c r="H15" s="1342">
        <v>0</v>
      </c>
      <c r="I15" s="1342">
        <v>38140</v>
      </c>
      <c r="J15" s="1342">
        <v>0</v>
      </c>
      <c r="K15" s="1342">
        <v>0</v>
      </c>
      <c r="L15" s="1339">
        <f t="shared" si="0"/>
        <v>38140</v>
      </c>
      <c r="M15" s="1342" t="s">
        <v>2127</v>
      </c>
    </row>
    <row r="16" spans="2:14" ht="20.100000000000001" customHeight="1" x14ac:dyDescent="0.2">
      <c r="B16" s="1336" t="s">
        <v>2138</v>
      </c>
      <c r="C16" s="1340">
        <v>10.555</v>
      </c>
      <c r="D16" s="1341" t="s">
        <v>2137</v>
      </c>
      <c r="E16" s="1342">
        <v>57768</v>
      </c>
      <c r="F16" s="1342">
        <v>0</v>
      </c>
      <c r="G16" s="1342">
        <v>57768</v>
      </c>
      <c r="H16" s="1342">
        <v>0</v>
      </c>
      <c r="I16" s="1342">
        <v>0</v>
      </c>
      <c r="J16" s="1342">
        <v>0</v>
      </c>
      <c r="K16" s="1342">
        <v>0</v>
      </c>
      <c r="L16" s="1339">
        <f t="shared" si="0"/>
        <v>57768</v>
      </c>
      <c r="M16" s="1342" t="s">
        <v>2127</v>
      </c>
    </row>
    <row r="17" spans="2:14" ht="20.100000000000001" customHeight="1" x14ac:dyDescent="0.2">
      <c r="B17" s="1336" t="s">
        <v>2133</v>
      </c>
      <c r="C17" s="1340">
        <v>10.555</v>
      </c>
      <c r="D17" s="1341" t="s">
        <v>2135</v>
      </c>
      <c r="E17" s="1342">
        <v>242441</v>
      </c>
      <c r="F17" s="1342">
        <v>51402</v>
      </c>
      <c r="G17" s="1342">
        <v>242441</v>
      </c>
      <c r="H17" s="1342">
        <v>0</v>
      </c>
      <c r="I17" s="1342">
        <v>51402</v>
      </c>
      <c r="J17" s="1342">
        <v>0</v>
      </c>
      <c r="K17" s="1342">
        <v>0</v>
      </c>
      <c r="L17" s="1339">
        <f t="shared" si="0"/>
        <v>293843</v>
      </c>
      <c r="M17" s="1342" t="s">
        <v>2127</v>
      </c>
    </row>
    <row r="18" spans="2:14" ht="20.100000000000001" customHeight="1" x14ac:dyDescent="0.2">
      <c r="B18" s="1336" t="s">
        <v>2133</v>
      </c>
      <c r="C18" s="1340">
        <v>10.555</v>
      </c>
      <c r="D18" s="1341" t="s">
        <v>2136</v>
      </c>
      <c r="E18" s="1960">
        <v>0</v>
      </c>
      <c r="F18" s="1960">
        <v>241196</v>
      </c>
      <c r="G18" s="1960">
        <v>0</v>
      </c>
      <c r="H18" s="1960">
        <v>0</v>
      </c>
      <c r="I18" s="1960">
        <v>241195</v>
      </c>
      <c r="J18" s="1960">
        <v>0</v>
      </c>
      <c r="K18" s="1960">
        <v>0</v>
      </c>
      <c r="L18" s="1961">
        <f t="shared" si="0"/>
        <v>241195</v>
      </c>
      <c r="M18" s="1342" t="s">
        <v>2127</v>
      </c>
    </row>
    <row r="19" spans="2:14" ht="20.100000000000001" customHeight="1" x14ac:dyDescent="0.2">
      <c r="B19" s="1336" t="s">
        <v>2134</v>
      </c>
      <c r="C19" s="1340"/>
      <c r="D19" s="1341"/>
      <c r="E19" s="1960">
        <f t="shared" ref="E19:K19" si="1">SUM(E13:E18)</f>
        <v>339722</v>
      </c>
      <c r="F19" s="1960">
        <f t="shared" si="1"/>
        <v>339821</v>
      </c>
      <c r="G19" s="1960">
        <f t="shared" si="1"/>
        <v>339722</v>
      </c>
      <c r="H19" s="1960">
        <f t="shared" si="1"/>
        <v>0</v>
      </c>
      <c r="I19" s="1960">
        <f t="shared" si="1"/>
        <v>339820</v>
      </c>
      <c r="J19" s="1960">
        <f t="shared" si="1"/>
        <v>0</v>
      </c>
      <c r="K19" s="1960">
        <f t="shared" si="1"/>
        <v>0</v>
      </c>
      <c r="L19" s="1961">
        <f t="shared" si="0"/>
        <v>679542</v>
      </c>
      <c r="M19" s="1342"/>
    </row>
    <row r="20" spans="2:14" ht="20.100000000000001" customHeight="1" x14ac:dyDescent="0.2">
      <c r="B20" s="1336" t="s">
        <v>2139</v>
      </c>
      <c r="C20" s="1340">
        <v>10.553000000000001</v>
      </c>
      <c r="D20" s="1341" t="s">
        <v>2140</v>
      </c>
      <c r="E20" s="1342">
        <v>15468</v>
      </c>
      <c r="F20" s="1342">
        <v>0</v>
      </c>
      <c r="G20" s="1342">
        <v>15468</v>
      </c>
      <c r="H20" s="1342">
        <v>0</v>
      </c>
      <c r="I20" s="1342">
        <v>0</v>
      </c>
      <c r="J20" s="1342">
        <v>0</v>
      </c>
      <c r="K20" s="1342">
        <v>0</v>
      </c>
      <c r="L20" s="1339">
        <f t="shared" si="0"/>
        <v>15468</v>
      </c>
      <c r="M20" s="1342" t="s">
        <v>2127</v>
      </c>
    </row>
    <row r="21" spans="2:14" ht="20.100000000000001" customHeight="1" x14ac:dyDescent="0.2">
      <c r="B21" s="1336" t="s">
        <v>2143</v>
      </c>
      <c r="C21" s="1340">
        <v>10.553000000000001</v>
      </c>
      <c r="D21" s="1341" t="s">
        <v>2141</v>
      </c>
      <c r="E21" s="1342">
        <v>70611</v>
      </c>
      <c r="F21" s="1342">
        <v>15001</v>
      </c>
      <c r="G21" s="1342">
        <v>70611</v>
      </c>
      <c r="H21" s="1342">
        <v>0</v>
      </c>
      <c r="I21" s="1342">
        <v>15001</v>
      </c>
      <c r="J21" s="1342">
        <v>0</v>
      </c>
      <c r="K21" s="1342">
        <v>0</v>
      </c>
      <c r="L21" s="1339">
        <f t="shared" si="0"/>
        <v>85612</v>
      </c>
      <c r="M21" s="1342" t="s">
        <v>2127</v>
      </c>
    </row>
    <row r="22" spans="2:14" ht="20.100000000000001" customHeight="1" x14ac:dyDescent="0.2">
      <c r="B22" s="1336" t="s">
        <v>2143</v>
      </c>
      <c r="C22" s="1340">
        <v>10.553000000000001</v>
      </c>
      <c r="D22" s="1341" t="s">
        <v>2142</v>
      </c>
      <c r="E22" s="1960">
        <v>0</v>
      </c>
      <c r="F22" s="1960">
        <v>79954</v>
      </c>
      <c r="G22" s="1960">
        <v>0</v>
      </c>
      <c r="H22" s="1960">
        <v>0</v>
      </c>
      <c r="I22" s="1960">
        <v>79954</v>
      </c>
      <c r="J22" s="1960">
        <v>0</v>
      </c>
      <c r="K22" s="1960">
        <v>0</v>
      </c>
      <c r="L22" s="1961">
        <f t="shared" si="0"/>
        <v>79954</v>
      </c>
      <c r="M22" s="1342" t="s">
        <v>2127</v>
      </c>
    </row>
    <row r="23" spans="2:14" ht="20.100000000000001" customHeight="1" x14ac:dyDescent="0.2">
      <c r="B23" s="1336" t="s">
        <v>2144</v>
      </c>
      <c r="C23" s="1340"/>
      <c r="D23" s="1341"/>
      <c r="E23" s="1960">
        <f>SUM(E20:E22)</f>
        <v>86079</v>
      </c>
      <c r="F23" s="1960">
        <f t="shared" ref="F23:K23" si="2">SUM(F20:F22)</f>
        <v>94955</v>
      </c>
      <c r="G23" s="1960">
        <f t="shared" si="2"/>
        <v>86079</v>
      </c>
      <c r="H23" s="1960">
        <f t="shared" si="2"/>
        <v>0</v>
      </c>
      <c r="I23" s="1960">
        <f t="shared" si="2"/>
        <v>94955</v>
      </c>
      <c r="J23" s="1960">
        <f t="shared" si="2"/>
        <v>0</v>
      </c>
      <c r="K23" s="1960">
        <f t="shared" si="2"/>
        <v>0</v>
      </c>
      <c r="L23" s="1961">
        <f t="shared" si="0"/>
        <v>181034</v>
      </c>
      <c r="M23" s="1342"/>
    </row>
    <row r="24" spans="2:14" ht="20.100000000000001" customHeight="1" x14ac:dyDescent="0.2">
      <c r="B24" s="1336" t="s">
        <v>2145</v>
      </c>
      <c r="C24" s="1340"/>
      <c r="D24" s="1341"/>
      <c r="E24" s="1960">
        <f>E19+E23</f>
        <v>425801</v>
      </c>
      <c r="F24" s="1960">
        <f t="shared" ref="F24:K24" si="3">F19+F23</f>
        <v>434776</v>
      </c>
      <c r="G24" s="1960">
        <f t="shared" si="3"/>
        <v>425801</v>
      </c>
      <c r="H24" s="1960">
        <f t="shared" si="3"/>
        <v>0</v>
      </c>
      <c r="I24" s="1960">
        <f t="shared" si="3"/>
        <v>434775</v>
      </c>
      <c r="J24" s="1960">
        <f t="shared" si="3"/>
        <v>0</v>
      </c>
      <c r="K24" s="1960">
        <f t="shared" si="3"/>
        <v>0</v>
      </c>
      <c r="L24" s="1961">
        <f t="shared" si="0"/>
        <v>860576</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t="s">
        <v>2146</v>
      </c>
      <c r="C26" s="1340"/>
      <c r="D26" s="1341"/>
      <c r="E26" s="1342"/>
      <c r="F26" s="1342"/>
      <c r="G26" s="1342"/>
      <c r="H26" s="1342"/>
      <c r="I26" s="1342"/>
      <c r="J26" s="1342"/>
      <c r="K26" s="1342"/>
      <c r="L26" s="1339">
        <f t="shared" si="0"/>
        <v>0</v>
      </c>
      <c r="M26" s="1342"/>
    </row>
    <row r="27" spans="2:14" ht="20.100000000000001" customHeight="1" x14ac:dyDescent="0.2">
      <c r="B27" s="1336" t="s">
        <v>2130</v>
      </c>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1"/>
  <sheetViews>
    <sheetView showGridLines="0" zoomScaleNormal="100" workbookViewId="0">
      <selection activeCell="B24" sqref="B24"/>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3" t="str">
        <f>'Single Audit Cover'!A7</f>
        <v>COUNTY OF WINNEBAGO SCHOOL DISTRICT NO. 320</v>
      </c>
      <c r="C1" s="2479"/>
      <c r="D1" s="2479"/>
      <c r="E1" s="2479"/>
      <c r="F1" s="2479"/>
      <c r="G1" s="2479"/>
      <c r="H1" s="2479"/>
      <c r="I1" s="2479"/>
      <c r="J1" s="2479"/>
      <c r="K1" s="2479"/>
      <c r="L1" s="2479"/>
      <c r="M1" s="2479"/>
    </row>
    <row r="2" spans="2:14" ht="15" x14ac:dyDescent="0.2">
      <c r="B2" s="2468" t="str">
        <f>'Single Audit Cover'!E7</f>
        <v>04-101-3200-26</v>
      </c>
      <c r="C2" s="2468"/>
      <c r="D2" s="2468"/>
      <c r="E2" s="2468"/>
      <c r="F2" s="2468"/>
      <c r="G2" s="2468"/>
      <c r="H2" s="2468"/>
      <c r="I2" s="2468"/>
      <c r="J2" s="2468"/>
      <c r="K2" s="2468"/>
      <c r="L2" s="2468"/>
      <c r="M2" s="2468"/>
      <c r="N2" s="1301"/>
    </row>
    <row r="3" spans="2:14" ht="15" x14ac:dyDescent="0.2">
      <c r="B3" s="2480" t="s">
        <v>1281</v>
      </c>
      <c r="C3" s="2480"/>
      <c r="D3" s="2480"/>
      <c r="E3" s="2480"/>
      <c r="F3" s="2480"/>
      <c r="G3" s="2480"/>
      <c r="H3" s="2480"/>
      <c r="I3" s="2480"/>
      <c r="J3" s="2480"/>
      <c r="K3" s="2480"/>
      <c r="L3" s="2480"/>
      <c r="M3" s="2480"/>
      <c r="N3" s="1301"/>
    </row>
    <row r="4" spans="2:14" ht="15" x14ac:dyDescent="0.2">
      <c r="B4" s="2481" t="str">
        <f>'Single Audit Cover'!A4</f>
        <v>Year Ending June 30, 2018</v>
      </c>
      <c r="C4" s="2481"/>
      <c r="D4" s="2481"/>
      <c r="E4" s="2481"/>
      <c r="F4" s="2481"/>
      <c r="G4" s="2481"/>
      <c r="H4" s="2481"/>
      <c r="I4" s="2481"/>
      <c r="J4" s="2481"/>
      <c r="K4" s="2481"/>
      <c r="L4" s="2481"/>
      <c r="M4" s="2481"/>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2147</v>
      </c>
      <c r="C11" s="1337" t="s">
        <v>2148</v>
      </c>
      <c r="D11" s="1338" t="s">
        <v>2150</v>
      </c>
      <c r="E11" s="1339">
        <v>3124</v>
      </c>
      <c r="F11" s="1339">
        <v>0</v>
      </c>
      <c r="G11" s="1339">
        <v>1852</v>
      </c>
      <c r="H11" s="1339">
        <v>0</v>
      </c>
      <c r="I11" s="1339">
        <v>0</v>
      </c>
      <c r="J11" s="1339">
        <v>0</v>
      </c>
      <c r="K11" s="1339">
        <v>0</v>
      </c>
      <c r="L11" s="1339">
        <f>+G11+I11+K11</f>
        <v>1852</v>
      </c>
      <c r="M11" s="1339">
        <v>509531</v>
      </c>
    </row>
    <row r="12" spans="2:14" ht="20.100000000000001" customHeight="1" x14ac:dyDescent="0.2">
      <c r="B12" s="1336" t="s">
        <v>2147</v>
      </c>
      <c r="C12" s="1337" t="s">
        <v>2148</v>
      </c>
      <c r="D12" s="1338" t="s">
        <v>2149</v>
      </c>
      <c r="E12" s="1342">
        <v>518072</v>
      </c>
      <c r="F12" s="1342">
        <v>17889</v>
      </c>
      <c r="G12" s="1342">
        <v>535959</v>
      </c>
      <c r="H12" s="1342">
        <v>0</v>
      </c>
      <c r="I12" s="1342">
        <v>0</v>
      </c>
      <c r="J12" s="1342">
        <v>0</v>
      </c>
      <c r="K12" s="1342">
        <v>0</v>
      </c>
      <c r="L12" s="1339">
        <f t="shared" ref="L12:L27" si="0">+G12+I12+K12</f>
        <v>535959</v>
      </c>
      <c r="M12" s="1342">
        <v>548035</v>
      </c>
    </row>
    <row r="13" spans="2:14" ht="20.100000000000001" customHeight="1" x14ac:dyDescent="0.2">
      <c r="B13" s="1336" t="s">
        <v>2147</v>
      </c>
      <c r="C13" s="1337" t="s">
        <v>2148</v>
      </c>
      <c r="D13" s="1341" t="s">
        <v>2151</v>
      </c>
      <c r="E13" s="1960">
        <v>0</v>
      </c>
      <c r="F13" s="1960">
        <v>406815</v>
      </c>
      <c r="G13" s="1960">
        <v>0</v>
      </c>
      <c r="H13" s="1960">
        <v>0</v>
      </c>
      <c r="I13" s="1960">
        <v>420515</v>
      </c>
      <c r="J13" s="1960">
        <v>0</v>
      </c>
      <c r="K13" s="1960">
        <v>2913</v>
      </c>
      <c r="L13" s="1961">
        <f t="shared" si="0"/>
        <v>423428</v>
      </c>
      <c r="M13" s="1342">
        <v>434579</v>
      </c>
    </row>
    <row r="14" spans="2:14" ht="20.100000000000001" customHeight="1" x14ac:dyDescent="0.2">
      <c r="B14" s="1336" t="s">
        <v>2152</v>
      </c>
      <c r="C14" s="1340"/>
      <c r="D14" s="1341"/>
      <c r="E14" s="1960">
        <f>SUM(E11:E13)</f>
        <v>521196</v>
      </c>
      <c r="F14" s="1960">
        <f t="shared" ref="F14:K14" si="1">SUM(F11:F13)</f>
        <v>424704</v>
      </c>
      <c r="G14" s="1960">
        <f t="shared" si="1"/>
        <v>537811</v>
      </c>
      <c r="H14" s="1960">
        <f t="shared" si="1"/>
        <v>0</v>
      </c>
      <c r="I14" s="1960">
        <f t="shared" si="1"/>
        <v>420515</v>
      </c>
      <c r="J14" s="1960">
        <f t="shared" si="1"/>
        <v>0</v>
      </c>
      <c r="K14" s="1960">
        <f t="shared" si="1"/>
        <v>2913</v>
      </c>
      <c r="L14" s="1961">
        <f t="shared" si="0"/>
        <v>961239</v>
      </c>
      <c r="M14" s="1342"/>
    </row>
    <row r="15" spans="2:14" ht="20.100000000000001" customHeight="1" x14ac:dyDescent="0.2">
      <c r="B15" s="1336" t="s">
        <v>2153</v>
      </c>
      <c r="C15" s="1340" t="s">
        <v>2154</v>
      </c>
      <c r="D15" s="1341" t="s">
        <v>2155</v>
      </c>
      <c r="E15" s="1342">
        <v>33603</v>
      </c>
      <c r="F15" s="1342">
        <v>0</v>
      </c>
      <c r="G15" s="1342">
        <v>32206</v>
      </c>
      <c r="H15" s="1342">
        <v>0</v>
      </c>
      <c r="I15" s="1342">
        <v>0</v>
      </c>
      <c r="J15" s="1342">
        <v>0</v>
      </c>
      <c r="K15" s="1342">
        <v>0</v>
      </c>
      <c r="L15" s="1339">
        <f t="shared" si="0"/>
        <v>32206</v>
      </c>
      <c r="M15" s="1342">
        <v>33449</v>
      </c>
    </row>
    <row r="16" spans="2:14" ht="20.100000000000001" customHeight="1" x14ac:dyDescent="0.2">
      <c r="B16" s="1336" t="s">
        <v>2156</v>
      </c>
      <c r="C16" s="1340" t="s">
        <v>2154</v>
      </c>
      <c r="D16" s="1341" t="s">
        <v>2157</v>
      </c>
      <c r="E16" s="1960">
        <v>0</v>
      </c>
      <c r="F16" s="1960">
        <v>41694</v>
      </c>
      <c r="G16" s="1960">
        <v>0</v>
      </c>
      <c r="H16" s="1960">
        <v>0</v>
      </c>
      <c r="I16" s="1960">
        <v>45558</v>
      </c>
      <c r="J16" s="1960">
        <v>0</v>
      </c>
      <c r="K16" s="1960">
        <v>137</v>
      </c>
      <c r="L16" s="1961">
        <f t="shared" si="0"/>
        <v>45695</v>
      </c>
      <c r="M16" s="1342">
        <v>45695</v>
      </c>
    </row>
    <row r="17" spans="2:14" ht="20.100000000000001" customHeight="1" x14ac:dyDescent="0.2">
      <c r="B17" s="1336" t="s">
        <v>2158</v>
      </c>
      <c r="C17" s="1340"/>
      <c r="D17" s="1341"/>
      <c r="E17" s="1960">
        <f>SUM(E15:E16)</f>
        <v>33603</v>
      </c>
      <c r="F17" s="1960">
        <f t="shared" ref="F17:K17" si="2">SUM(F15:F16)</f>
        <v>41694</v>
      </c>
      <c r="G17" s="1960">
        <f t="shared" si="2"/>
        <v>32206</v>
      </c>
      <c r="H17" s="1960">
        <f t="shared" si="2"/>
        <v>0</v>
      </c>
      <c r="I17" s="1960">
        <f t="shared" si="2"/>
        <v>45558</v>
      </c>
      <c r="J17" s="1960">
        <f t="shared" si="2"/>
        <v>0</v>
      </c>
      <c r="K17" s="1960">
        <f t="shared" si="2"/>
        <v>137</v>
      </c>
      <c r="L17" s="1961">
        <f t="shared" si="0"/>
        <v>77901</v>
      </c>
      <c r="M17" s="1342"/>
    </row>
    <row r="18" spans="2:14" ht="20.100000000000001" customHeight="1" x14ac:dyDescent="0.2">
      <c r="B18" s="1336" t="s">
        <v>2159</v>
      </c>
      <c r="C18" s="1340" t="s">
        <v>2160</v>
      </c>
      <c r="D18" s="1341" t="s">
        <v>2161</v>
      </c>
      <c r="E18" s="1960">
        <v>0</v>
      </c>
      <c r="F18" s="1960">
        <v>14701</v>
      </c>
      <c r="G18" s="1960">
        <v>0</v>
      </c>
      <c r="H18" s="1960">
        <v>0</v>
      </c>
      <c r="I18" s="1960">
        <v>14949</v>
      </c>
      <c r="J18" s="1960">
        <v>0</v>
      </c>
      <c r="K18" s="1960">
        <v>0</v>
      </c>
      <c r="L18" s="1961">
        <f t="shared" si="0"/>
        <v>14949</v>
      </c>
      <c r="M18" s="1342">
        <v>16737</v>
      </c>
    </row>
    <row r="19" spans="2:14" ht="20.100000000000001" customHeight="1" x14ac:dyDescent="0.2">
      <c r="B19" s="1336" t="s">
        <v>2162</v>
      </c>
      <c r="C19" s="1340"/>
      <c r="D19" s="1341"/>
      <c r="E19" s="1960">
        <f>SUM(E18)</f>
        <v>0</v>
      </c>
      <c r="F19" s="1960">
        <f t="shared" ref="F19:K19" si="3">SUM(F18)</f>
        <v>14701</v>
      </c>
      <c r="G19" s="1960">
        <f t="shared" si="3"/>
        <v>0</v>
      </c>
      <c r="H19" s="1960">
        <f t="shared" si="3"/>
        <v>0</v>
      </c>
      <c r="I19" s="1960">
        <f t="shared" si="3"/>
        <v>14949</v>
      </c>
      <c r="J19" s="1960">
        <f t="shared" si="3"/>
        <v>0</v>
      </c>
      <c r="K19" s="1960">
        <f t="shared" si="3"/>
        <v>0</v>
      </c>
      <c r="L19" s="1961">
        <f t="shared" si="0"/>
        <v>14949</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2.5" x14ac:dyDescent="0.2">
      <c r="B21" s="1336" t="s">
        <v>2163</v>
      </c>
      <c r="C21" s="1340"/>
      <c r="D21" s="1341"/>
      <c r="E21" s="1342"/>
      <c r="F21" s="1342"/>
      <c r="G21" s="1342"/>
      <c r="H21" s="1342"/>
      <c r="I21" s="1342"/>
      <c r="J21" s="1342"/>
      <c r="K21" s="1342"/>
      <c r="L21" s="1339">
        <f t="shared" si="0"/>
        <v>0</v>
      </c>
      <c r="M21" s="1342"/>
    </row>
    <row r="22" spans="2:14" ht="20.100000000000001" customHeight="1" x14ac:dyDescent="0.2">
      <c r="B22" s="1336" t="s">
        <v>2164</v>
      </c>
      <c r="C22" s="1340" t="s">
        <v>2165</v>
      </c>
      <c r="D22" s="1341" t="s">
        <v>2166</v>
      </c>
      <c r="E22" s="1342">
        <v>-25204</v>
      </c>
      <c r="F22" s="1342">
        <v>0</v>
      </c>
      <c r="G22" s="1342">
        <v>0</v>
      </c>
      <c r="H22" s="1342">
        <v>0</v>
      </c>
      <c r="I22" s="1342">
        <v>0</v>
      </c>
      <c r="J22" s="1342">
        <v>0</v>
      </c>
      <c r="K22" s="1342">
        <v>0</v>
      </c>
      <c r="L22" s="1339">
        <f t="shared" si="0"/>
        <v>0</v>
      </c>
      <c r="M22" s="1342">
        <v>248969</v>
      </c>
    </row>
    <row r="23" spans="2:14" ht="20.100000000000001" customHeight="1" x14ac:dyDescent="0.2">
      <c r="B23" s="1336" t="s">
        <v>2164</v>
      </c>
      <c r="C23" s="1340" t="s">
        <v>2165</v>
      </c>
      <c r="D23" s="1341" t="s">
        <v>2167</v>
      </c>
      <c r="E23" s="1342">
        <v>323451</v>
      </c>
      <c r="F23" s="1342">
        <v>0</v>
      </c>
      <c r="G23" s="1342">
        <v>323452</v>
      </c>
      <c r="H23" s="1342">
        <v>0</v>
      </c>
      <c r="I23" s="1342">
        <v>0</v>
      </c>
      <c r="J23" s="1342">
        <v>0</v>
      </c>
      <c r="K23" s="1342">
        <v>0</v>
      </c>
      <c r="L23" s="1339">
        <f t="shared" si="0"/>
        <v>323452</v>
      </c>
      <c r="M23" s="1342">
        <v>348819</v>
      </c>
    </row>
    <row r="24" spans="2:14" ht="20.100000000000001" customHeight="1" x14ac:dyDescent="0.2">
      <c r="B24" s="1336" t="s">
        <v>2188</v>
      </c>
      <c r="C24" s="1340" t="s">
        <v>2165</v>
      </c>
      <c r="D24" s="1341" t="s">
        <v>2168</v>
      </c>
      <c r="E24" s="1960">
        <v>0</v>
      </c>
      <c r="F24" s="1960">
        <v>274378</v>
      </c>
      <c r="G24" s="1960">
        <v>0</v>
      </c>
      <c r="H24" s="1960">
        <v>0</v>
      </c>
      <c r="I24" s="1960">
        <v>278509</v>
      </c>
      <c r="J24" s="1960">
        <v>0</v>
      </c>
      <c r="K24" s="1960">
        <v>0</v>
      </c>
      <c r="L24" s="1961">
        <f t="shared" si="0"/>
        <v>278509</v>
      </c>
      <c r="M24" s="1342">
        <v>298556</v>
      </c>
    </row>
    <row r="25" spans="2:14" ht="20.100000000000001" customHeight="1" x14ac:dyDescent="0.2">
      <c r="B25" s="1336" t="s">
        <v>2169</v>
      </c>
      <c r="C25" s="1340"/>
      <c r="D25" s="1341"/>
      <c r="E25" s="1960">
        <f>SUM(E22:E24)</f>
        <v>298247</v>
      </c>
      <c r="F25" s="1960">
        <f t="shared" ref="F25:K25" si="4">SUM(F22:F24)</f>
        <v>274378</v>
      </c>
      <c r="G25" s="1960">
        <f t="shared" si="4"/>
        <v>323452</v>
      </c>
      <c r="H25" s="1960">
        <f t="shared" si="4"/>
        <v>0</v>
      </c>
      <c r="I25" s="1960">
        <f t="shared" si="4"/>
        <v>278509</v>
      </c>
      <c r="J25" s="1960">
        <f t="shared" si="4"/>
        <v>0</v>
      </c>
      <c r="K25" s="1960">
        <f t="shared" si="4"/>
        <v>0</v>
      </c>
      <c r="L25" s="1961">
        <f t="shared" si="0"/>
        <v>601961</v>
      </c>
      <c r="M25" s="1342"/>
    </row>
    <row r="26" spans="2:14" ht="20.100000000000001" customHeight="1" x14ac:dyDescent="0.2">
      <c r="B26" s="1336" t="s">
        <v>2170</v>
      </c>
      <c r="C26" s="1340" t="s">
        <v>2171</v>
      </c>
      <c r="D26" s="1341" t="s">
        <v>2172</v>
      </c>
      <c r="E26" s="1342">
        <v>-2285</v>
      </c>
      <c r="F26" s="1342">
        <v>0</v>
      </c>
      <c r="G26" s="1342">
        <v>0</v>
      </c>
      <c r="H26" s="1342">
        <v>0</v>
      </c>
      <c r="I26" s="1342">
        <v>0</v>
      </c>
      <c r="J26" s="1342">
        <v>0</v>
      </c>
      <c r="K26" s="1342">
        <v>0</v>
      </c>
      <c r="L26" s="1339">
        <f t="shared" si="0"/>
        <v>0</v>
      </c>
      <c r="M26" s="1342">
        <v>16023</v>
      </c>
    </row>
    <row r="27" spans="2:14" ht="20.100000000000001" customHeight="1" x14ac:dyDescent="0.2">
      <c r="B27" s="1336" t="s">
        <v>2170</v>
      </c>
      <c r="C27" s="1340" t="s">
        <v>2171</v>
      </c>
      <c r="D27" s="1341" t="s">
        <v>2173</v>
      </c>
      <c r="E27" s="1342">
        <v>18179</v>
      </c>
      <c r="F27" s="1342">
        <v>0</v>
      </c>
      <c r="G27" s="1342">
        <v>18255</v>
      </c>
      <c r="H27" s="1342">
        <v>0</v>
      </c>
      <c r="I27" s="1342">
        <v>0</v>
      </c>
      <c r="J27" s="1342">
        <v>0</v>
      </c>
      <c r="K27" s="1342">
        <v>0</v>
      </c>
      <c r="L27" s="1339">
        <f t="shared" si="0"/>
        <v>18255</v>
      </c>
      <c r="M27" s="1342">
        <v>18179</v>
      </c>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1"/>
  <sheetViews>
    <sheetView showGridLines="0" zoomScaleNormal="100" workbookViewId="0">
      <selection activeCell="B11" sqref="B1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3" t="str">
        <f>'Single Audit Cover'!A7</f>
        <v>COUNTY OF WINNEBAGO SCHOOL DISTRICT NO. 320</v>
      </c>
      <c r="C1" s="2479"/>
      <c r="D1" s="2479"/>
      <c r="E1" s="2479"/>
      <c r="F1" s="2479"/>
      <c r="G1" s="2479"/>
      <c r="H1" s="2479"/>
      <c r="I1" s="2479"/>
      <c r="J1" s="2479"/>
      <c r="K1" s="2479"/>
      <c r="L1" s="2479"/>
      <c r="M1" s="2479"/>
    </row>
    <row r="2" spans="2:14" ht="15" x14ac:dyDescent="0.2">
      <c r="B2" s="2468" t="str">
        <f>'Single Audit Cover'!E7</f>
        <v>04-101-3200-26</v>
      </c>
      <c r="C2" s="2468"/>
      <c r="D2" s="2468"/>
      <c r="E2" s="2468"/>
      <c r="F2" s="2468"/>
      <c r="G2" s="2468"/>
      <c r="H2" s="2468"/>
      <c r="I2" s="2468"/>
      <c r="J2" s="2468"/>
      <c r="K2" s="2468"/>
      <c r="L2" s="2468"/>
      <c r="M2" s="2468"/>
      <c r="N2" s="1301"/>
    </row>
    <row r="3" spans="2:14" ht="15" x14ac:dyDescent="0.2">
      <c r="B3" s="2480" t="s">
        <v>1281</v>
      </c>
      <c r="C3" s="2480"/>
      <c r="D3" s="2480"/>
      <c r="E3" s="2480"/>
      <c r="F3" s="2480"/>
      <c r="G3" s="2480"/>
      <c r="H3" s="2480"/>
      <c r="I3" s="2480"/>
      <c r="J3" s="2480"/>
      <c r="K3" s="2480"/>
      <c r="L3" s="2480"/>
      <c r="M3" s="2480"/>
      <c r="N3" s="1301"/>
    </row>
    <row r="4" spans="2:14" ht="15" x14ac:dyDescent="0.2">
      <c r="B4" s="2481" t="str">
        <f>'Single Audit Cover'!A4</f>
        <v>Year Ending June 30, 2018</v>
      </c>
      <c r="C4" s="2481"/>
      <c r="D4" s="2481"/>
      <c r="E4" s="2481"/>
      <c r="F4" s="2481"/>
      <c r="G4" s="2481"/>
      <c r="H4" s="2481"/>
      <c r="I4" s="2481"/>
      <c r="J4" s="2481"/>
      <c r="K4" s="2481"/>
      <c r="L4" s="2481"/>
      <c r="M4" s="2481"/>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2189</v>
      </c>
      <c r="C11" s="1340" t="s">
        <v>2171</v>
      </c>
      <c r="D11" s="1338" t="s">
        <v>2174</v>
      </c>
      <c r="E11" s="1961">
        <v>0</v>
      </c>
      <c r="F11" s="1961">
        <v>14031</v>
      </c>
      <c r="G11" s="1961">
        <v>0</v>
      </c>
      <c r="H11" s="1961">
        <v>0</v>
      </c>
      <c r="I11" s="1961">
        <v>14031</v>
      </c>
      <c r="J11" s="1961">
        <v>0</v>
      </c>
      <c r="K11" s="1961">
        <v>0</v>
      </c>
      <c r="L11" s="1961">
        <f>+G11+I11+K11</f>
        <v>14031</v>
      </c>
      <c r="M11" s="1339">
        <v>20502</v>
      </c>
    </row>
    <row r="12" spans="2:14" ht="20.100000000000001" customHeight="1" x14ac:dyDescent="0.2">
      <c r="B12" s="1336" t="s">
        <v>2175</v>
      </c>
      <c r="C12" s="1340"/>
      <c r="D12" s="1341"/>
      <c r="E12" s="1960">
        <f>E11+' SEFA (2)'!E27+' SEFA (2)'!E26</f>
        <v>15894</v>
      </c>
      <c r="F12" s="1960">
        <f>F11+' SEFA (2)'!F27+' SEFA (2)'!F26</f>
        <v>14031</v>
      </c>
      <c r="G12" s="1960">
        <f>G11+' SEFA (2)'!G27+' SEFA (2)'!G26</f>
        <v>18255</v>
      </c>
      <c r="H12" s="1960">
        <f>H11+' SEFA (2)'!H27+' SEFA (2)'!H26</f>
        <v>0</v>
      </c>
      <c r="I12" s="1960">
        <f>I11+' SEFA (2)'!I27+' SEFA (2)'!I26</f>
        <v>14031</v>
      </c>
      <c r="J12" s="1960">
        <f>J11+' SEFA (2)'!J27+' SEFA (2)'!J26</f>
        <v>0</v>
      </c>
      <c r="K12" s="1960">
        <f>K11+' SEFA (2)'!K27+' SEFA (2)'!K26</f>
        <v>0</v>
      </c>
      <c r="L12" s="1961">
        <f t="shared" ref="L12:L27" si="0">+G12+I12+K12</f>
        <v>32286</v>
      </c>
      <c r="M12" s="1342"/>
    </row>
    <row r="13" spans="2:14" ht="20.100000000000001" customHeight="1" x14ac:dyDescent="0.2">
      <c r="B13" s="1336" t="s">
        <v>2176</v>
      </c>
      <c r="C13" s="1340"/>
      <c r="D13" s="1341"/>
      <c r="E13" s="1960">
        <f>+E12+' SEFA (2)'!E25+' SEFA (2)'!E19+' SEFA (2)'!E17+' SEFA (2)'!E14</f>
        <v>868940</v>
      </c>
      <c r="F13" s="1960">
        <f>+F12+' SEFA (2)'!F25+' SEFA (2)'!F19+' SEFA (2)'!F17+' SEFA (2)'!F14</f>
        <v>769508</v>
      </c>
      <c r="G13" s="1960">
        <f>+G12+' SEFA (2)'!G25+' SEFA (2)'!G19+' SEFA (2)'!G17+' SEFA (2)'!G14</f>
        <v>911724</v>
      </c>
      <c r="H13" s="1960">
        <f>+H12+' SEFA (2)'!H25+' SEFA (2)'!H19+' SEFA (2)'!H17+' SEFA (2)'!H14</f>
        <v>0</v>
      </c>
      <c r="I13" s="1960">
        <f>+I12+' SEFA (2)'!I25+' SEFA (2)'!I19+' SEFA (2)'!I17+' SEFA (2)'!I14</f>
        <v>773562</v>
      </c>
      <c r="J13" s="1960">
        <f>+J12+' SEFA (2)'!J25+' SEFA (2)'!J19+' SEFA (2)'!J17+' SEFA (2)'!J14</f>
        <v>0</v>
      </c>
      <c r="K13" s="1960">
        <f>+K12+' SEFA (2)'!K25+' SEFA (2)'!K19+' SEFA (2)'!K17+' SEFA (2)'!K14</f>
        <v>3050</v>
      </c>
      <c r="L13" s="1961">
        <f t="shared" si="0"/>
        <v>1688336</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2.5" x14ac:dyDescent="0.2">
      <c r="B15" s="1336" t="s">
        <v>2177</v>
      </c>
      <c r="C15" s="1340"/>
      <c r="D15" s="1341"/>
      <c r="E15" s="1342"/>
      <c r="F15" s="1342"/>
      <c r="G15" s="1342"/>
      <c r="H15" s="1342"/>
      <c r="I15" s="1342"/>
      <c r="J15" s="1342"/>
      <c r="K15" s="1342"/>
      <c r="L15" s="1339">
        <f t="shared" si="0"/>
        <v>0</v>
      </c>
      <c r="M15" s="1342"/>
    </row>
    <row r="16" spans="2:14" ht="22.5" x14ac:dyDescent="0.2">
      <c r="B16" s="1336" t="s">
        <v>2178</v>
      </c>
      <c r="C16" s="1340"/>
      <c r="D16" s="1341"/>
      <c r="E16" s="1342"/>
      <c r="F16" s="1342"/>
      <c r="G16" s="1342"/>
      <c r="H16" s="1342"/>
      <c r="I16" s="1342"/>
      <c r="J16" s="1342"/>
      <c r="K16" s="1342"/>
      <c r="L16" s="1339">
        <f t="shared" si="0"/>
        <v>0</v>
      </c>
      <c r="M16" s="1342"/>
    </row>
    <row r="17" spans="2:14" ht="20.100000000000001" customHeight="1" x14ac:dyDescent="0.2">
      <c r="B17" s="1336" t="s">
        <v>2179</v>
      </c>
      <c r="C17" s="1340">
        <v>93.778000000000006</v>
      </c>
      <c r="D17" s="1341" t="s">
        <v>2180</v>
      </c>
      <c r="E17" s="1342">
        <v>4548</v>
      </c>
      <c r="F17" s="1342">
        <v>0</v>
      </c>
      <c r="G17" s="1342">
        <v>4548</v>
      </c>
      <c r="H17" s="1342">
        <v>0</v>
      </c>
      <c r="I17" s="1342">
        <v>0</v>
      </c>
      <c r="J17" s="1342">
        <v>0</v>
      </c>
      <c r="K17" s="1342">
        <v>0</v>
      </c>
      <c r="L17" s="1339">
        <f t="shared" si="0"/>
        <v>4548</v>
      </c>
      <c r="M17" s="1342" t="s">
        <v>2127</v>
      </c>
    </row>
    <row r="18" spans="2:14" ht="20.100000000000001" customHeight="1" x14ac:dyDescent="0.2">
      <c r="B18" s="1336" t="s">
        <v>2179</v>
      </c>
      <c r="C18" s="1340">
        <v>93.778000000000006</v>
      </c>
      <c r="D18" s="1341" t="s">
        <v>2181</v>
      </c>
      <c r="E18" s="1342">
        <v>17089</v>
      </c>
      <c r="F18" s="1342">
        <v>2591</v>
      </c>
      <c r="G18" s="1342">
        <v>17089</v>
      </c>
      <c r="H18" s="1342">
        <v>0</v>
      </c>
      <c r="I18" s="1342">
        <v>104</v>
      </c>
      <c r="J18" s="1342">
        <v>0</v>
      </c>
      <c r="K18" s="1342">
        <v>0</v>
      </c>
      <c r="L18" s="1339">
        <f t="shared" si="0"/>
        <v>17193</v>
      </c>
      <c r="M18" s="1342" t="s">
        <v>2127</v>
      </c>
    </row>
    <row r="19" spans="2:14" ht="20.100000000000001" customHeight="1" x14ac:dyDescent="0.2">
      <c r="B19" s="1336" t="s">
        <v>2179</v>
      </c>
      <c r="C19" s="1340">
        <v>93.778000000000006</v>
      </c>
      <c r="D19" s="1341" t="s">
        <v>2182</v>
      </c>
      <c r="E19" s="1960">
        <v>0</v>
      </c>
      <c r="F19" s="1960">
        <v>14191</v>
      </c>
      <c r="G19" s="1960">
        <v>0</v>
      </c>
      <c r="H19" s="1960">
        <v>0</v>
      </c>
      <c r="I19" s="1960">
        <v>16297</v>
      </c>
      <c r="J19" s="1960">
        <v>0</v>
      </c>
      <c r="K19" s="1960">
        <v>0</v>
      </c>
      <c r="L19" s="1961">
        <f t="shared" si="0"/>
        <v>16297</v>
      </c>
      <c r="M19" s="1342" t="s">
        <v>2127</v>
      </c>
    </row>
    <row r="20" spans="2:14" ht="20.100000000000001" customHeight="1" x14ac:dyDescent="0.2">
      <c r="B20" s="1336" t="s">
        <v>2183</v>
      </c>
      <c r="C20" s="1340"/>
      <c r="D20" s="1341"/>
      <c r="E20" s="1960">
        <f>SUM(E17:E19)</f>
        <v>21637</v>
      </c>
      <c r="F20" s="1960">
        <f t="shared" ref="F20:K20" si="1">SUM(F17:F19)</f>
        <v>16782</v>
      </c>
      <c r="G20" s="1960">
        <f t="shared" si="1"/>
        <v>21637</v>
      </c>
      <c r="H20" s="1960">
        <f t="shared" si="1"/>
        <v>0</v>
      </c>
      <c r="I20" s="1960">
        <f t="shared" si="1"/>
        <v>16401</v>
      </c>
      <c r="J20" s="1960">
        <f t="shared" si="1"/>
        <v>0</v>
      </c>
      <c r="K20" s="1960">
        <f t="shared" si="1"/>
        <v>0</v>
      </c>
      <c r="L20" s="1961">
        <f t="shared" si="0"/>
        <v>38038</v>
      </c>
      <c r="M20" s="1342"/>
    </row>
    <row r="21" spans="2:14" ht="20.100000000000001" customHeight="1" x14ac:dyDescent="0.2">
      <c r="B21" s="1336" t="s">
        <v>2184</v>
      </c>
      <c r="C21" s="1340"/>
      <c r="D21" s="1341"/>
      <c r="E21" s="1960">
        <f>E20</f>
        <v>21637</v>
      </c>
      <c r="F21" s="1960">
        <f t="shared" ref="F21:K21" si="2">F20</f>
        <v>16782</v>
      </c>
      <c r="G21" s="1960">
        <f t="shared" si="2"/>
        <v>21637</v>
      </c>
      <c r="H21" s="1960">
        <f t="shared" si="2"/>
        <v>0</v>
      </c>
      <c r="I21" s="1960">
        <f t="shared" si="2"/>
        <v>16401</v>
      </c>
      <c r="J21" s="1960">
        <f t="shared" si="2"/>
        <v>0</v>
      </c>
      <c r="K21" s="1960">
        <f t="shared" si="2"/>
        <v>0</v>
      </c>
      <c r="L21" s="1961">
        <f t="shared" si="0"/>
        <v>38038</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962" t="s">
        <v>2185</v>
      </c>
      <c r="C27" s="1340"/>
      <c r="D27" s="1341"/>
      <c r="E27" s="1342">
        <f>E21+E13+' SEFA'!E24</f>
        <v>1316378</v>
      </c>
      <c r="F27" s="1342">
        <f>F21+F13+' SEFA'!F24</f>
        <v>1221066</v>
      </c>
      <c r="G27" s="1342">
        <f>G21+G13+' SEFA'!G24</f>
        <v>1359162</v>
      </c>
      <c r="H27" s="1342">
        <f>H21+H13+' SEFA'!H24</f>
        <v>0</v>
      </c>
      <c r="I27" s="1342">
        <f>I21+I13+' SEFA'!I24</f>
        <v>1224738</v>
      </c>
      <c r="J27" s="1342">
        <f>J21+J13+' SEFA'!J24</f>
        <v>0</v>
      </c>
      <c r="K27" s="1342">
        <f>K21+K13+' SEFA'!K24</f>
        <v>3050</v>
      </c>
      <c r="L27" s="1339">
        <f t="shared" si="0"/>
        <v>2586950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zoomScale="110" zoomScaleNormal="110" workbookViewId="0">
      <selection activeCell="N47" sqref="N47"/>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COUNTY OF WINNEBAGO SCHOOL DISTRICT NO. 320</v>
      </c>
      <c r="C1" s="2487"/>
      <c r="D1" s="2487"/>
      <c r="E1" s="2487"/>
      <c r="F1" s="2487"/>
      <c r="G1" s="2487"/>
      <c r="H1" s="2487"/>
      <c r="I1" s="2487"/>
      <c r="J1" s="1421"/>
    </row>
    <row r="2" spans="2:10" s="317" customFormat="1" ht="12.75" customHeight="1" x14ac:dyDescent="0.2">
      <c r="B2" s="2488" t="str">
        <f>'Single Audit Cover'!E7</f>
        <v>04-101-3200-26</v>
      </c>
      <c r="C2" s="2489"/>
      <c r="D2" s="2489"/>
      <c r="E2" s="2489"/>
      <c r="F2" s="2489"/>
      <c r="G2" s="2489"/>
      <c r="H2" s="2489"/>
      <c r="I2" s="2489"/>
      <c r="J2" s="1421"/>
    </row>
    <row r="3" spans="2:10" s="317" customFormat="1" ht="12.75" customHeight="1" x14ac:dyDescent="0.2">
      <c r="B3" s="2490" t="s">
        <v>1347</v>
      </c>
      <c r="C3" s="2491"/>
      <c r="D3" s="2491"/>
      <c r="E3" s="2491"/>
      <c r="F3" s="2491"/>
      <c r="G3" s="2491"/>
      <c r="H3" s="2491"/>
      <c r="I3" s="2491"/>
      <c r="J3" s="1422"/>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0" t="s">
        <v>1346</v>
      </c>
      <c r="C7" s="2491"/>
      <c r="D7" s="2491"/>
      <c r="E7" s="2491"/>
      <c r="F7" s="2491"/>
      <c r="G7" s="2491"/>
      <c r="H7" s="2491"/>
      <c r="I7" s="2491"/>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2" t="s">
        <v>2190</v>
      </c>
      <c r="D11" s="2492"/>
      <c r="E11" s="1431"/>
      <c r="F11" s="1431"/>
      <c r="G11" s="1431"/>
    </row>
    <row r="12" spans="2:10" s="317" customFormat="1" ht="11.45" customHeight="1" x14ac:dyDescent="0.2">
      <c r="B12" s="1356"/>
      <c r="C12" s="1432" t="s">
        <v>1517</v>
      </c>
      <c r="D12" s="1433"/>
      <c r="E12" s="1257"/>
    </row>
    <row r="13" spans="2:10" s="317" customFormat="1" ht="6"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2079</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2079</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2079</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2079</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2079</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3" t="s">
        <v>2191</v>
      </c>
      <c r="E29" s="2493"/>
      <c r="F29" s="2493"/>
      <c r="G29" s="2493"/>
      <c r="H29" s="2493"/>
      <c r="I29" s="2493"/>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2079</v>
      </c>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494" t="s">
        <v>1851</v>
      </c>
      <c r="D37" s="2495"/>
      <c r="E37" s="2495"/>
      <c r="F37" s="2496"/>
      <c r="G37" s="2494" t="s">
        <v>1674</v>
      </c>
      <c r="H37" s="2495"/>
      <c r="I37" s="2496"/>
    </row>
    <row r="38" spans="2:9" ht="16.5" customHeight="1" x14ac:dyDescent="0.2">
      <c r="B38" s="1443" t="s">
        <v>2148</v>
      </c>
      <c r="C38" s="2482" t="s">
        <v>2192</v>
      </c>
      <c r="D38" s="2483"/>
      <c r="E38" s="2483"/>
      <c r="F38" s="2484"/>
      <c r="G38" s="2497">
        <v>420515</v>
      </c>
      <c r="H38" s="2498"/>
      <c r="I38" s="2499"/>
    </row>
    <row r="39" spans="2:9" ht="16.5" customHeight="1" x14ac:dyDescent="0.2">
      <c r="B39" s="1443" t="s">
        <v>2193</v>
      </c>
      <c r="C39" s="2482" t="s">
        <v>2194</v>
      </c>
      <c r="D39" s="2483"/>
      <c r="E39" s="2483"/>
      <c r="F39" s="2484"/>
      <c r="G39" s="2485">
        <v>292540</v>
      </c>
      <c r="H39" s="2485"/>
      <c r="I39" s="2485"/>
    </row>
    <row r="40" spans="2:9" ht="16.5" customHeight="1" x14ac:dyDescent="0.2">
      <c r="B40" s="1443"/>
      <c r="C40" s="2482"/>
      <c r="D40" s="2483"/>
      <c r="E40" s="2483"/>
      <c r="F40" s="2484"/>
      <c r="G40" s="2485"/>
      <c r="H40" s="2485"/>
      <c r="I40" s="2485"/>
    </row>
    <row r="41" spans="2:9" ht="16.5" customHeight="1" x14ac:dyDescent="0.2">
      <c r="B41" s="1443"/>
      <c r="C41" s="2482"/>
      <c r="D41" s="2483"/>
      <c r="E41" s="2483"/>
      <c r="F41" s="2484"/>
      <c r="G41" s="2485"/>
      <c r="H41" s="2485"/>
      <c r="I41" s="2485"/>
    </row>
    <row r="42" spans="2:9" ht="16.5" customHeight="1" x14ac:dyDescent="0.2">
      <c r="B42" s="1443"/>
      <c r="C42" s="2482"/>
      <c r="D42" s="2483"/>
      <c r="E42" s="2483"/>
      <c r="F42" s="2484"/>
      <c r="G42" s="2485"/>
      <c r="H42" s="2485"/>
      <c r="I42" s="2485"/>
    </row>
    <row r="43" spans="2:9" ht="16.5" customHeight="1" x14ac:dyDescent="0.2">
      <c r="B43" s="1443"/>
      <c r="C43" s="2500" t="s">
        <v>1675</v>
      </c>
      <c r="D43" s="2501"/>
      <c r="E43" s="2501"/>
      <c r="F43" s="2502"/>
      <c r="G43" s="2503">
        <f>SUM(G38:I42)</f>
        <v>713055</v>
      </c>
      <c r="H43" s="2503"/>
      <c r="I43" s="2503"/>
    </row>
    <row r="44" spans="2:9" ht="12.75" customHeight="1" x14ac:dyDescent="0.2"/>
    <row r="45" spans="2:9" ht="12.75" customHeight="1" x14ac:dyDescent="0.2">
      <c r="B45" s="1434" t="s">
        <v>1949</v>
      </c>
      <c r="D45" s="2504">
        <f>' SEFA (3)'!I27</f>
        <v>1224738</v>
      </c>
      <c r="E45" s="2505"/>
    </row>
    <row r="46" spans="2:9" ht="5.25" customHeight="1" x14ac:dyDescent="0.2">
      <c r="B46" s="1444"/>
      <c r="D46" s="1445"/>
      <c r="E46" s="1446"/>
    </row>
    <row r="47" spans="2:9" ht="12.75" customHeight="1" x14ac:dyDescent="0.2">
      <c r="B47" s="1299" t="s">
        <v>1676</v>
      </c>
      <c r="C47" s="1299"/>
      <c r="D47" s="1447">
        <f>+G43/D45</f>
        <v>0.58221023598516586</v>
      </c>
      <c r="E47" s="1448"/>
      <c r="F47" s="1449"/>
      <c r="I47" s="1450"/>
    </row>
    <row r="48" spans="2:9" ht="9.9499999999999993" customHeight="1" x14ac:dyDescent="0.2"/>
    <row r="49" spans="1:9" x14ac:dyDescent="0.2">
      <c r="B49" s="1367" t="s">
        <v>1335</v>
      </c>
      <c r="C49" s="1281"/>
      <c r="D49" s="1281"/>
      <c r="E49" s="2506">
        <v>750000</v>
      </c>
      <c r="F49" s="2506"/>
      <c r="G49" s="2506"/>
      <c r="H49" s="322"/>
    </row>
    <row r="51" spans="1:9" ht="13.5" customHeight="1" x14ac:dyDescent="0.2">
      <c r="B51" s="1367" t="s">
        <v>1334</v>
      </c>
      <c r="C51" s="1281"/>
      <c r="E51" s="1437"/>
      <c r="F51" s="1299" t="s">
        <v>940</v>
      </c>
      <c r="G51" s="1437" t="s">
        <v>2079</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N20" sqref="N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COUNTY OF WINNEBAGO SCHOOL DISTRICT NO. 320</v>
      </c>
      <c r="C1" s="2486"/>
      <c r="D1" s="2486"/>
      <c r="E1" s="2486"/>
      <c r="F1" s="2486"/>
      <c r="G1" s="2486"/>
      <c r="H1" s="2486"/>
      <c r="I1" s="2486"/>
      <c r="J1" s="2486"/>
      <c r="K1" s="2486"/>
      <c r="L1" s="1373"/>
      <c r="M1" s="1373"/>
    </row>
    <row r="2" spans="1:13" ht="12" customHeight="1" x14ac:dyDescent="0.2">
      <c r="B2" s="2488" t="str">
        <f>'Single Audit Cover'!E7</f>
        <v>04-101-3200-26</v>
      </c>
      <c r="C2" s="2488"/>
      <c r="D2" s="2488"/>
      <c r="E2" s="2488"/>
      <c r="F2" s="2488"/>
      <c r="G2" s="2488"/>
      <c r="H2" s="2488"/>
      <c r="I2" s="2488"/>
      <c r="J2" s="2488"/>
      <c r="K2" s="2488"/>
      <c r="L2" s="1374"/>
      <c r="M2" s="1375"/>
    </row>
    <row r="3" spans="1:13" ht="10.35" customHeight="1" x14ac:dyDescent="0.2">
      <c r="B3" s="2509" t="s">
        <v>1347</v>
      </c>
      <c r="C3" s="2509"/>
      <c r="D3" s="2509"/>
      <c r="E3" s="2509"/>
      <c r="F3" s="2509"/>
      <c r="G3" s="2509"/>
      <c r="H3" s="2509"/>
      <c r="I3" s="2509"/>
      <c r="J3" s="2509"/>
      <c r="K3" s="2509"/>
      <c r="L3" s="1376"/>
      <c r="M3" s="1376"/>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10" t="s">
        <v>1363</v>
      </c>
      <c r="C7" s="2510"/>
      <c r="D7" s="2511"/>
      <c r="E7" s="2511"/>
      <c r="F7" s="2511"/>
      <c r="G7" s="2511"/>
      <c r="H7" s="2511"/>
      <c r="I7" s="2511"/>
      <c r="J7" s="2511"/>
      <c r="K7" s="251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8" t="s">
        <v>2195</v>
      </c>
      <c r="C14" s="2508"/>
      <c r="D14" s="2508"/>
      <c r="E14" s="2508"/>
      <c r="F14" s="2508"/>
      <c r="G14" s="2508"/>
      <c r="H14" s="2508"/>
      <c r="I14" s="2508"/>
      <c r="J14" s="2508"/>
      <c r="K14" s="2508"/>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8"/>
      <c r="C17" s="2508"/>
      <c r="D17" s="2508"/>
      <c r="E17" s="2508"/>
      <c r="F17" s="2508"/>
      <c r="G17" s="2508"/>
      <c r="H17" s="2508"/>
      <c r="I17" s="2508"/>
      <c r="J17" s="2508"/>
      <c r="K17" s="2508"/>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45.75" customHeight="1" x14ac:dyDescent="0.2">
      <c r="B20" s="2512"/>
      <c r="C20" s="2512"/>
      <c r="D20" s="2508"/>
      <c r="E20" s="2508"/>
      <c r="F20" s="2508"/>
      <c r="G20" s="2508"/>
      <c r="H20" s="2508"/>
      <c r="I20" s="2508"/>
      <c r="J20" s="2508"/>
      <c r="K20" s="250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8"/>
      <c r="C23" s="2508"/>
      <c r="D23" s="2508"/>
      <c r="E23" s="2508"/>
      <c r="F23" s="2508"/>
      <c r="G23" s="2508"/>
      <c r="H23" s="2508"/>
      <c r="I23" s="2508"/>
      <c r="J23" s="2508"/>
      <c r="K23" s="250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8"/>
      <c r="C26" s="2508"/>
      <c r="D26" s="2508"/>
      <c r="E26" s="2508"/>
      <c r="F26" s="2508"/>
      <c r="G26" s="2508"/>
      <c r="H26" s="2508"/>
      <c r="I26" s="2508"/>
      <c r="J26" s="2508"/>
      <c r="K26" s="250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7"/>
      <c r="C29" s="2507"/>
      <c r="D29" s="2508"/>
      <c r="E29" s="2508"/>
      <c r="F29" s="2508"/>
      <c r="G29" s="2508"/>
      <c r="H29" s="2508"/>
      <c r="I29" s="2508"/>
      <c r="J29" s="2508"/>
      <c r="K29" s="250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507"/>
      <c r="C32" s="2507"/>
      <c r="D32" s="2508"/>
      <c r="E32" s="2508"/>
      <c r="F32" s="2508"/>
      <c r="G32" s="2508"/>
      <c r="H32" s="2508"/>
      <c r="I32" s="2508"/>
      <c r="J32" s="2508"/>
      <c r="K32" s="250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2"/>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3" t="str">
        <f>'Single Audit Cover'!A7</f>
        <v>COUNTY OF WINNEBAGO SCHOOL DISTRICT NO. 320</v>
      </c>
      <c r="C1" s="2513"/>
      <c r="D1" s="2513"/>
      <c r="E1" s="2513"/>
      <c r="F1" s="2513"/>
      <c r="G1" s="2513"/>
      <c r="H1" s="2513"/>
      <c r="I1" s="2513"/>
      <c r="J1" s="2513"/>
      <c r="K1" s="2513"/>
      <c r="L1" s="1464"/>
    </row>
    <row r="2" spans="1:12" ht="12.75" customHeight="1" x14ac:dyDescent="0.2">
      <c r="B2" s="2514" t="str">
        <f>'Single Audit Cover'!E7</f>
        <v>04-101-3200-26</v>
      </c>
      <c r="C2" s="2514"/>
      <c r="D2" s="2514"/>
      <c r="E2" s="2514"/>
      <c r="F2" s="2514"/>
      <c r="G2" s="2514"/>
      <c r="H2" s="2514"/>
      <c r="I2" s="2514"/>
      <c r="J2" s="2514"/>
      <c r="K2" s="2514"/>
      <c r="L2" s="1465"/>
    </row>
    <row r="3" spans="1:12" ht="12.75" customHeight="1" x14ac:dyDescent="0.2">
      <c r="B3" s="2509" t="s">
        <v>1347</v>
      </c>
      <c r="C3" s="2509"/>
      <c r="D3" s="2509"/>
      <c r="E3" s="2509"/>
      <c r="F3" s="2509"/>
      <c r="G3" s="2509"/>
      <c r="H3" s="2509"/>
      <c r="I3" s="2509"/>
      <c r="J3" s="2509"/>
      <c r="K3" s="2509"/>
      <c r="L3" s="1376"/>
    </row>
    <row r="4" spans="1:12" ht="12.75" customHeight="1" x14ac:dyDescent="0.2">
      <c r="B4" s="2509" t="str">
        <f>'Single Audit Cover'!A4</f>
        <v>Year Ending June 30, 2018</v>
      </c>
      <c r="C4" s="2509"/>
      <c r="D4" s="2509"/>
      <c r="E4" s="2509"/>
      <c r="F4" s="2509"/>
      <c r="G4" s="2509"/>
      <c r="H4" s="2509"/>
      <c r="I4" s="2509"/>
      <c r="J4" s="2509"/>
      <c r="K4" s="2509"/>
      <c r="L4" s="1376"/>
    </row>
    <row r="5" spans="1:12" ht="5.25" customHeight="1" x14ac:dyDescent="0.2">
      <c r="B5" s="1259" t="s">
        <v>1231</v>
      </c>
      <c r="C5" s="1259"/>
      <c r="L5" s="322"/>
    </row>
    <row r="6" spans="1:12" ht="30.75" customHeight="1" x14ac:dyDescent="0.2">
      <c r="A6" s="322"/>
      <c r="B6" s="2515" t="s">
        <v>1375</v>
      </c>
      <c r="C6" s="2515"/>
      <c r="D6" s="2515"/>
      <c r="E6" s="2515"/>
      <c r="F6" s="2515"/>
      <c r="G6" s="2515"/>
      <c r="H6" s="2515"/>
      <c r="I6" s="2515"/>
      <c r="J6" s="2515"/>
      <c r="K6" s="2515"/>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1950</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3"/>
      <c r="G12" s="2493"/>
      <c r="H12" s="2493"/>
      <c r="I12" s="2493"/>
      <c r="J12" s="2493"/>
      <c r="K12" s="2493"/>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16"/>
      <c r="E14" s="2516"/>
      <c r="F14" s="2516"/>
      <c r="H14" s="1474" t="s">
        <v>1370</v>
      </c>
      <c r="I14" s="2517"/>
      <c r="J14" s="2517"/>
      <c r="K14" s="251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7"/>
      <c r="E16" s="2517"/>
      <c r="F16" s="2517"/>
      <c r="G16" s="2517"/>
      <c r="H16" s="2517"/>
      <c r="I16" s="2517"/>
      <c r="J16" s="2517"/>
      <c r="K16" s="2517"/>
      <c r="L16" s="322"/>
    </row>
    <row r="17" spans="2:12" ht="13.5" customHeight="1" x14ac:dyDescent="0.2">
      <c r="B17" s="1386" t="s">
        <v>1368</v>
      </c>
      <c r="C17" s="1386"/>
      <c r="D17" s="2518"/>
      <c r="E17" s="2518"/>
      <c r="F17" s="2518"/>
      <c r="G17" s="2518"/>
      <c r="H17" s="2518"/>
      <c r="I17" s="2518"/>
      <c r="J17" s="2518"/>
      <c r="K17" s="251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8" t="s">
        <v>2128</v>
      </c>
      <c r="C20" s="2508"/>
      <c r="D20" s="2508"/>
      <c r="E20" s="2508"/>
      <c r="F20" s="2508"/>
      <c r="G20" s="2508"/>
      <c r="H20" s="2508"/>
      <c r="I20" s="2508"/>
      <c r="J20" s="2508"/>
      <c r="K20" s="2508"/>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508"/>
      <c r="C23" s="2508"/>
      <c r="D23" s="2508"/>
      <c r="E23" s="2508"/>
      <c r="F23" s="2508"/>
      <c r="G23" s="2508"/>
      <c r="H23" s="2508"/>
      <c r="I23" s="2508"/>
      <c r="J23" s="2508"/>
      <c r="K23" s="2508"/>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508"/>
      <c r="C26" s="2508"/>
      <c r="D26" s="2508"/>
      <c r="E26" s="2508"/>
      <c r="F26" s="2508"/>
      <c r="G26" s="2508"/>
      <c r="H26" s="2508"/>
      <c r="I26" s="2508"/>
      <c r="J26" s="2508"/>
      <c r="K26" s="2508"/>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508"/>
      <c r="C29" s="2508"/>
      <c r="D29" s="2508"/>
      <c r="E29" s="2508"/>
      <c r="F29" s="2508"/>
      <c r="G29" s="2508"/>
      <c r="H29" s="2508"/>
      <c r="I29" s="2508"/>
      <c r="J29" s="2508"/>
      <c r="K29" s="2508"/>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8"/>
      <c r="C32" s="2508"/>
      <c r="D32" s="2508"/>
      <c r="E32" s="2508"/>
      <c r="F32" s="2508"/>
      <c r="G32" s="2508"/>
      <c r="H32" s="2508"/>
      <c r="I32" s="2508"/>
      <c r="J32" s="2508"/>
      <c r="K32" s="2508"/>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8"/>
      <c r="C35" s="2508"/>
      <c r="D35" s="2508"/>
      <c r="E35" s="2508"/>
      <c r="F35" s="2508"/>
      <c r="G35" s="2508"/>
      <c r="H35" s="2508"/>
      <c r="I35" s="2508"/>
      <c r="J35" s="2508"/>
      <c r="K35" s="2508"/>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8"/>
      <c r="C38" s="2508"/>
      <c r="D38" s="2508"/>
      <c r="E38" s="2508"/>
      <c r="F38" s="2508"/>
      <c r="G38" s="2508"/>
      <c r="H38" s="2508"/>
      <c r="I38" s="2508"/>
      <c r="J38" s="2508"/>
      <c r="K38" s="2508"/>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508"/>
      <c r="C41" s="2508"/>
      <c r="D41" s="2508"/>
      <c r="E41" s="2508"/>
      <c r="F41" s="2508"/>
      <c r="G41" s="2508"/>
      <c r="H41" s="2508"/>
      <c r="I41" s="2508"/>
      <c r="J41" s="2508"/>
      <c r="K41" s="2508"/>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6" t="str">
        <f>'Single Audit Cover'!A7</f>
        <v>COUNTY OF WINNEBAGO SCHOOL DISTRICT NO. 320</v>
      </c>
      <c r="C1" s="2486"/>
      <c r="D1" s="2486"/>
      <c r="E1" s="1490"/>
    </row>
    <row r="2" spans="2:5" s="1281" customFormat="1" ht="12.75" customHeight="1" x14ac:dyDescent="0.2">
      <c r="B2" s="2488" t="str">
        <f>'Single Audit Cover'!E7</f>
        <v>04-101-3200-26</v>
      </c>
      <c r="C2" s="2488"/>
      <c r="D2" s="2488"/>
      <c r="E2" s="1491"/>
    </row>
    <row r="3" spans="2:5" ht="12.75" customHeight="1" x14ac:dyDescent="0.2">
      <c r="B3" s="2509" t="s">
        <v>1866</v>
      </c>
      <c r="C3" s="2509"/>
      <c r="D3" s="2509"/>
      <c r="E3" s="1273"/>
    </row>
    <row r="4" spans="2:5" s="1281" customFormat="1" ht="12.75" customHeight="1" x14ac:dyDescent="0.2">
      <c r="B4" s="2519" t="str">
        <f>'Single Audit Cover'!A4</f>
        <v>Year Ending June 30, 2018</v>
      </c>
      <c r="C4" s="2519"/>
      <c r="D4" s="2519"/>
      <c r="E4" s="1492"/>
    </row>
    <row r="5" spans="2:5" s="1281" customFormat="1" ht="40.15" customHeight="1" x14ac:dyDescent="0.2">
      <c r="B5" s="1493" t="s">
        <v>1867</v>
      </c>
      <c r="C5" s="328"/>
      <c r="D5" s="328"/>
      <c r="E5" s="328"/>
    </row>
    <row r="6" spans="2:5" s="1281" customFormat="1" ht="13.5" customHeight="1" x14ac:dyDescent="0.2">
      <c r="B6" s="1494" t="s">
        <v>1382</v>
      </c>
      <c r="C6" s="1494" t="s">
        <v>1381</v>
      </c>
      <c r="D6" s="1494" t="s">
        <v>1868</v>
      </c>
    </row>
    <row r="7" spans="2:5" ht="13.5" customHeight="1" x14ac:dyDescent="0.2">
      <c r="B7" s="1495" t="s">
        <v>2195</v>
      </c>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1869</v>
      </c>
    </row>
    <row r="46" spans="2:5" ht="12.2" customHeight="1" x14ac:dyDescent="0.2">
      <c r="B46" s="1504" t="s">
        <v>1870</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4d435f69-8686-490b-bd6d-b153bf22ab50"/>
    <ds:schemaRef ds:uri="http://purl.org/dc/terms/"/>
    <ds:schemaRef ds:uri="http://schemas.microsoft.com/sharepoint/v3"/>
    <ds:schemaRef ds:uri="http://schemas.openxmlformats.org/package/2006/metadata/core-propertie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2018-10-05T03:41:55Z</cp:lastPrinted>
  <dcterms:created xsi:type="dcterms:W3CDTF">2003-10-29T19:06:34Z</dcterms:created>
  <dcterms:modified xsi:type="dcterms:W3CDTF">2019-01-15T16:11:37Z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COUNTY OF WINNEBAGO SD #320</vt:lpwstr>
  </property>
  <property fmtid="{D5CDD505-2E9C-101B-9397-08002B2CF9AE}" pid="6" name="PPC_Template_Engagement_Date">
    <vt:lpwstr>6/30/2018</vt:lpwstr>
  </property>
</Properties>
</file>