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28800" windowHeight="10935" tabRatio="959" firstSheet="12" activeTab="16"/>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 SEFA" sheetId="179" r:id="rId28"/>
    <sheet name="SEFA 18" sheetId="204" r:id="rId29"/>
    <sheet name="SEFA NOTES" sheetId="173" r:id="rId30"/>
    <sheet name="SF&amp;QC Sec-1" sheetId="174" r:id="rId31"/>
    <sheet name="SF&amp;QC Sec-2" sheetId="175" r:id="rId32"/>
    <sheet name="Finding 2018-001" sheetId="183" r:id="rId33"/>
    <sheet name="Finding 2018-002" sheetId="187" r:id="rId34"/>
    <sheet name="Finding 2018-003" sheetId="184" r:id="rId35"/>
    <sheet name="Finding 2018-004" sheetId="185" r:id="rId36"/>
    <sheet name="Finding 2018-005" sheetId="186" r:id="rId37"/>
    <sheet name="Finding 2018-006" sheetId="188" r:id="rId38"/>
    <sheet name="Finding 2018-007" sheetId="189" r:id="rId39"/>
    <sheet name="Finding 2018-008" sheetId="198" r:id="rId40"/>
    <sheet name="Finding 2018-009" sheetId="176" r:id="rId41"/>
    <sheet name="Finding 2018-010" sheetId="199" r:id="rId42"/>
    <sheet name="SSPAF" sheetId="177" r:id="rId43"/>
    <sheet name="CAP 2018-001" sheetId="190" r:id="rId44"/>
    <sheet name="CAP 2018-002" sheetId="191" r:id="rId45"/>
    <sheet name="CAP 2018-003" sheetId="192" r:id="rId46"/>
    <sheet name="CAP 2018-004" sheetId="193" r:id="rId47"/>
    <sheet name="CAP 2018-005" sheetId="194" r:id="rId48"/>
    <sheet name="CAP 2018-006" sheetId="195" r:id="rId49"/>
    <sheet name="CAP 2018-007" sheetId="196" r:id="rId50"/>
    <sheet name="CAP 2018-008" sheetId="200" r:id="rId51"/>
    <sheet name="CAP 2018-009" sheetId="201" r:id="rId52"/>
    <sheet name="CAP 2018-010" sheetId="202" r:id="rId53"/>
  </sheets>
  <definedNames>
    <definedName name="goof" localSheetId="44">#REF!</definedName>
    <definedName name="goof" localSheetId="45">#REF!</definedName>
    <definedName name="goof" localSheetId="46">#REF!</definedName>
    <definedName name="goof" localSheetId="47">#REF!</definedName>
    <definedName name="goof" localSheetId="48">#REF!</definedName>
    <definedName name="goof" localSheetId="49">#REF!</definedName>
    <definedName name="goof" localSheetId="50">#REF!</definedName>
    <definedName name="goof" localSheetId="51">#REF!</definedName>
    <definedName name="goof" localSheetId="52">#REF!</definedName>
    <definedName name="goof" localSheetId="39">#REF!</definedName>
    <definedName name="goof" localSheetId="41">#REF!</definedName>
    <definedName name="goof" localSheetId="28">#REF!</definedName>
    <definedName name="goof">#REF!</definedName>
    <definedName name="oops" localSheetId="44">#REF!</definedName>
    <definedName name="oops" localSheetId="45">#REF!</definedName>
    <definedName name="oops" localSheetId="46">#REF!</definedName>
    <definedName name="oops" localSheetId="47">#REF!</definedName>
    <definedName name="oops" localSheetId="48">#REF!</definedName>
    <definedName name="oops" localSheetId="49">#REF!</definedName>
    <definedName name="oops" localSheetId="50">#REF!</definedName>
    <definedName name="oops" localSheetId="51">#REF!</definedName>
    <definedName name="oops" localSheetId="52">#REF!</definedName>
    <definedName name="oops" localSheetId="39">#REF!</definedName>
    <definedName name="oops" localSheetId="41">#REF!</definedName>
    <definedName name="oops" localSheetId="28">#REF!</definedName>
    <definedName name="oops">#REF!</definedName>
    <definedName name="_xlnm.Print_Area" localSheetId="27">' SEFA'!$B$1:$M$46</definedName>
    <definedName name="_xlnm.Print_Area" localSheetId="40">'Finding 2018-009'!$A$1:$K$52</definedName>
    <definedName name="_xlnm.Print_Area" localSheetId="41">'Finding 2018-010'!$A$1:$K$52</definedName>
    <definedName name="_xlnm.Print_Area" localSheetId="28">'SEFA 18'!$A$1:$R$125</definedName>
    <definedName name="_xlnm.Print_Area" localSheetId="29">'SEFA NOTES'!$A$1:$F$43</definedName>
    <definedName name="_xlnm.Print_Area" localSheetId="26">'SEFA Reconcile'!$A$1:$E$49</definedName>
    <definedName name="_xlnm.Print_Area" localSheetId="30">'SF&amp;QC Sec-1'!$A$1:$J$63</definedName>
    <definedName name="_xlnm.Print_Area" localSheetId="25">'Single Audit Checklist'!$A$1:$D$124</definedName>
    <definedName name="_xlnm.Print_Area" localSheetId="24">'Single Audit Cover'!$A$1:$L$52</definedName>
    <definedName name="Print_Area_MI" localSheetId="28">'SEFA 18'!$B$16:$Y$79</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8">'SEFA 18'!$1:$11</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43">#REF!</definedName>
    <definedName name="SCHADDRS" localSheetId="44">#REF!</definedName>
    <definedName name="SCHADDRS" localSheetId="45">#REF!</definedName>
    <definedName name="SCHADDRS" localSheetId="46">#REF!</definedName>
    <definedName name="SCHADDRS" localSheetId="47">#REF!</definedName>
    <definedName name="SCHADDRS" localSheetId="48">#REF!</definedName>
    <definedName name="SCHADDRS" localSheetId="49">#REF!</definedName>
    <definedName name="SCHADDRS" localSheetId="50">#REF!</definedName>
    <definedName name="SCHADDRS" localSheetId="51">#REF!</definedName>
    <definedName name="SCHADDRS" localSheetId="52">#REF!</definedName>
    <definedName name="SCHADDRS" localSheetId="21">#REF!</definedName>
    <definedName name="SCHADDRS" localSheetId="4">#REF!</definedName>
    <definedName name="SCHADDRS" localSheetId="32">#REF!</definedName>
    <definedName name="SCHADDRS" localSheetId="33">#REF!</definedName>
    <definedName name="SCHADDRS" localSheetId="34">#REF!</definedName>
    <definedName name="SCHADDRS" localSheetId="35">#REF!</definedName>
    <definedName name="SCHADDRS" localSheetId="36">#REF!</definedName>
    <definedName name="SCHADDRS" localSheetId="37">#REF!</definedName>
    <definedName name="SCHADDRS" localSheetId="38">#REF!</definedName>
    <definedName name="SCHADDRS" localSheetId="39">#REF!</definedName>
    <definedName name="SCHADDRS" localSheetId="40">#REF!</definedName>
    <definedName name="SCHADDRS" localSheetId="41">#REF!</definedName>
    <definedName name="SCHADDRS" localSheetId="28">#REF!</definedName>
    <definedName name="SCHADDRS" localSheetId="29">#REF!</definedName>
    <definedName name="SCHADDRS" localSheetId="26">#REF!</definedName>
    <definedName name="SCHADDRS" localSheetId="30">#REF!</definedName>
    <definedName name="SCHADDRS" localSheetId="31">#REF!</definedName>
    <definedName name="SCHADDRS" localSheetId="25">#REF!</definedName>
    <definedName name="SCHADDRS" localSheetId="24">#REF!</definedName>
    <definedName name="SCHADDRS" localSheetId="42">#REF!</definedName>
    <definedName name="SCHADDRS">#REF!</definedName>
    <definedName name="SCHCTY" localSheetId="27">#REF!</definedName>
    <definedName name="SCHCTY" localSheetId="17">#REF!</definedName>
    <definedName name="SCHCTY" localSheetId="43">#REF!</definedName>
    <definedName name="SCHCTY" localSheetId="44">#REF!</definedName>
    <definedName name="SCHCTY" localSheetId="45">#REF!</definedName>
    <definedName name="SCHCTY" localSheetId="46">#REF!</definedName>
    <definedName name="SCHCTY" localSheetId="47">#REF!</definedName>
    <definedName name="SCHCTY" localSheetId="48">#REF!</definedName>
    <definedName name="SCHCTY" localSheetId="49">#REF!</definedName>
    <definedName name="SCHCTY" localSheetId="50">#REF!</definedName>
    <definedName name="SCHCTY" localSheetId="51">#REF!</definedName>
    <definedName name="SCHCTY" localSheetId="52">#REF!</definedName>
    <definedName name="SCHCTY" localSheetId="21">#REF!</definedName>
    <definedName name="SCHCTY" localSheetId="4">#REF!</definedName>
    <definedName name="SCHCTY" localSheetId="32">#REF!</definedName>
    <definedName name="SCHCTY" localSheetId="33">#REF!</definedName>
    <definedName name="SCHCTY" localSheetId="34">#REF!</definedName>
    <definedName name="SCHCTY" localSheetId="35">#REF!</definedName>
    <definedName name="SCHCTY" localSheetId="36">#REF!</definedName>
    <definedName name="SCHCTY" localSheetId="37">#REF!</definedName>
    <definedName name="SCHCTY" localSheetId="38">#REF!</definedName>
    <definedName name="SCHCTY" localSheetId="39">#REF!</definedName>
    <definedName name="SCHCTY" localSheetId="40">#REF!</definedName>
    <definedName name="SCHCTY" localSheetId="41">#REF!</definedName>
    <definedName name="SCHCTY" localSheetId="28">#REF!</definedName>
    <definedName name="SCHCTY" localSheetId="29">#REF!</definedName>
    <definedName name="SCHCTY" localSheetId="26">#REF!</definedName>
    <definedName name="SCHCTY" localSheetId="30">#REF!</definedName>
    <definedName name="SCHCTY" localSheetId="31">#REF!</definedName>
    <definedName name="SCHCTY" localSheetId="25">#REF!</definedName>
    <definedName name="SCHCTY" localSheetId="24">#REF!</definedName>
    <definedName name="SCHCTY" localSheetId="42">#REF!</definedName>
    <definedName name="SCHCTY">#REF!</definedName>
    <definedName name="SCHNMBR" localSheetId="27">#REF!</definedName>
    <definedName name="SCHNMBR" localSheetId="17">#REF!</definedName>
    <definedName name="SCHNMBR" localSheetId="43">#REF!</definedName>
    <definedName name="SCHNMBR" localSheetId="44">#REF!</definedName>
    <definedName name="SCHNMBR" localSheetId="45">#REF!</definedName>
    <definedName name="SCHNMBR" localSheetId="46">#REF!</definedName>
    <definedName name="SCHNMBR" localSheetId="47">#REF!</definedName>
    <definedName name="SCHNMBR" localSheetId="48">#REF!</definedName>
    <definedName name="SCHNMBR" localSheetId="49">#REF!</definedName>
    <definedName name="SCHNMBR" localSheetId="50">#REF!</definedName>
    <definedName name="SCHNMBR" localSheetId="51">#REF!</definedName>
    <definedName name="SCHNMBR" localSheetId="52">#REF!</definedName>
    <definedName name="SCHNMBR" localSheetId="21">#REF!</definedName>
    <definedName name="SCHNMBR" localSheetId="4">#REF!</definedName>
    <definedName name="SCHNMBR" localSheetId="32">#REF!</definedName>
    <definedName name="SCHNMBR" localSheetId="33">#REF!</definedName>
    <definedName name="SCHNMBR" localSheetId="34">#REF!</definedName>
    <definedName name="SCHNMBR" localSheetId="35">#REF!</definedName>
    <definedName name="SCHNMBR" localSheetId="36">#REF!</definedName>
    <definedName name="SCHNMBR" localSheetId="37">#REF!</definedName>
    <definedName name="SCHNMBR" localSheetId="38">#REF!</definedName>
    <definedName name="SCHNMBR" localSheetId="39">#REF!</definedName>
    <definedName name="SCHNMBR" localSheetId="40">#REF!</definedName>
    <definedName name="SCHNMBR" localSheetId="41">#REF!</definedName>
    <definedName name="SCHNMBR" localSheetId="28">#REF!</definedName>
    <definedName name="SCHNMBR" localSheetId="29">#REF!</definedName>
    <definedName name="SCHNMBR" localSheetId="26">#REF!</definedName>
    <definedName name="SCHNMBR" localSheetId="30">#REF!</definedName>
    <definedName name="SCHNMBR" localSheetId="31">#REF!</definedName>
    <definedName name="SCHNMBR" localSheetId="25">#REF!</definedName>
    <definedName name="SCHNMBR" localSheetId="24">#REF!</definedName>
    <definedName name="SCHNMBR" localSheetId="42">#REF!</definedName>
    <definedName name="SCHNMBR">#REF!</definedName>
    <definedName name="SCHNME" localSheetId="27">#REF!</definedName>
    <definedName name="SCHNME" localSheetId="17">#REF!</definedName>
    <definedName name="SCHNME" localSheetId="43">#REF!</definedName>
    <definedName name="SCHNME" localSheetId="44">#REF!</definedName>
    <definedName name="SCHNME" localSheetId="45">#REF!</definedName>
    <definedName name="SCHNME" localSheetId="46">#REF!</definedName>
    <definedName name="SCHNME" localSheetId="47">#REF!</definedName>
    <definedName name="SCHNME" localSheetId="48">#REF!</definedName>
    <definedName name="SCHNME" localSheetId="49">#REF!</definedName>
    <definedName name="SCHNME" localSheetId="50">#REF!</definedName>
    <definedName name="SCHNME" localSheetId="51">#REF!</definedName>
    <definedName name="SCHNME" localSheetId="52">#REF!</definedName>
    <definedName name="SCHNME" localSheetId="21">#REF!</definedName>
    <definedName name="SCHNME" localSheetId="4">#REF!</definedName>
    <definedName name="SCHNME" localSheetId="32">#REF!</definedName>
    <definedName name="SCHNME" localSheetId="33">#REF!</definedName>
    <definedName name="SCHNME" localSheetId="34">#REF!</definedName>
    <definedName name="SCHNME" localSheetId="35">#REF!</definedName>
    <definedName name="SCHNME" localSheetId="36">#REF!</definedName>
    <definedName name="SCHNME" localSheetId="37">#REF!</definedName>
    <definedName name="SCHNME" localSheetId="38">#REF!</definedName>
    <definedName name="SCHNME" localSheetId="39">#REF!</definedName>
    <definedName name="SCHNME" localSheetId="40">#REF!</definedName>
    <definedName name="SCHNME" localSheetId="41">#REF!</definedName>
    <definedName name="SCHNME" localSheetId="28">#REF!</definedName>
    <definedName name="SCHNME" localSheetId="29">#REF!</definedName>
    <definedName name="SCHNME" localSheetId="26">#REF!</definedName>
    <definedName name="SCHNME" localSheetId="30">#REF!</definedName>
    <definedName name="SCHNME" localSheetId="31">#REF!</definedName>
    <definedName name="SCHNME" localSheetId="25">#REF!</definedName>
    <definedName name="SCHNME" localSheetId="24">#REF!</definedName>
    <definedName name="SCHNME" localSheetId="42">#REF!</definedName>
    <definedName name="SCHNME">#REF!</definedName>
    <definedName name="SUPT" localSheetId="27">#REF!</definedName>
    <definedName name="SUPT" localSheetId="17">#REF!</definedName>
    <definedName name="SUPT" localSheetId="43">#REF!</definedName>
    <definedName name="SUPT" localSheetId="44">#REF!</definedName>
    <definedName name="SUPT" localSheetId="45">#REF!</definedName>
    <definedName name="SUPT" localSheetId="46">#REF!</definedName>
    <definedName name="SUPT" localSheetId="47">#REF!</definedName>
    <definedName name="SUPT" localSheetId="48">#REF!</definedName>
    <definedName name="SUPT" localSheetId="49">#REF!</definedName>
    <definedName name="SUPT" localSheetId="50">#REF!</definedName>
    <definedName name="SUPT" localSheetId="51">#REF!</definedName>
    <definedName name="SUPT" localSheetId="52">#REF!</definedName>
    <definedName name="SUPT" localSheetId="21">#REF!</definedName>
    <definedName name="SUPT" localSheetId="4">#REF!</definedName>
    <definedName name="SUPT" localSheetId="32">#REF!</definedName>
    <definedName name="SUPT" localSheetId="33">#REF!</definedName>
    <definedName name="SUPT" localSheetId="34">#REF!</definedName>
    <definedName name="SUPT" localSheetId="35">#REF!</definedName>
    <definedName name="SUPT" localSheetId="36">#REF!</definedName>
    <definedName name="SUPT" localSheetId="37">#REF!</definedName>
    <definedName name="SUPT" localSheetId="38">#REF!</definedName>
    <definedName name="SUPT" localSheetId="39">#REF!</definedName>
    <definedName name="SUPT" localSheetId="40">#REF!</definedName>
    <definedName name="SUPT" localSheetId="41">#REF!</definedName>
    <definedName name="SUPT" localSheetId="28">#REF!</definedName>
    <definedName name="SUPT" localSheetId="29">#REF!</definedName>
    <definedName name="SUPT" localSheetId="26">#REF!</definedName>
    <definedName name="SUPT" localSheetId="30">#REF!</definedName>
    <definedName name="SUPT" localSheetId="31">#REF!</definedName>
    <definedName name="SUPT" localSheetId="25">#REF!</definedName>
    <definedName name="SUPT" localSheetId="24">#REF!</definedName>
    <definedName name="SUPT" localSheetId="42">#REF!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2" i="127" l="1"/>
  <c r="B51" i="127"/>
  <c r="P106" i="204" l="1"/>
  <c r="N101" i="204"/>
  <c r="L101" i="204"/>
  <c r="J101" i="204"/>
  <c r="F101" i="204"/>
  <c r="P99" i="204"/>
  <c r="P101" i="204" s="1"/>
  <c r="H99" i="204"/>
  <c r="H101" i="204" s="1"/>
  <c r="P98" i="204"/>
  <c r="N91" i="204"/>
  <c r="L91" i="204"/>
  <c r="J91" i="204"/>
  <c r="H91" i="204"/>
  <c r="F91" i="204"/>
  <c r="P89" i="204"/>
  <c r="N85" i="204"/>
  <c r="N113" i="204" s="1"/>
  <c r="L85" i="204"/>
  <c r="J85" i="204"/>
  <c r="H85" i="204"/>
  <c r="G85" i="204"/>
  <c r="F85" i="204"/>
  <c r="P83" i="204"/>
  <c r="P85" i="204" s="1"/>
  <c r="N76" i="204"/>
  <c r="L76" i="204"/>
  <c r="J76" i="204"/>
  <c r="H76" i="204"/>
  <c r="F76" i="204"/>
  <c r="P74" i="204"/>
  <c r="P76" i="204" s="1"/>
  <c r="N69" i="204"/>
  <c r="J69" i="204"/>
  <c r="H69" i="204"/>
  <c r="F69" i="204"/>
  <c r="L67" i="204"/>
  <c r="L69" i="204" s="1"/>
  <c r="P66" i="204"/>
  <c r="F66" i="204"/>
  <c r="N62" i="204"/>
  <c r="L62" i="204"/>
  <c r="J62" i="204"/>
  <c r="H62" i="204"/>
  <c r="F62" i="204"/>
  <c r="P60" i="204"/>
  <c r="P59" i="204"/>
  <c r="N54" i="204"/>
  <c r="N93" i="204" s="1"/>
  <c r="J54" i="204"/>
  <c r="J78" i="204" s="1"/>
  <c r="F54" i="204"/>
  <c r="F78" i="204" s="1"/>
  <c r="P52" i="204"/>
  <c r="P49" i="204"/>
  <c r="L48" i="204"/>
  <c r="P48" i="204" s="1"/>
  <c r="H48" i="204"/>
  <c r="P46" i="204"/>
  <c r="P45" i="204"/>
  <c r="P44" i="204"/>
  <c r="P42" i="204"/>
  <c r="P41" i="204"/>
  <c r="H41" i="204"/>
  <c r="P40" i="204"/>
  <c r="L39" i="204"/>
  <c r="H39" i="204"/>
  <c r="P37" i="204"/>
  <c r="P35" i="204"/>
  <c r="L34" i="204"/>
  <c r="H34" i="204"/>
  <c r="N28" i="204"/>
  <c r="L28" i="204"/>
  <c r="J28" i="204"/>
  <c r="H28" i="204"/>
  <c r="F28" i="204"/>
  <c r="P26" i="204"/>
  <c r="P25" i="204"/>
  <c r="P24" i="204"/>
  <c r="P23" i="204"/>
  <c r="P22" i="204"/>
  <c r="P20" i="204"/>
  <c r="P19" i="204"/>
  <c r="P17" i="204"/>
  <c r="P16" i="204"/>
  <c r="L9" i="204"/>
  <c r="J9" i="204"/>
  <c r="L8" i="204"/>
  <c r="P67" i="204" l="1"/>
  <c r="F111" i="204"/>
  <c r="P62" i="204"/>
  <c r="N111" i="204"/>
  <c r="H54" i="204"/>
  <c r="H78" i="204" s="1"/>
  <c r="H108" i="204" s="1"/>
  <c r="L54" i="204"/>
  <c r="L78" i="204" s="1"/>
  <c r="L108" i="204" s="1"/>
  <c r="J108" i="204"/>
  <c r="F113" i="204"/>
  <c r="F115" i="204" s="1"/>
  <c r="H113" i="204"/>
  <c r="J111" i="204"/>
  <c r="P28" i="204"/>
  <c r="P69" i="204"/>
  <c r="J113" i="204"/>
  <c r="L113" i="204"/>
  <c r="N115" i="204"/>
  <c r="P39" i="204"/>
  <c r="P34" i="204"/>
  <c r="N78" i="204"/>
  <c r="N108" i="204" s="1"/>
  <c r="F108" i="204"/>
  <c r="P91" i="204"/>
  <c r="P113" i="204" s="1"/>
  <c r="H111" i="204" l="1"/>
  <c r="H115" i="204" s="1"/>
  <c r="D35" i="171" s="1"/>
  <c r="J115" i="204"/>
  <c r="L111" i="204"/>
  <c r="L115" i="204" s="1"/>
  <c r="P54" i="204"/>
  <c r="B14" i="202"/>
  <c r="B14" i="201"/>
  <c r="B14" i="200"/>
  <c r="B4" i="199"/>
  <c r="B1" i="199"/>
  <c r="P78" i="204" l="1"/>
  <c r="P108" i="204" s="1"/>
  <c r="P111" i="204"/>
  <c r="P115" i="204" s="1"/>
  <c r="B4" i="198"/>
  <c r="B1" i="198"/>
  <c r="B14" i="196" l="1"/>
  <c r="B14" i="195"/>
  <c r="B14" i="194"/>
  <c r="B14" i="193"/>
  <c r="B14" i="192"/>
  <c r="B14" i="191"/>
  <c r="B14" i="190"/>
  <c r="B4" i="189" l="1"/>
  <c r="B1" i="189"/>
  <c r="B4" i="188" l="1"/>
  <c r="B1" i="188"/>
  <c r="B4" i="187" l="1"/>
  <c r="B1" i="187"/>
  <c r="B4" i="186"/>
  <c r="B1" i="186"/>
  <c r="B4" i="185"/>
  <c r="B1" i="185"/>
  <c r="B4" i="184"/>
  <c r="B1" i="184"/>
  <c r="B4" i="183"/>
  <c r="B1" i="18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B7795" i="106" l="1"/>
  <c r="F139" i="181" l="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L27" i="179" l="1"/>
  <c r="L26" i="179"/>
  <c r="L25" i="179"/>
  <c r="L24" i="179"/>
  <c r="L23" i="179"/>
  <c r="L22" i="179"/>
  <c r="L21" i="179"/>
  <c r="L20" i="179"/>
  <c r="L19" i="179"/>
  <c r="L18" i="179"/>
  <c r="L17" i="179"/>
  <c r="L16" i="179"/>
  <c r="L15" i="179"/>
  <c r="L14" i="179"/>
  <c r="L13" i="179"/>
  <c r="L12" i="179"/>
  <c r="L11" i="179"/>
  <c r="D14" i="171" l="1"/>
  <c r="A10" i="169"/>
  <c r="A14" i="169"/>
  <c r="K18" i="169"/>
  <c r="G18" i="169"/>
  <c r="G15" i="169"/>
  <c r="I13" i="169"/>
  <c r="G11" i="169"/>
  <c r="G10" i="169"/>
  <c r="G9" i="169"/>
  <c r="G7" i="169"/>
  <c r="E7" i="169"/>
  <c r="B4" i="177"/>
  <c r="B4" i="176"/>
  <c r="B4" i="175"/>
  <c r="G43" i="174"/>
  <c r="D47" i="174" s="1"/>
  <c r="B4" i="174"/>
  <c r="E22"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3" i="202" l="1"/>
  <c r="B13" i="201"/>
  <c r="B13" i="200"/>
  <c r="B2" i="199"/>
  <c r="B2" i="198"/>
  <c r="B2" i="179"/>
  <c r="B13" i="195"/>
  <c r="B13" i="191"/>
  <c r="B13" i="190"/>
  <c r="B13" i="194"/>
  <c r="B13" i="193"/>
  <c r="B13" i="196"/>
  <c r="B13" i="192"/>
  <c r="B2" i="189"/>
  <c r="B2" i="188"/>
  <c r="B2" i="184"/>
  <c r="B2" i="187"/>
  <c r="B2" i="185"/>
  <c r="B2" i="186"/>
  <c r="B2" i="183"/>
  <c r="A2" i="170"/>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J85" i="28" l="1"/>
  <c r="B7758" i="106" s="1"/>
  <c r="D7758" i="106" s="1"/>
  <c r="J88" i="28"/>
  <c r="K12" i="12"/>
  <c r="K23" i="12"/>
  <c r="J12" i="12"/>
  <c r="J21" i="12"/>
  <c r="B7727" i="106" s="1"/>
  <c r="D7727" i="106" s="1"/>
  <c r="B7729" i="106"/>
  <c r="D7729" i="106" s="1"/>
  <c r="B7734" i="106"/>
  <c r="D7734" i="106" s="1"/>
  <c r="B7726" i="106"/>
  <c r="B30" i="36"/>
  <c r="B33" i="36" s="1"/>
  <c r="B43" i="36" s="1"/>
  <c r="B56" i="36" s="1"/>
  <c r="B66" i="36" s="1"/>
  <c r="B70" i="36" s="1"/>
  <c r="B74" i="36" s="1"/>
  <c r="I7" i="145"/>
  <c r="I6" i="145"/>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D66" i="106"/>
  <c r="D67" i="106"/>
  <c r="D68" i="106"/>
  <c r="D69" i="106"/>
  <c r="D70" i="106"/>
  <c r="D71" i="106"/>
  <c r="D74" i="106"/>
  <c r="D75" i="106"/>
  <c r="D78" i="106"/>
  <c r="D79" i="106"/>
  <c r="D80" i="106"/>
  <c r="D81" i="106"/>
  <c r="D82" i="106"/>
  <c r="D83" i="106"/>
  <c r="D84" i="106"/>
  <c r="D85" i="106"/>
  <c r="D87" i="106"/>
  <c r="D89" i="106"/>
  <c r="D90" i="106"/>
  <c r="D94" i="106"/>
  <c r="D95" i="106"/>
  <c r="D96" i="106"/>
  <c r="D98" i="106"/>
  <c r="D99" i="106"/>
  <c r="D100" i="106"/>
  <c r="D101" i="106"/>
  <c r="D102" i="106"/>
  <c r="D103" i="106"/>
  <c r="D106" i="106"/>
  <c r="D107" i="106"/>
  <c r="D110" i="106"/>
  <c r="D111" i="106"/>
  <c r="D112" i="106"/>
  <c r="D113" i="106"/>
  <c r="D114" i="106"/>
  <c r="D115" i="106"/>
  <c r="D116" i="106"/>
  <c r="D118" i="106"/>
  <c r="D120" i="106"/>
  <c r="D121" i="106"/>
  <c r="D125" i="106"/>
  <c r="D127" i="106"/>
  <c r="D128" i="106"/>
  <c r="D132" i="106"/>
  <c r="D133" i="106"/>
  <c r="D135" i="106"/>
  <c r="D136" i="106"/>
  <c r="D137" i="106"/>
  <c r="D138" i="106"/>
  <c r="D142" i="106"/>
  <c r="D143" i="106"/>
  <c r="D144" i="106"/>
  <c r="D146" i="106"/>
  <c r="D147" i="106"/>
  <c r="D148" i="106"/>
  <c r="D149" i="106"/>
  <c r="D150" i="106"/>
  <c r="D151" i="106"/>
  <c r="D154" i="106"/>
  <c r="D155" i="106"/>
  <c r="D158" i="106"/>
  <c r="D159" i="106"/>
  <c r="D160" i="106"/>
  <c r="D161" i="106"/>
  <c r="D162" i="106"/>
  <c r="D163" i="106"/>
  <c r="D165" i="106"/>
  <c r="D167" i="106"/>
  <c r="D168" i="106"/>
  <c r="D172" i="106"/>
  <c r="D174" i="106"/>
  <c r="D175" i="106"/>
  <c r="D176" i="106"/>
  <c r="D178" i="106"/>
  <c r="D181" i="106"/>
  <c r="D182" i="106"/>
  <c r="D183" i="106"/>
  <c r="D186" i="106"/>
  <c r="D187" i="106"/>
  <c r="D191" i="106"/>
  <c r="D192" i="106"/>
  <c r="D193" i="106"/>
  <c r="D194" i="106"/>
  <c r="D195" i="106"/>
  <c r="D196" i="106"/>
  <c r="D197" i="106"/>
  <c r="D200" i="106"/>
  <c r="D201" i="106"/>
  <c r="D204" i="106"/>
  <c r="D205" i="106"/>
  <c r="D207" i="106"/>
  <c r="D209" i="106"/>
  <c r="D210"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D322"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D707" i="106"/>
  <c r="D708" i="106"/>
  <c r="D709" i="106"/>
  <c r="D710" i="106"/>
  <c r="D711" i="106"/>
  <c r="D713" i="106"/>
  <c r="D714" i="106"/>
  <c r="D715" i="106"/>
  <c r="D744" i="106"/>
  <c r="D750" i="106"/>
  <c r="D752" i="106"/>
  <c r="D758" i="106"/>
  <c r="D759" i="106"/>
  <c r="D760" i="106"/>
  <c r="D761" i="106"/>
  <c r="D762" i="106"/>
  <c r="D765" i="106"/>
  <c r="D766" i="106"/>
  <c r="D767" i="106"/>
  <c r="D768" i="106"/>
  <c r="D769" i="106"/>
  <c r="D771" i="106"/>
  <c r="D772" i="106"/>
  <c r="D773" i="106"/>
  <c r="D802" i="106"/>
  <c r="D808" i="106"/>
  <c r="D810" i="106"/>
  <c r="D816" i="106"/>
  <c r="D817" i="106"/>
  <c r="D818" i="106"/>
  <c r="D819" i="106"/>
  <c r="D820" i="106"/>
  <c r="D823" i="106"/>
  <c r="D824" i="106"/>
  <c r="D825" i="106"/>
  <c r="D826" i="106"/>
  <c r="D827" i="106"/>
  <c r="D829" i="106"/>
  <c r="D830" i="106"/>
  <c r="D831" i="106"/>
  <c r="D860" i="106"/>
  <c r="D866" i="106"/>
  <c r="D868" i="106"/>
  <c r="D874" i="106"/>
  <c r="D875" i="106"/>
  <c r="D876" i="106"/>
  <c r="D877" i="106"/>
  <c r="D878" i="106"/>
  <c r="D881" i="106"/>
  <c r="D882" i="106"/>
  <c r="D883" i="106"/>
  <c r="D884" i="106"/>
  <c r="D885" i="106"/>
  <c r="D887" i="106"/>
  <c r="D888" i="106"/>
  <c r="D889" i="106"/>
  <c r="D918" i="106"/>
  <c r="D924" i="106"/>
  <c r="D926" i="106"/>
  <c r="D932" i="106"/>
  <c r="D933" i="106"/>
  <c r="D934" i="106"/>
  <c r="D935" i="106"/>
  <c r="D936" i="106"/>
  <c r="D939" i="106"/>
  <c r="D940" i="106"/>
  <c r="D941" i="106"/>
  <c r="D942" i="106"/>
  <c r="D943" i="106"/>
  <c r="D945" i="106"/>
  <c r="D946" i="106"/>
  <c r="D947" i="106"/>
  <c r="D976" i="106"/>
  <c r="D982" i="106"/>
  <c r="D984" i="106"/>
  <c r="D990" i="106"/>
  <c r="D991" i="106"/>
  <c r="D992" i="106"/>
  <c r="D993" i="106"/>
  <c r="D994" i="106"/>
  <c r="D997" i="106"/>
  <c r="D998" i="106"/>
  <c r="D999" i="106"/>
  <c r="D1000" i="106"/>
  <c r="D1001" i="106"/>
  <c r="D1003" i="106"/>
  <c r="D1004" i="106"/>
  <c r="D1005" i="106"/>
  <c r="D1034" i="106"/>
  <c r="D1040" i="106"/>
  <c r="D1042" i="106"/>
  <c r="D1050" i="106"/>
  <c r="D1052" i="106"/>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D1095" i="106"/>
  <c r="D1096" i="106"/>
  <c r="D1097" i="106"/>
  <c r="D1098" i="106"/>
  <c r="D1099" i="106"/>
  <c r="D1101" i="106"/>
  <c r="D1102" i="106"/>
  <c r="D1103" i="106"/>
  <c r="D1132" i="106"/>
  <c r="D1138" i="106"/>
  <c r="D1140" i="106"/>
  <c r="D1148" i="106"/>
  <c r="D1150"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D1222" i="106"/>
  <c r="D1230" i="106"/>
  <c r="D1238" i="106"/>
  <c r="D1246" i="106"/>
  <c r="D1255" i="106"/>
  <c r="D1263" i="106"/>
  <c r="D1271" i="106"/>
  <c r="D1278" i="106"/>
  <c r="D1286" i="106"/>
  <c r="D1290" i="106"/>
  <c r="D1291" i="106"/>
  <c r="D1292" i="106"/>
  <c r="D1293" i="106"/>
  <c r="D1294" i="106"/>
  <c r="D1295" i="106"/>
  <c r="D1296" i="106"/>
  <c r="D1297" i="106"/>
  <c r="D1298" i="106"/>
  <c r="D1299" i="106"/>
  <c r="D1300" i="106"/>
  <c r="D1301" i="106"/>
  <c r="D1302" i="106"/>
  <c r="D1303" i="106"/>
  <c r="D1304" i="106"/>
  <c r="D1305" i="106"/>
  <c r="D1306" i="106"/>
  <c r="D1319" i="106"/>
  <c r="D1320" i="106"/>
  <c r="D1321" i="106"/>
  <c r="D1322" i="106"/>
  <c r="B1323" i="106"/>
  <c r="D1323" i="106" s="1"/>
  <c r="D1334" i="106"/>
  <c r="D1336" i="106"/>
  <c r="D1337" i="106"/>
  <c r="D1342" i="106"/>
  <c r="D1343" i="106"/>
  <c r="D1348" i="106"/>
  <c r="D1349" i="106"/>
  <c r="D1355" i="106"/>
  <c r="D1356" i="106"/>
  <c r="D1361" i="106"/>
  <c r="D1362" i="106"/>
  <c r="D1367" i="106"/>
  <c r="D1368" i="106"/>
  <c r="D1374" i="106"/>
  <c r="D1378" i="106"/>
  <c r="D1379" i="106"/>
  <c r="D1386" i="106"/>
  <c r="D1390" i="106"/>
  <c r="D1391" i="106"/>
  <c r="D1392" i="106"/>
  <c r="D1393" i="106"/>
  <c r="D1394" i="106"/>
  <c r="D1395" i="106"/>
  <c r="D1397" i="106"/>
  <c r="D1398" i="106"/>
  <c r="D1399" i="106"/>
  <c r="D1400" i="106"/>
  <c r="D1401" i="106"/>
  <c r="D1403" i="106"/>
  <c r="D1404" i="106"/>
  <c r="D1405" i="106"/>
  <c r="D1435" i="106"/>
  <c r="D1441" i="106"/>
  <c r="D1443" i="106"/>
  <c r="D1453" i="106"/>
  <c r="D1455" i="106"/>
  <c r="D1456" i="106"/>
  <c r="D1457" i="106"/>
  <c r="D1458" i="106"/>
  <c r="D1459" i="106"/>
  <c r="D1461" i="106"/>
  <c r="D1462" i="106"/>
  <c r="D1463" i="106"/>
  <c r="D1464" i="106"/>
  <c r="D1465" i="106"/>
  <c r="D1467" i="106"/>
  <c r="D1468" i="106"/>
  <c r="D1469" i="106"/>
  <c r="D1499" i="106"/>
  <c r="D1505" i="106"/>
  <c r="D1507" i="106"/>
  <c r="D1516" i="106"/>
  <c r="D1520" i="106"/>
  <c r="D1521" i="106"/>
  <c r="D1526" i="106"/>
  <c r="D1527" i="106"/>
  <c r="D1532" i="106"/>
  <c r="D1533" i="106"/>
  <c r="D1538" i="106"/>
  <c r="D1539" i="106"/>
  <c r="D1544" i="106"/>
  <c r="D1545" i="106"/>
  <c r="D1550" i="106"/>
  <c r="D1551" i="106"/>
  <c r="D1556" i="106"/>
  <c r="D155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D2565" i="106"/>
  <c r="D2576" i="106"/>
  <c r="D2577" i="106"/>
  <c r="D2578" i="106"/>
  <c r="D2579" i="106"/>
  <c r="D2580" i="106"/>
  <c r="D2581" i="106"/>
  <c r="D2582" i="106"/>
  <c r="D2583" i="106"/>
  <c r="D2584" i="106"/>
  <c r="D2585" i="106"/>
  <c r="D2586" i="106"/>
  <c r="D2587" i="106"/>
  <c r="D2588" i="106"/>
  <c r="D2589" i="106"/>
  <c r="D2590" i="106"/>
  <c r="D2592" i="106"/>
  <c r="D2610" i="106"/>
  <c r="D2615" i="106"/>
  <c r="D2616" i="106"/>
  <c r="D2617" i="106"/>
  <c r="D2618" i="106"/>
  <c r="D2619" i="106"/>
  <c r="D2620" i="106"/>
  <c r="D2621" i="106"/>
  <c r="D2622" i="106"/>
  <c r="D2623" i="106"/>
  <c r="D2624" i="106"/>
  <c r="D2625" i="106"/>
  <c r="D2626" i="106"/>
  <c r="D2627" i="106"/>
  <c r="D2628" i="106"/>
  <c r="D2629" i="106"/>
  <c r="D2638" i="106"/>
  <c r="D2639" i="106"/>
  <c r="D2640" i="106"/>
  <c r="D2641" i="106"/>
  <c r="D2642" i="106"/>
  <c r="D2643" i="106"/>
  <c r="D2644" i="106"/>
  <c r="D2645" i="106"/>
  <c r="D2646" i="106"/>
  <c r="D2647" i="106"/>
  <c r="D2648" i="106"/>
  <c r="D2649" i="106"/>
  <c r="D2650" i="106"/>
  <c r="D2651" i="106"/>
  <c r="D2652" i="106"/>
  <c r="D2653" i="106"/>
  <c r="D2654" i="106"/>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27" i="106"/>
  <c r="D2727" i="106" s="1"/>
  <c r="B2728" i="106"/>
  <c r="D2728" i="106" s="1"/>
  <c r="B2729" i="106"/>
  <c r="D2729" i="106" s="1"/>
  <c r="B2730" i="106"/>
  <c r="D2730" i="106" s="1"/>
  <c r="B2731" i="106"/>
  <c r="D2731" i="106" s="1"/>
  <c r="B2732" i="106"/>
  <c r="D2732" i="106" s="1"/>
  <c r="F4" i="8"/>
  <c r="B2733" i="106" s="1"/>
  <c r="D2733" i="106" s="1"/>
  <c r="F25" i="8"/>
  <c r="L22" i="37"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D2759" i="106"/>
  <c r="D2761" i="106"/>
  <c r="D2764" i="106"/>
  <c r="D2765" i="106"/>
  <c r="D2767" i="106"/>
  <c r="D2768" i="106"/>
  <c r="D2770" i="106"/>
  <c r="D2771" i="106"/>
  <c r="D2773" i="106"/>
  <c r="D2774" i="106"/>
  <c r="D2775" i="106"/>
  <c r="D2776" i="106"/>
  <c r="D2777" i="106"/>
  <c r="D2778" i="106"/>
  <c r="D2779" i="106"/>
  <c r="D2780" i="106"/>
  <c r="D2781" i="106"/>
  <c r="D2782" i="106"/>
  <c r="D2783" i="106"/>
  <c r="D2784" i="106"/>
  <c r="D2785" i="106"/>
  <c r="D2786" i="106"/>
  <c r="D2787" i="106"/>
  <c r="D2788" i="106"/>
  <c r="D2793" i="106"/>
  <c r="D2803" i="106"/>
  <c r="D2804" i="106"/>
  <c r="D2809" i="106"/>
  <c r="D2814" i="106"/>
  <c r="D2815" i="106"/>
  <c r="D2816" i="106"/>
  <c r="D2833" i="106"/>
  <c r="D2834" i="106"/>
  <c r="D2835" i="106"/>
  <c r="D2838" i="106"/>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D2881" i="106"/>
  <c r="D2882" i="106"/>
  <c r="D2883" i="106"/>
  <c r="D2884" i="106"/>
  <c r="D2886" i="106"/>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D2909" i="106"/>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D2948" i="106"/>
  <c r="D2961" i="106"/>
  <c r="D2962" i="106"/>
  <c r="D2963" i="106"/>
  <c r="D2964" i="106"/>
  <c r="D2965" i="106"/>
  <c r="D2966" i="106"/>
  <c r="D2967" i="106"/>
  <c r="D2968" i="106"/>
  <c r="D2969" i="106"/>
  <c r="D2970" i="106"/>
  <c r="D2971" i="106"/>
  <c r="D2972" i="106"/>
  <c r="D2982" i="106"/>
  <c r="D2983" i="106"/>
  <c r="D2984" i="106"/>
  <c r="D2985" i="106"/>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D3061" i="106"/>
  <c r="D3063" i="106"/>
  <c r="D3066" i="106"/>
  <c r="D3067" i="106"/>
  <c r="D3068" i="106"/>
  <c r="D3069" i="106"/>
  <c r="D3070" i="106"/>
  <c r="B3071" i="106"/>
  <c r="D3071" i="106" s="1"/>
  <c r="B3072" i="106"/>
  <c r="D3072" i="106" s="1"/>
  <c r="D3073" i="106"/>
  <c r="D3074" i="106"/>
  <c r="D3075" i="106"/>
  <c r="D3076" i="106"/>
  <c r="D3077" i="106"/>
  <c r="D3081"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D3162" i="106"/>
  <c r="D3163" i="106"/>
  <c r="D3164" i="106"/>
  <c r="D3165" i="106"/>
  <c r="D3166" i="106"/>
  <c r="D3167" i="106"/>
  <c r="D3168" i="106"/>
  <c r="D3169" i="106"/>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D3240" i="106"/>
  <c r="D3241" i="106"/>
  <c r="D3242" i="106"/>
  <c r="D3243" i="106"/>
  <c r="D3244" i="106"/>
  <c r="D3245" i="106"/>
  <c r="D3246" i="106"/>
  <c r="D3247" i="106"/>
  <c r="D3248" i="106"/>
  <c r="D3249" i="106"/>
  <c r="D3250" i="106"/>
  <c r="D3263" i="106"/>
  <c r="D3264" i="106"/>
  <c r="D3265" i="106"/>
  <c r="D3266" i="106"/>
  <c r="D3267" i="106"/>
  <c r="D3268" i="106"/>
  <c r="D3269" i="106"/>
  <c r="D3270" i="106"/>
  <c r="D3271" i="106"/>
  <c r="D3272" i="106"/>
  <c r="D3279" i="106"/>
  <c r="D3280" i="106"/>
  <c r="D3281" i="106"/>
  <c r="D3282" i="106"/>
  <c r="D3283" i="106"/>
  <c r="D3284" i="106"/>
  <c r="D3285" i="106"/>
  <c r="D3286" i="106"/>
  <c r="D3287" i="106"/>
  <c r="D3288" i="106"/>
  <c r="D3289" i="106"/>
  <c r="D3290" i="106"/>
  <c r="D3291" i="106"/>
  <c r="D3292" i="106"/>
  <c r="D3293" i="106"/>
  <c r="D3294" i="106"/>
  <c r="D3301" i="106"/>
  <c r="D3302" i="106"/>
  <c r="D3303" i="106"/>
  <c r="D3304" i="106"/>
  <c r="D3305" i="106"/>
  <c r="D3306" i="106"/>
  <c r="D3307" i="106"/>
  <c r="D3308" i="106"/>
  <c r="D3309" i="106"/>
  <c r="D3310" i="106"/>
  <c r="D3311" i="106"/>
  <c r="D3312" i="106"/>
  <c r="D3313" i="106"/>
  <c r="D3314" i="106"/>
  <c r="D3315" i="106"/>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D3378" i="106"/>
  <c r="D3379" i="106"/>
  <c r="D3382" i="106"/>
  <c r="D3383" i="106"/>
  <c r="D3384" i="106"/>
  <c r="D3385" i="106"/>
  <c r="D3386" i="106"/>
  <c r="D3393" i="106"/>
  <c r="D3394" i="106"/>
  <c r="D3395" i="106"/>
  <c r="D3396" i="106"/>
  <c r="D3397" i="106"/>
  <c r="D3398" i="106"/>
  <c r="B3399" i="106"/>
  <c r="D3399" i="106" s="1"/>
  <c r="D3400" i="106"/>
  <c r="D3401" i="106"/>
  <c r="D3402" i="106"/>
  <c r="D3403" i="106"/>
  <c r="D3404" i="106"/>
  <c r="D3407" i="106"/>
  <c r="D3410" i="106"/>
  <c r="D3412" i="106"/>
  <c r="D3413" i="106"/>
  <c r="D3415" i="106"/>
  <c r="D3416" i="106"/>
  <c r="D3418" i="106"/>
  <c r="D3420" i="106"/>
  <c r="D3421" i="106"/>
  <c r="D3423" i="106"/>
  <c r="D3424" i="106"/>
  <c r="D3426" i="106"/>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D3489" i="106"/>
  <c r="D3491"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D3520" i="106"/>
  <c r="D3535" i="106"/>
  <c r="D3536" i="106"/>
  <c r="D3537" i="106"/>
  <c r="D3538" i="106"/>
  <c r="D3539" i="106"/>
  <c r="D3540" i="106"/>
  <c r="D3541" i="106"/>
  <c r="D3542" i="106"/>
  <c r="D3543" i="106"/>
  <c r="D3544" i="106"/>
  <c r="D3545" i="106"/>
  <c r="D3547" i="106"/>
  <c r="D3553" i="106"/>
  <c r="D3554" i="106"/>
  <c r="D3555" i="106"/>
  <c r="D3556" i="106"/>
  <c r="D3557" i="106"/>
  <c r="D3558" i="106"/>
  <c r="D3559" i="106"/>
  <c r="D3560" i="106"/>
  <c r="D3563" i="106"/>
  <c r="D3564" i="106"/>
  <c r="B3566" i="106"/>
  <c r="D3566"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D3700" i="106"/>
  <c r="D3701" i="106"/>
  <c r="D3704" i="106"/>
  <c r="D3705" i="106"/>
  <c r="D3706" i="106"/>
  <c r="D3707" i="106"/>
  <c r="D3708" i="106"/>
  <c r="D3709" i="106"/>
  <c r="D3710" i="106"/>
  <c r="D3711" i="106"/>
  <c r="D3712" i="106"/>
  <c r="D3713" i="106"/>
  <c r="D3714" i="106"/>
  <c r="D3715" i="106"/>
  <c r="D3716" i="106"/>
  <c r="D3719" i="106"/>
  <c r="D3720" i="106"/>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4" i="106"/>
  <c r="D4114" i="106" s="1"/>
  <c r="B4115" i="106"/>
  <c r="D4115" i="106" s="1"/>
  <c r="B4116" i="106"/>
  <c r="D4116" i="106" s="1"/>
  <c r="B4117" i="106"/>
  <c r="D4117" i="106" s="1"/>
  <c r="B4118" i="106"/>
  <c r="D4118" i="106" s="1"/>
  <c r="D4119" i="106"/>
  <c r="D4120" i="106"/>
  <c r="B4121" i="106"/>
  <c r="D4121" i="106" s="1"/>
  <c r="D4129" i="106"/>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D4167" i="106"/>
  <c r="D4168" i="106"/>
  <c r="D4169" i="106"/>
  <c r="D4170" i="106"/>
  <c r="I31" i="8"/>
  <c r="J31" i="8" s="1"/>
  <c r="I32" i="8"/>
  <c r="J32" i="8" s="1"/>
  <c r="I33" i="8"/>
  <c r="J33" i="8" s="1"/>
  <c r="I34" i="8"/>
  <c r="J34" i="8" s="1"/>
  <c r="I35" i="8"/>
  <c r="I36" i="8"/>
  <c r="J36" i="8" s="1"/>
  <c r="I37" i="8"/>
  <c r="J37" i="8" s="1"/>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D4193" i="106"/>
  <c r="D4194" i="106"/>
  <c r="D4195" i="106"/>
  <c r="D4196" i="106"/>
  <c r="D4197" i="106"/>
  <c r="D4198" i="106"/>
  <c r="D4204" i="106"/>
  <c r="D4205" i="106"/>
  <c r="D4206" i="106"/>
  <c r="D4207" i="106"/>
  <c r="D4208" i="106"/>
  <c r="D4209" i="106"/>
  <c r="D4212" i="106"/>
  <c r="D4213" i="106"/>
  <c r="D4214" i="106"/>
  <c r="D4218" i="106"/>
  <c r="D4219" i="106"/>
  <c r="D4220" i="106"/>
  <c r="D4221" i="106"/>
  <c r="D4222" i="106"/>
  <c r="D4223" i="106"/>
  <c r="D4224" i="106"/>
  <c r="D4225" i="106"/>
  <c r="D4226" i="106"/>
  <c r="D4229" i="106"/>
  <c r="D4231" i="106"/>
  <c r="D4232" i="106"/>
  <c r="D4233" i="106"/>
  <c r="D4234"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D4319" i="106"/>
  <c r="D4320" i="106"/>
  <c r="D4323" i="106"/>
  <c r="D4324" i="106"/>
  <c r="D4325" i="106"/>
  <c r="D4326" i="106"/>
  <c r="D4347" i="106"/>
  <c r="D4348" i="106"/>
  <c r="D4349" i="106"/>
  <c r="D4350" i="106"/>
  <c r="B4366" i="106"/>
  <c r="D4366" i="106" s="1"/>
  <c r="D4367" i="106"/>
  <c r="B4370" i="106"/>
  <c r="D4370" i="106" s="1"/>
  <c r="D4371" i="106"/>
  <c r="D4374" i="106"/>
  <c r="D4383" i="106"/>
  <c r="D4384" i="106"/>
  <c r="D4385" i="106"/>
  <c r="D4386" i="106"/>
  <c r="D4387" i="106"/>
  <c r="D4388" i="106"/>
  <c r="D4389" i="106"/>
  <c r="D4390" i="106"/>
  <c r="D4403" i="106"/>
  <c r="D4404" i="106"/>
  <c r="D4405" i="106"/>
  <c r="D4406" i="106"/>
  <c r="D4422" i="106"/>
  <c r="D4423" i="106"/>
  <c r="D4424" i="106"/>
  <c r="D4425" i="106"/>
  <c r="D4426" i="106"/>
  <c r="D4427" i="106"/>
  <c r="D4428" i="106"/>
  <c r="D4429" i="106"/>
  <c r="D4430" i="106"/>
  <c r="D4431" i="106"/>
  <c r="D4432" i="106"/>
  <c r="D4433" i="106"/>
  <c r="D4436" i="106"/>
  <c r="B4437" i="106"/>
  <c r="D4437" i="106" s="1"/>
  <c r="D4438" i="106"/>
  <c r="D4439" i="106"/>
  <c r="D4440" i="106"/>
  <c r="D4445"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D4762" i="106"/>
  <c r="D4763" i="106"/>
  <c r="D4764" i="106"/>
  <c r="D4765" i="106"/>
  <c r="D4766" i="106"/>
  <c r="D4767" i="106"/>
  <c r="D4768" i="106"/>
  <c r="D4769" i="106"/>
  <c r="D4770"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D4798" i="106"/>
  <c r="D4800" i="106"/>
  <c r="D4803" i="106"/>
  <c r="D4807" i="106"/>
  <c r="D4809" i="106"/>
  <c r="D4812" i="106"/>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D4854" i="106"/>
  <c r="D4856" i="106"/>
  <c r="D4857" i="106"/>
  <c r="D4858" i="106"/>
  <c r="D4859" i="106"/>
  <c r="D4860" i="106"/>
  <c r="D4861" i="106"/>
  <c r="D4862" i="106"/>
  <c r="D4863" i="106"/>
  <c r="D4866" i="106"/>
  <c r="D4867" i="106"/>
  <c r="D4869" i="106"/>
  <c r="D4870" i="106"/>
  <c r="D4871" i="106"/>
  <c r="D4872" i="106"/>
  <c r="D4873" i="106"/>
  <c r="D4880" i="106"/>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D5015" i="106"/>
  <c r="D5016" i="106"/>
  <c r="D5017" i="106"/>
  <c r="D5018" i="106"/>
  <c r="D5019" i="106"/>
  <c r="D5020" i="106"/>
  <c r="D5021" i="106"/>
  <c r="D5025"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D5062" i="106"/>
  <c r="D5128" i="106"/>
  <c r="D5129" i="106"/>
  <c r="D5130" i="106"/>
  <c r="D5131" i="106"/>
  <c r="D5136" i="106"/>
  <c r="D5138" i="106"/>
  <c r="D5140" i="106"/>
  <c r="D5141" i="106"/>
  <c r="D5143" i="106"/>
  <c r="D5144" i="106"/>
  <c r="D5145" i="106"/>
  <c r="D5146" i="106"/>
  <c r="D5149" i="106"/>
  <c r="D5150" i="106"/>
  <c r="D5151" i="106"/>
  <c r="D5154" i="106"/>
  <c r="D5155" i="106"/>
  <c r="D5156" i="106"/>
  <c r="D5157" i="106"/>
  <c r="D5158" i="106"/>
  <c r="D5159" i="106"/>
  <c r="D5160" i="106"/>
  <c r="D5162" i="106"/>
  <c r="D5166" i="106"/>
  <c r="D5169" i="106"/>
  <c r="D5170" i="106"/>
  <c r="D5172" i="106"/>
  <c r="D5173" i="106"/>
  <c r="D5174" i="106"/>
  <c r="D5176" i="106"/>
  <c r="D5179" i="106"/>
  <c r="D5180" i="106"/>
  <c r="D5182" i="106"/>
  <c r="D5183" i="106"/>
  <c r="D5184" i="106"/>
  <c r="D5185" i="106"/>
  <c r="D5186" i="106"/>
  <c r="D5188" i="106"/>
  <c r="D5189" i="106"/>
  <c r="D5190" i="106"/>
  <c r="D5191" i="106"/>
  <c r="D5192" i="106"/>
  <c r="D5193" i="106"/>
  <c r="D5195" i="106"/>
  <c r="D5197" i="106"/>
  <c r="D5198"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D5226" i="106"/>
  <c r="D5227" i="106"/>
  <c r="D5228" i="106"/>
  <c r="D5229" i="106"/>
  <c r="D5234" i="106"/>
  <c r="D5235" i="106"/>
  <c r="D5236" i="106"/>
  <c r="D5237" i="106"/>
  <c r="D5238" i="106"/>
  <c r="D5244" i="106"/>
  <c r="D5245" i="106"/>
  <c r="D5249" i="106"/>
  <c r="D5250" i="106"/>
  <c r="D5251" i="106"/>
  <c r="D5252" i="106"/>
  <c r="D5253" i="106"/>
  <c r="D5257" i="106"/>
  <c r="D5258" i="106"/>
  <c r="D5259" i="106"/>
  <c r="D5261" i="106"/>
  <c r="D5262" i="106"/>
  <c r="D5263" i="106"/>
  <c r="D5264" i="106"/>
  <c r="D5265" i="106"/>
  <c r="D5266" i="106"/>
  <c r="D5267" i="106"/>
  <c r="D5268" i="106"/>
  <c r="D5269" i="106"/>
  <c r="D5270" i="106"/>
  <c r="D5271" i="106"/>
  <c r="D5272" i="106"/>
  <c r="D5273" i="106"/>
  <c r="D5276" i="106"/>
  <c r="D5277" i="106"/>
  <c r="D5281" i="106"/>
  <c r="D5282" i="106"/>
  <c r="D5283" i="106"/>
  <c r="D5284" i="106"/>
  <c r="D5285" i="106"/>
  <c r="D5287" i="106"/>
  <c r="D5288" i="106"/>
  <c r="D5289" i="106"/>
  <c r="D5290" i="106"/>
  <c r="D5291" i="106"/>
  <c r="D5292" i="106"/>
  <c r="D5293" i="106"/>
  <c r="D5294" i="106"/>
  <c r="D5295" i="106"/>
  <c r="D5296" i="106"/>
  <c r="D5297" i="106"/>
  <c r="D5298" i="106"/>
  <c r="D5299" i="106"/>
  <c r="D5300" i="106"/>
  <c r="D5302" i="106"/>
  <c r="D5303" i="106"/>
  <c r="D5305" i="106"/>
  <c r="D5306" i="106"/>
  <c r="D5307" i="106"/>
  <c r="D5308" i="106"/>
  <c r="D5309" i="106"/>
  <c r="D5311" i="106"/>
  <c r="D5314" i="106"/>
  <c r="D5316" i="106"/>
  <c r="D5318" i="106"/>
  <c r="D5319" i="106"/>
  <c r="D5321" i="106"/>
  <c r="D5322" i="106"/>
  <c r="D5323" i="106"/>
  <c r="D5324" i="106"/>
  <c r="D5325" i="106"/>
  <c r="D5329" i="106"/>
  <c r="D5363" i="106"/>
  <c r="D5364" i="106"/>
  <c r="D5365" i="106"/>
  <c r="D5366" i="106"/>
  <c r="D5371" i="106"/>
  <c r="D5372" i="106"/>
  <c r="D5373" i="106"/>
  <c r="D5376" i="106"/>
  <c r="D5377" i="106"/>
  <c r="D5378" i="106"/>
  <c r="D5379" i="106"/>
  <c r="D5380" i="106"/>
  <c r="D5381" i="106"/>
  <c r="D5382" i="106"/>
  <c r="D5385" i="106"/>
  <c r="D5386" i="106"/>
  <c r="D5388" i="106"/>
  <c r="D5389" i="106"/>
  <c r="D5390" i="106"/>
  <c r="D5392" i="106"/>
  <c r="D5396" i="106"/>
  <c r="D5397" i="106"/>
  <c r="D5398" i="106"/>
  <c r="D5399" i="106"/>
  <c r="D5400" i="106"/>
  <c r="D5402" i="106"/>
  <c r="D5403" i="106"/>
  <c r="D5404" i="106"/>
  <c r="D5405" i="106"/>
  <c r="D5406" i="106"/>
  <c r="D5407" i="106"/>
  <c r="D5408" i="106"/>
  <c r="D5409" i="106"/>
  <c r="D5410" i="106"/>
  <c r="D5411" i="106"/>
  <c r="D5413" i="106"/>
  <c r="D5414" i="106"/>
  <c r="D5415" i="106"/>
  <c r="D5416" i="106"/>
  <c r="D5417" i="106"/>
  <c r="D5418" i="106"/>
  <c r="D5419" i="106"/>
  <c r="D5420" i="106"/>
  <c r="D5427" i="106"/>
  <c r="D5428" i="106"/>
  <c r="D5429" i="106"/>
  <c r="D5430" i="106"/>
  <c r="D5433" i="106"/>
  <c r="D5434" i="106"/>
  <c r="D5435" i="106"/>
  <c r="D5436" i="106"/>
  <c r="D5437" i="106"/>
  <c r="D5441" i="106"/>
  <c r="D5442" i="106"/>
  <c r="D5443" i="106"/>
  <c r="D5445" i="106"/>
  <c r="D5446" i="106"/>
  <c r="D5447" i="106"/>
  <c r="D5448" i="106"/>
  <c r="D5449" i="106"/>
  <c r="D5450" i="106"/>
  <c r="D5451" i="106"/>
  <c r="D5452" i="106"/>
  <c r="D5453" i="106"/>
  <c r="D5454" i="106"/>
  <c r="D5455" i="106"/>
  <c r="D5456" i="106"/>
  <c r="D5457" i="106"/>
  <c r="D5460" i="106"/>
  <c r="D5461" i="106"/>
  <c r="D5465" i="106"/>
  <c r="D5466" i="106"/>
  <c r="D5467" i="106"/>
  <c r="D5468" i="106"/>
  <c r="D5469" i="106"/>
  <c r="D5471" i="106"/>
  <c r="D5472" i="106"/>
  <c r="D5473" i="106"/>
  <c r="D5474" i="106"/>
  <c r="D5475" i="106"/>
  <c r="D5476" i="106"/>
  <c r="D5477" i="106"/>
  <c r="D5478" i="106"/>
  <c r="D5479" i="106"/>
  <c r="D5480" i="106"/>
  <c r="D5481" i="106"/>
  <c r="D5482" i="106"/>
  <c r="D5483" i="106"/>
  <c r="D5484" i="106"/>
  <c r="D5486" i="106"/>
  <c r="D5487" i="106"/>
  <c r="D5489" i="106"/>
  <c r="D5490" i="106"/>
  <c r="D5491" i="106"/>
  <c r="D5492" i="106"/>
  <c r="D5493" i="106"/>
  <c r="D5495" i="106"/>
  <c r="D5497" i="106"/>
  <c r="D5499" i="106"/>
  <c r="D5500" i="106"/>
  <c r="D5502" i="106"/>
  <c r="D5503" i="106"/>
  <c r="D5504" i="106"/>
  <c r="D5505" i="106"/>
  <c r="D5506" i="106"/>
  <c r="D5510" i="106"/>
  <c r="D5530" i="106"/>
  <c r="D5531" i="106"/>
  <c r="D5532" i="106"/>
  <c r="D5533" i="106"/>
  <c r="D5535" i="106"/>
  <c r="D5536" i="106"/>
  <c r="D5538" i="106"/>
  <c r="D5539" i="106"/>
  <c r="D5540" i="106"/>
  <c r="D5541" i="106"/>
  <c r="D5542" i="106"/>
  <c r="D5543" i="106"/>
  <c r="D5545" i="106"/>
  <c r="D5546" i="106"/>
  <c r="D5547" i="106"/>
  <c r="D5548" i="106"/>
  <c r="D5549" i="106"/>
  <c r="D5550" i="106"/>
  <c r="D5551" i="106"/>
  <c r="D5554" i="106"/>
  <c r="D5595" i="106"/>
  <c r="D5596" i="106"/>
  <c r="D5597" i="106"/>
  <c r="D5598" i="106"/>
  <c r="D5603" i="106"/>
  <c r="D5605" i="106"/>
  <c r="D5607" i="106"/>
  <c r="D5608" i="106"/>
  <c r="D5610" i="106"/>
  <c r="D5611" i="106"/>
  <c r="D5612" i="106"/>
  <c r="D5613" i="106"/>
  <c r="D5616" i="106"/>
  <c r="D5620" i="106"/>
  <c r="D5621" i="106"/>
  <c r="D5622" i="106"/>
  <c r="D5623" i="106"/>
  <c r="D5624" i="106"/>
  <c r="D5626" i="106"/>
  <c r="D5628" i="106"/>
  <c r="D5629"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D5656" i="106"/>
  <c r="D5657" i="106"/>
  <c r="D5660" i="106"/>
  <c r="D5661" i="106"/>
  <c r="D5662" i="106"/>
  <c r="D5663" i="106"/>
  <c r="D5666" i="106"/>
  <c r="D5667" i="106"/>
  <c r="D5668" i="106"/>
  <c r="D5669" i="106"/>
  <c r="D5670" i="106"/>
  <c r="D5674" i="106"/>
  <c r="D5675" i="106"/>
  <c r="D5676" i="106"/>
  <c r="D5678" i="106"/>
  <c r="D5679" i="106"/>
  <c r="D5680" i="106"/>
  <c r="D5681" i="106"/>
  <c r="D5682" i="106"/>
  <c r="D5683" i="106"/>
  <c r="D5684" i="106"/>
  <c r="D5685" i="106"/>
  <c r="D5686" i="106"/>
  <c r="D5687" i="106"/>
  <c r="D5688" i="106"/>
  <c r="D5689" i="106"/>
  <c r="D5690" i="106"/>
  <c r="D5693" i="106"/>
  <c r="D5694" i="106"/>
  <c r="D5698" i="106"/>
  <c r="D5699" i="106"/>
  <c r="D5700" i="106"/>
  <c r="D5701" i="106"/>
  <c r="D5702" i="106"/>
  <c r="D5704" i="106"/>
  <c r="D5707" i="106"/>
  <c r="D5709" i="106"/>
  <c r="D5711" i="106"/>
  <c r="D5712" i="106"/>
  <c r="D5714" i="106"/>
  <c r="D5715" i="106"/>
  <c r="D5716" i="106"/>
  <c r="D5717" i="106"/>
  <c r="D5718" i="106"/>
  <c r="D5744" i="106"/>
  <c r="D5745" i="106"/>
  <c r="D5746" i="106"/>
  <c r="D5747" i="106"/>
  <c r="D5750" i="106"/>
  <c r="D5751" i="106"/>
  <c r="D5753" i="106"/>
  <c r="D5758" i="106"/>
  <c r="D5759" i="106"/>
  <c r="D5760" i="106"/>
  <c r="D5761" i="106"/>
  <c r="D5762" i="106"/>
  <c r="D5764" i="106"/>
  <c r="D5766" i="106"/>
  <c r="D5769" i="106"/>
  <c r="D5771" i="106"/>
  <c r="D5772" i="106"/>
  <c r="D5773" i="106"/>
  <c r="D5774" i="106"/>
  <c r="D5775" i="106"/>
  <c r="D5776" i="106"/>
  <c r="D5777" i="106"/>
  <c r="D5781" i="106"/>
  <c r="D5782" i="106"/>
  <c r="D5783" i="106"/>
  <c r="D5786" i="106"/>
  <c r="D5787" i="106"/>
  <c r="D5788" i="106"/>
  <c r="D5789" i="106"/>
  <c r="D5792" i="106"/>
  <c r="D5793" i="106"/>
  <c r="D5794" i="106"/>
  <c r="D5795" i="106"/>
  <c r="D5796" i="106"/>
  <c r="D5800" i="106"/>
  <c r="D5801" i="106"/>
  <c r="D5802" i="106"/>
  <c r="D5804" i="106"/>
  <c r="D5805" i="106"/>
  <c r="D5806" i="106"/>
  <c r="D5807" i="106"/>
  <c r="D5808" i="106"/>
  <c r="D5809" i="106"/>
  <c r="D5810" i="106"/>
  <c r="D5811" i="106"/>
  <c r="D5812" i="106"/>
  <c r="D5813" i="106"/>
  <c r="D5814" i="106"/>
  <c r="D5815" i="106"/>
  <c r="D5816" i="106"/>
  <c r="D5819" i="106"/>
  <c r="D5820" i="106"/>
  <c r="D5824" i="106"/>
  <c r="D5825" i="106"/>
  <c r="D5826" i="106"/>
  <c r="D5827" i="106"/>
  <c r="D5828" i="106"/>
  <c r="D5830" i="106"/>
  <c r="D5831" i="106"/>
  <c r="D5832" i="106"/>
  <c r="D5833" i="106"/>
  <c r="D5834" i="106"/>
  <c r="D5835" i="106"/>
  <c r="D5836" i="106"/>
  <c r="D5837" i="106"/>
  <c r="D5838" i="106"/>
  <c r="D5839" i="106"/>
  <c r="D5840" i="106"/>
  <c r="D5841" i="106"/>
  <c r="D5842" i="106"/>
  <c r="D5843" i="106"/>
  <c r="D5845" i="106"/>
  <c r="D5846" i="106"/>
  <c r="D5848" i="106"/>
  <c r="D5849" i="106"/>
  <c r="D5850" i="106"/>
  <c r="D5851" i="106"/>
  <c r="D5852" i="106"/>
  <c r="D5854" i="106"/>
  <c r="D5857" i="106"/>
  <c r="D5859" i="106"/>
  <c r="D5861" i="106"/>
  <c r="D5862" i="106"/>
  <c r="D5864" i="106"/>
  <c r="D5865" i="106"/>
  <c r="D5866" i="106"/>
  <c r="D5867" i="106"/>
  <c r="D5868" i="106"/>
  <c r="D5889" i="106"/>
  <c r="D5890" i="106"/>
  <c r="D5891" i="106"/>
  <c r="D5892" i="106"/>
  <c r="D5894" i="106"/>
  <c r="D5895" i="106"/>
  <c r="D5896" i="106"/>
  <c r="D5897" i="106"/>
  <c r="D5898" i="106"/>
  <c r="D5900" i="106"/>
  <c r="D5901" i="106"/>
  <c r="D5902" i="106"/>
  <c r="D5903" i="106"/>
  <c r="D5904" i="106"/>
  <c r="D5905" i="106"/>
  <c r="D5909" i="106"/>
  <c r="D5910" i="106"/>
  <c r="D5911" i="106"/>
  <c r="D5912" i="106"/>
  <c r="D5913" i="106"/>
  <c r="D5928"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3" i="106"/>
  <c r="D6083" i="106" s="1"/>
  <c r="B6085" i="106"/>
  <c r="D6085" i="106" s="1"/>
  <c r="B6086" i="106"/>
  <c r="D6086" i="106" s="1"/>
  <c r="B6088" i="106"/>
  <c r="D6088" i="106" s="1"/>
  <c r="B6089" i="106"/>
  <c r="D6089" i="106" s="1"/>
  <c r="B6092" i="106"/>
  <c r="D6092" i="106" s="1"/>
  <c r="B6096" i="106"/>
  <c r="D6096" i="106" s="1"/>
  <c r="B6097" i="106"/>
  <c r="D6097" i="106" s="1"/>
  <c r="B6098" i="106"/>
  <c r="D6098" i="106" s="1"/>
  <c r="A6103" i="106"/>
  <c r="B6108" i="106"/>
  <c r="D6108" i="106" s="1"/>
  <c r="B6109" i="106"/>
  <c r="D6109" i="106" s="1"/>
  <c r="B6110" i="106"/>
  <c r="D6110" i="106" s="1"/>
  <c r="B6111" i="106"/>
  <c r="D6111" i="106" s="1"/>
  <c r="B6112" i="106"/>
  <c r="D6112" i="106" s="1"/>
  <c r="B6115" i="106"/>
  <c r="D6115" i="106" s="1"/>
  <c r="B6120" i="106"/>
  <c r="D6120" i="106" s="1"/>
  <c r="B6122" i="106"/>
  <c r="D6122" i="106" s="1"/>
  <c r="B6171" i="106"/>
  <c r="D6171" i="106" s="1"/>
  <c r="B6175" i="106"/>
  <c r="D6175" i="106" s="1"/>
  <c r="B6178" i="106"/>
  <c r="D6178" i="106" s="1"/>
  <c r="B6179" i="106"/>
  <c r="D6179" i="106" s="1"/>
  <c r="B6183" i="106"/>
  <c r="D6183" i="106" s="1"/>
  <c r="B6184" i="106"/>
  <c r="D6184" i="106" s="1"/>
  <c r="B6185" i="106"/>
  <c r="D6185" i="106" s="1"/>
  <c r="B6186" i="106"/>
  <c r="D6186" i="106" s="1"/>
  <c r="B6187" i="106"/>
  <c r="D6187" i="106" s="1"/>
  <c r="B6188" i="106"/>
  <c r="D6188" i="106" s="1"/>
  <c r="B6189" i="106"/>
  <c r="D6189" i="106" s="1"/>
  <c r="B6190" i="106"/>
  <c r="D6190"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24" i="106"/>
  <c r="D6224" i="106" s="1"/>
  <c r="J18" i="4"/>
  <c r="B6228" i="106" s="1"/>
  <c r="D6228" i="106" s="1"/>
  <c r="B6297" i="106"/>
  <c r="D6297" i="106" s="1"/>
  <c r="B6372" i="106"/>
  <c r="D6372" i="106" s="1"/>
  <c r="B6377" i="106"/>
  <c r="D6377"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6" i="106"/>
  <c r="D6616" i="106" s="1"/>
  <c r="B6620" i="106"/>
  <c r="D6620" i="106" s="1"/>
  <c r="B6621" i="106"/>
  <c r="D6621" i="106" s="1"/>
  <c r="B6628" i="106"/>
  <c r="D6628" i="106" s="1"/>
  <c r="B6632" i="106"/>
  <c r="D6632" i="106" s="1"/>
  <c r="B6633" i="106"/>
  <c r="D6633" i="106" s="1"/>
  <c r="B6636" i="106"/>
  <c r="D6636" i="106" s="1"/>
  <c r="B6640" i="106"/>
  <c r="D6640" i="106" s="1"/>
  <c r="B6641" i="106"/>
  <c r="D6641" i="106" s="1"/>
  <c r="B6644" i="106"/>
  <c r="D6644" i="106" s="1"/>
  <c r="B6648" i="106"/>
  <c r="D6648" i="106" s="1"/>
  <c r="B6649" i="106"/>
  <c r="D6649" i="106" s="1"/>
  <c r="B6652" i="106"/>
  <c r="D6652" i="106" s="1"/>
  <c r="B6656" i="106"/>
  <c r="D6656" i="106" s="1"/>
  <c r="B6657" i="106"/>
  <c r="D6657" i="106" s="1"/>
  <c r="B6660" i="106"/>
  <c r="D6660" i="106" s="1"/>
  <c r="B6664" i="106"/>
  <c r="D6664" i="106" s="1"/>
  <c r="B6665" i="106"/>
  <c r="D6665" i="106" s="1"/>
  <c r="B6668" i="106"/>
  <c r="D6668" i="106" s="1"/>
  <c r="B6672" i="106"/>
  <c r="D6672" i="106" s="1"/>
  <c r="B6673" i="106"/>
  <c r="D6673" i="106" s="1"/>
  <c r="B6676" i="106"/>
  <c r="D6676" i="106" s="1"/>
  <c r="B6680" i="106"/>
  <c r="D6680" i="106" s="1"/>
  <c r="B6681" i="106"/>
  <c r="D6681" i="106" s="1"/>
  <c r="B6684" i="106"/>
  <c r="D6684" i="106" s="1"/>
  <c r="B6688" i="106"/>
  <c r="D6688" i="106" s="1"/>
  <c r="B6689" i="106"/>
  <c r="D6689" i="106" s="1"/>
  <c r="B6698" i="106"/>
  <c r="D6698" i="106" s="1"/>
  <c r="B6702" i="106"/>
  <c r="D6702" i="106" s="1"/>
  <c r="B6703" i="106"/>
  <c r="D6703" i="106" s="1"/>
  <c r="B6706" i="106"/>
  <c r="D6706" i="106" s="1"/>
  <c r="B6710" i="106"/>
  <c r="D6710" i="106" s="1"/>
  <c r="B6711" i="106"/>
  <c r="D6711" i="106" s="1"/>
  <c r="B6718" i="106"/>
  <c r="D6718" i="106" s="1"/>
  <c r="B6719" i="106"/>
  <c r="D6719" i="106" s="1"/>
  <c r="B6726" i="106"/>
  <c r="D6726" i="106" s="1"/>
  <c r="B6728" i="106"/>
  <c r="D6728" i="106" s="1"/>
  <c r="B6735" i="106"/>
  <c r="D6735" i="106" s="1"/>
  <c r="B6736" i="106"/>
  <c r="D6736" i="106" s="1"/>
  <c r="B6743" i="106"/>
  <c r="D6743" i="106" s="1"/>
  <c r="B6744" i="106"/>
  <c r="D6744" i="106" s="1"/>
  <c r="B6747" i="106"/>
  <c r="D6747" i="106" s="1"/>
  <c r="B6751" i="106"/>
  <c r="D6751" i="106" s="1"/>
  <c r="B6752" i="106"/>
  <c r="D6752" i="106" s="1"/>
  <c r="B6755" i="106"/>
  <c r="D6755" i="106" s="1"/>
  <c r="B6759" i="106"/>
  <c r="D6759" i="106" s="1"/>
  <c r="B6760" i="106"/>
  <c r="D6760" i="106" s="1"/>
  <c r="B6763" i="106"/>
  <c r="D6763" i="106" s="1"/>
  <c r="B6767" i="106"/>
  <c r="D6767" i="106" s="1"/>
  <c r="B6768" i="106"/>
  <c r="D6768" i="106" s="1"/>
  <c r="B6771" i="106"/>
  <c r="D6771" i="106" s="1"/>
  <c r="B6775" i="106"/>
  <c r="D6775" i="106" s="1"/>
  <c r="B6776" i="106"/>
  <c r="D6776" i="106" s="1"/>
  <c r="B6779" i="106"/>
  <c r="D6779" i="106" s="1"/>
  <c r="B6783" i="106"/>
  <c r="D6783" i="106" s="1"/>
  <c r="B6784" i="106"/>
  <c r="D6784" i="106" s="1"/>
  <c r="B6787" i="106"/>
  <c r="D6787" i="106" s="1"/>
  <c r="B6791" i="106"/>
  <c r="D6791" i="106" s="1"/>
  <c r="B6792" i="106"/>
  <c r="D6792" i="106" s="1"/>
  <c r="B6795" i="106"/>
  <c r="D6795" i="106" s="1"/>
  <c r="B6799" i="106"/>
  <c r="D6799" i="106" s="1"/>
  <c r="B6800" i="106"/>
  <c r="D6800" i="106" s="1"/>
  <c r="B6803" i="106"/>
  <c r="D6803" i="106" s="1"/>
  <c r="B6807" i="106"/>
  <c r="D6807" i="106" s="1"/>
  <c r="B6808" i="106"/>
  <c r="D6808" i="106" s="1"/>
  <c r="B6811" i="106"/>
  <c r="D6811" i="106" s="1"/>
  <c r="B6815" i="106"/>
  <c r="D6815" i="106" s="1"/>
  <c r="B6816" i="106"/>
  <c r="D6816" i="106" s="1"/>
  <c r="B6819" i="106"/>
  <c r="D6819" i="106" s="1"/>
  <c r="B6823" i="106"/>
  <c r="D6823" i="106" s="1"/>
  <c r="B6824" i="106"/>
  <c r="D6824" i="106" s="1"/>
  <c r="B6827" i="106"/>
  <c r="D6827" i="106" s="1"/>
  <c r="B6831" i="106"/>
  <c r="D6831" i="106" s="1"/>
  <c r="B6832" i="106"/>
  <c r="D6832" i="106" s="1"/>
  <c r="B7053" i="106"/>
  <c r="D7053" i="106" s="1"/>
  <c r="D7056" i="106"/>
  <c r="A7245" i="106"/>
  <c r="A7246" i="106" s="1"/>
  <c r="A7247" i="106" s="1"/>
  <c r="A7248" i="106" s="1"/>
  <c r="A7249" i="106" s="1"/>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41" i="106"/>
  <c r="B7642" i="106"/>
  <c r="B7643" i="106"/>
  <c r="B7644" i="106"/>
  <c r="B7645" i="106"/>
  <c r="B7646" i="106"/>
  <c r="B7647" i="106"/>
  <c r="B7649" i="106"/>
  <c r="B7650" i="106"/>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35" i="106"/>
  <c r="D7735" i="106" s="1"/>
  <c r="B7736" i="106"/>
  <c r="D7736" i="106" s="1"/>
  <c r="B7737" i="106"/>
  <c r="D7737" i="106" s="1"/>
  <c r="B7738" i="106"/>
  <c r="D7738" i="106" s="1"/>
  <c r="D7744" i="106"/>
  <c r="B7756" i="106"/>
  <c r="D7756" i="106" s="1"/>
  <c r="B7757" i="106"/>
  <c r="D7757" i="106" s="1"/>
  <c r="D7770" i="106"/>
  <c r="D7771" i="106"/>
  <c r="D7772" i="106"/>
  <c r="D7773" i="106"/>
  <c r="D7795" i="106"/>
  <c r="D7797" i="106"/>
  <c r="D7798" i="106"/>
  <c r="D7799" i="106"/>
  <c r="D7800" i="106"/>
  <c r="B6" i="36"/>
  <c r="B7" i="36" s="1"/>
  <c r="B9" i="36" s="1"/>
  <c r="B10" i="36" s="1"/>
  <c r="B11" i="36" s="1"/>
  <c r="B12" i="36" s="1"/>
  <c r="B13" i="36" s="1"/>
  <c r="D23" i="36"/>
  <c r="B9" i="106" s="1"/>
  <c r="D25" i="36"/>
  <c r="D26" i="36"/>
  <c r="D27" i="36"/>
  <c r="D28" i="36"/>
  <c r="D32" i="36"/>
  <c r="D79" i="36"/>
  <c r="E27" i="108"/>
  <c r="G27" i="108"/>
  <c r="G28" i="108"/>
  <c r="E31" i="108"/>
  <c r="G31" i="108"/>
  <c r="E36" i="108"/>
  <c r="G36" i="108"/>
  <c r="E37" i="108"/>
  <c r="G37" i="108"/>
  <c r="C18" i="34"/>
  <c r="D18" i="34"/>
  <c r="C19" i="34"/>
  <c r="D19" i="34"/>
  <c r="C20" i="34"/>
  <c r="D20" i="34"/>
  <c r="C21" i="34"/>
  <c r="D21" i="34"/>
  <c r="C22" i="34"/>
  <c r="D22" i="34"/>
  <c r="C23" i="34"/>
  <c r="D23" i="34"/>
  <c r="C24" i="34"/>
  <c r="D24" i="34"/>
  <c r="C25" i="34"/>
  <c r="D25" i="34"/>
  <c r="C26" i="34"/>
  <c r="D26" i="34"/>
  <c r="C27" i="34"/>
  <c r="D27" i="34"/>
  <c r="C28" i="34"/>
  <c r="D28" i="34"/>
  <c r="C29" i="34"/>
  <c r="D29" i="34"/>
  <c r="C30" i="34"/>
  <c r="D30" i="34"/>
  <c r="C31" i="34"/>
  <c r="D31" i="34"/>
  <c r="C32" i="34"/>
  <c r="D32" i="34"/>
  <c r="C33" i="34"/>
  <c r="D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C85" i="34"/>
  <c r="D85" i="34"/>
  <c r="C86" i="34"/>
  <c r="D86" i="34"/>
  <c r="D87" i="34"/>
  <c r="C88" i="34"/>
  <c r="D88" i="34"/>
  <c r="C89" i="34"/>
  <c r="D89" i="34"/>
  <c r="C90" i="34"/>
  <c r="D90" i="34"/>
  <c r="C91" i="34"/>
  <c r="D91" i="34"/>
  <c r="C92" i="34"/>
  <c r="D92" i="34"/>
  <c r="C93" i="34"/>
  <c r="D93" i="34"/>
  <c r="D94" i="34"/>
  <c r="D95" i="34"/>
  <c r="C96" i="34"/>
  <c r="D96" i="34"/>
  <c r="C97" i="34"/>
  <c r="D97" i="34"/>
  <c r="C98" i="34"/>
  <c r="D98" i="34"/>
  <c r="C99" i="34"/>
  <c r="D99" i="34"/>
  <c r="C100" i="34"/>
  <c r="D100" i="34"/>
  <c r="C101" i="34"/>
  <c r="D101" i="34"/>
  <c r="C102" i="34"/>
  <c r="D102" i="34"/>
  <c r="C103" i="34"/>
  <c r="D103" i="34"/>
  <c r="C104" i="34"/>
  <c r="D104" i="34"/>
  <c r="D105" i="34"/>
  <c r="D106" i="34"/>
  <c r="D107" i="34"/>
  <c r="C108" i="34"/>
  <c r="D108" i="34"/>
  <c r="C109" i="34"/>
  <c r="D109" i="34"/>
  <c r="C110" i="34"/>
  <c r="D110" i="34"/>
  <c r="D111" i="34"/>
  <c r="C112" i="34"/>
  <c r="D112" i="34"/>
  <c r="C113" i="34"/>
  <c r="D113" i="34"/>
  <c r="C114" i="34"/>
  <c r="D114" i="34"/>
  <c r="C115" i="34"/>
  <c r="D115" i="34"/>
  <c r="C116" i="34"/>
  <c r="D116" i="34"/>
  <c r="C117" i="34"/>
  <c r="D117" i="34"/>
  <c r="C118" i="34"/>
  <c r="D118" i="34"/>
  <c r="C119" i="34"/>
  <c r="D119" i="34"/>
  <c r="F119" i="34"/>
  <c r="C120" i="34"/>
  <c r="D120" i="34"/>
  <c r="F120" i="34"/>
  <c r="C121" i="34"/>
  <c r="D121" i="34"/>
  <c r="C122" i="34"/>
  <c r="D122" i="34"/>
  <c r="C123" i="34"/>
  <c r="D123" i="34"/>
  <c r="C124" i="34"/>
  <c r="D124" i="34"/>
  <c r="C125" i="34"/>
  <c r="C126" i="34"/>
  <c r="D126" i="34"/>
  <c r="D127" i="34"/>
  <c r="D128" i="34"/>
  <c r="D129" i="34"/>
  <c r="D130" i="34"/>
  <c r="D131" i="34"/>
  <c r="C132" i="34"/>
  <c r="D132" i="34"/>
  <c r="C133" i="34"/>
  <c r="D133" i="34"/>
  <c r="C134" i="34"/>
  <c r="D134" i="34"/>
  <c r="C135"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D158" i="34"/>
  <c r="D159" i="34"/>
  <c r="D160" i="34"/>
  <c r="C164" i="34"/>
  <c r="D164" i="34"/>
  <c r="C165" i="34"/>
  <c r="D165" i="34"/>
  <c r="C166" i="34"/>
  <c r="D166" i="34"/>
  <c r="C167" i="34"/>
  <c r="D167" i="34"/>
  <c r="C168" i="34"/>
  <c r="D168" i="34"/>
  <c r="C169" i="34"/>
  <c r="D169" i="34"/>
  <c r="C170" i="34"/>
  <c r="D170" i="34"/>
  <c r="C171" i="34"/>
  <c r="D171" i="34"/>
  <c r="C172" i="34"/>
  <c r="D172" i="34"/>
  <c r="C173" i="34"/>
  <c r="D173" i="34"/>
  <c r="C174" i="34"/>
  <c r="D174" i="34"/>
  <c r="F182" i="34"/>
  <c r="F3" i="11"/>
  <c r="B7591" i="106" s="1"/>
  <c r="F5" i="11"/>
  <c r="B2026" i="106" s="1"/>
  <c r="D2026" i="106" s="1"/>
  <c r="C16" i="11"/>
  <c r="B2013" i="106" s="1"/>
  <c r="D2013" i="106" s="1"/>
  <c r="C49" i="8"/>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I178" i="5"/>
  <c r="B4373" i="106" s="1"/>
  <c r="D4373" i="106" s="1"/>
  <c r="J259" i="5"/>
  <c r="J273" i="5" s="1"/>
  <c r="B7041" i="106" s="1"/>
  <c r="D7041" i="106" s="1"/>
  <c r="K259" i="5"/>
  <c r="D7" i="118"/>
  <c r="D8" i="118"/>
  <c r="D9" i="118"/>
  <c r="D22" i="37"/>
  <c r="J35" i="8" l="1"/>
  <c r="J49" i="8" s="1"/>
  <c r="J22" i="37"/>
  <c r="K24" i="12"/>
  <c r="L5" i="11"/>
  <c r="B2056" i="106" s="1"/>
  <c r="D2056" i="106" s="1"/>
  <c r="I24" i="12"/>
  <c r="I26" i="12" s="1"/>
  <c r="B7741" i="106" s="1"/>
  <c r="D7741" i="106" s="1"/>
  <c r="H28" i="118"/>
  <c r="D24" i="37"/>
  <c r="B4270" i="106" s="1"/>
  <c r="D4270" i="106" s="1"/>
  <c r="L15" i="11"/>
  <c r="B3459" i="106" s="1"/>
  <c r="D3459" i="106" s="1"/>
  <c r="D11" i="37"/>
  <c r="F21" i="8"/>
  <c r="B1879" i="106" s="1"/>
  <c r="D1879" i="106" s="1"/>
  <c r="H33" i="118"/>
  <c r="D31" i="36"/>
  <c r="H29" i="118"/>
  <c r="D54" i="36"/>
  <c r="I274" i="5"/>
  <c r="B4435" i="106" s="1"/>
  <c r="D4435" i="106" s="1"/>
  <c r="B2734" i="106"/>
  <c r="D2734" i="106" s="1"/>
  <c r="L13" i="11"/>
  <c r="B2060" i="106" s="1"/>
  <c r="D2060" i="106" s="1"/>
  <c r="B1868" i="106"/>
  <c r="D1868" i="106" s="1"/>
  <c r="J23" i="12"/>
  <c r="B7730" i="106" s="1"/>
  <c r="D7730" i="106" s="1"/>
  <c r="F19" i="7"/>
  <c r="B1807" i="106" s="1"/>
  <c r="D1807" i="106" s="1"/>
  <c r="B3689" i="106"/>
  <c r="D3689" i="106" s="1"/>
  <c r="J90" i="28"/>
  <c r="B79" i="36"/>
  <c r="B77" i="36"/>
  <c r="B6840" i="106"/>
  <c r="D6840" i="106" s="1"/>
  <c r="B6839" i="106"/>
  <c r="D6839" i="106" s="1"/>
  <c r="F16" i="11"/>
  <c r="B2031" i="106" s="1"/>
  <c r="D2031" i="106" s="1"/>
  <c r="L41" i="3"/>
  <c r="K16" i="11"/>
  <c r="B2055" i="106" s="1"/>
  <c r="D2055" i="106" s="1"/>
  <c r="B7759" i="106"/>
  <c r="D7759" i="106" s="1"/>
  <c r="L3" i="11"/>
  <c r="B7596" i="106" s="1"/>
  <c r="L9" i="11"/>
  <c r="B7614" i="106" s="1"/>
  <c r="L10" i="11"/>
  <c r="B2058" i="106" s="1"/>
  <c r="D2058" i="106" s="1"/>
  <c r="B7600" i="106"/>
  <c r="L6" i="11"/>
  <c r="B7605" i="106" s="1"/>
  <c r="A7250" i="106"/>
  <c r="A7251" i="106" s="1"/>
  <c r="A7252" i="106" s="1"/>
  <c r="A7253" i="106" s="1"/>
  <c r="A7254" i="106" s="1"/>
  <c r="A7255" i="106" s="1"/>
  <c r="A7256" i="106" s="1"/>
  <c r="A7257" i="106" s="1"/>
  <c r="B7618" i="106"/>
  <c r="L14" i="11"/>
  <c r="B7623" i="106" s="1"/>
  <c r="B7503" i="106"/>
  <c r="B7531" i="106"/>
  <c r="I49" i="8"/>
  <c r="B1977" i="106"/>
  <c r="D1977" i="106" s="1"/>
  <c r="H24" i="12"/>
  <c r="B1867" i="106"/>
  <c r="D1867" i="106" s="1"/>
  <c r="F15" i="8"/>
  <c r="L12" i="11"/>
  <c r="B2059" i="106" s="1"/>
  <c r="D2059" i="106" s="1"/>
  <c r="L8" i="11"/>
  <c r="B2057" i="106" s="1"/>
  <c r="D2057" i="106" s="1"/>
  <c r="G24" i="12"/>
  <c r="J19" i="145"/>
  <c r="D82" i="36" s="1"/>
  <c r="B7270" i="106"/>
  <c r="B4172" i="106" l="1"/>
  <c r="D4172" i="106" s="1"/>
  <c r="N22" i="3"/>
  <c r="B283" i="106" s="1"/>
  <c r="D283" i="106" s="1"/>
  <c r="J24" i="12"/>
  <c r="K28" i="118"/>
  <c r="O27" i="118" s="1"/>
  <c r="O29" i="118" s="1"/>
  <c r="B1996" i="106"/>
  <c r="D1996" i="106" s="1"/>
  <c r="B7733" i="106"/>
  <c r="D7733" i="106" s="1"/>
  <c r="K26" i="12"/>
  <c r="B7743" i="106" s="1"/>
  <c r="D7743" i="106" s="1"/>
  <c r="I7" i="4"/>
  <c r="B4444" i="106" s="1"/>
  <c r="D4444" i="106" s="1"/>
  <c r="H22" i="37"/>
  <c r="L16" i="11"/>
  <c r="B2061" i="106" s="1"/>
  <c r="D2061" i="106" s="1"/>
  <c r="B7760" i="106"/>
  <c r="D7760" i="106" s="1"/>
  <c r="D24" i="36"/>
  <c r="B2917" i="106"/>
  <c r="D2917" i="106" s="1"/>
  <c r="D53" i="36"/>
  <c r="B1875" i="106"/>
  <c r="D1875" i="106" s="1"/>
  <c r="F22" i="37"/>
  <c r="B1983" i="106"/>
  <c r="D1983" i="106" s="1"/>
  <c r="H26" i="12"/>
  <c r="B7740" i="106" s="1"/>
  <c r="D7740" i="106" s="1"/>
  <c r="A7258" i="106"/>
  <c r="B7732" i="106"/>
  <c r="D7732" i="106" s="1"/>
  <c r="J26" i="12"/>
  <c r="B7742" i="106" s="1"/>
  <c r="D7742" i="106" s="1"/>
  <c r="B1958" i="106"/>
  <c r="D1958" i="106" s="1"/>
  <c r="G26" i="12"/>
  <c r="B7739" i="106" s="1"/>
  <c r="D7739" i="106" s="1"/>
  <c r="B4171" i="106"/>
  <c r="D4171" i="106" s="1"/>
  <c r="N36" i="3"/>
  <c r="B7298" i="106"/>
  <c r="B7299" i="106"/>
  <c r="F24" i="37" l="1"/>
  <c r="A7259" i="106"/>
  <c r="H37" i="37"/>
  <c r="B285" i="106"/>
  <c r="D285" i="106" s="1"/>
  <c r="N37" i="3"/>
  <c r="N41" i="3" l="1"/>
  <c r="B287" i="106"/>
  <c r="D287" i="106" s="1"/>
  <c r="B4997" i="106"/>
  <c r="D4997" i="106" s="1"/>
  <c r="H32" i="118"/>
  <c r="K32" i="118" s="1"/>
  <c r="O31" i="118" s="1"/>
  <c r="O33" i="118" s="1"/>
  <c r="A7260" i="106"/>
  <c r="A7261" i="106" l="1"/>
  <c r="B288" i="106"/>
  <c r="D288" i="106" s="1"/>
  <c r="A7262" i="106" l="1"/>
  <c r="A7263" i="106" l="1"/>
  <c r="A7264" i="106" l="1"/>
  <c r="A7265" i="106" l="1"/>
  <c r="A7266" i="106" l="1"/>
  <c r="A7267" i="106" l="1"/>
  <c r="A7268" i="106" l="1"/>
  <c r="A7269" i="106" l="1"/>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A7626" i="106" l="1"/>
  <c r="A7627" i="106" s="1"/>
  <c r="A7628" i="106" s="1"/>
  <c r="A7629" i="106" s="1"/>
  <c r="A7630" i="106" s="1"/>
  <c r="A7631" i="106" s="1"/>
  <c r="A7632" i="106" l="1"/>
  <c r="A7633" i="106" s="1"/>
  <c r="A7634" i="106" s="1"/>
  <c r="A7635" i="106" s="1"/>
  <c r="A7636" i="106" l="1"/>
  <c r="D7635" i="106"/>
  <c r="A7637" i="106" l="1"/>
  <c r="A7638" i="106" l="1"/>
  <c r="A7639" i="106" l="1"/>
  <c r="A7640" i="106" l="1"/>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L334" i="29" l="1"/>
  <c r="K133" i="29" l="1"/>
  <c r="B7774" i="106"/>
  <c r="D7774" i="106" s="1"/>
  <c r="B7775" i="106"/>
  <c r="D7775" i="106" s="1"/>
  <c r="K158" i="29"/>
  <c r="B7780" i="106" s="1"/>
  <c r="D7780" i="106" s="1"/>
  <c r="B7779" i="106"/>
  <c r="D7779" i="106" s="1"/>
  <c r="K159" i="29"/>
  <c r="B7782" i="106" s="1"/>
  <c r="D7782" i="106" s="1"/>
  <c r="B7781" i="106"/>
  <c r="D7781" i="106" s="1"/>
  <c r="B7783" i="106"/>
  <c r="D7783" i="106" s="1"/>
  <c r="K282" i="29"/>
  <c r="B7785" i="106"/>
  <c r="D7785" i="106" s="1"/>
  <c r="K332" i="29"/>
  <c r="H334" i="29"/>
  <c r="B7789" i="106" s="1"/>
  <c r="D7789" i="106" s="1"/>
  <c r="B7787" i="106"/>
  <c r="D7787" i="106" s="1"/>
  <c r="K333" i="29"/>
  <c r="B7788" i="106" s="1"/>
  <c r="D7788" i="106" s="1"/>
  <c r="B7237" i="106"/>
  <c r="D7237" i="106" s="1"/>
  <c r="B7793" i="106"/>
  <c r="D7793" i="106" s="1"/>
  <c r="K355" i="29"/>
  <c r="B7791" i="106"/>
  <c r="D7791" i="106" s="1"/>
  <c r="B7236" i="106"/>
  <c r="D7236" i="106" s="1"/>
  <c r="K354" i="29"/>
  <c r="B7776" i="106" l="1"/>
  <c r="D7776" i="106" s="1"/>
  <c r="B7784" i="106"/>
  <c r="D7784" i="106" s="1"/>
  <c r="B7786" i="106"/>
  <c r="D7786" i="106" s="1"/>
  <c r="K334" i="29"/>
  <c r="B7792" i="106"/>
  <c r="D7792" i="106" s="1"/>
  <c r="B3673" i="106"/>
  <c r="D3673" i="106" s="1"/>
  <c r="B7794" i="106"/>
  <c r="D7794" i="106" s="1"/>
  <c r="B3674" i="106"/>
  <c r="D3674" i="106" s="1"/>
  <c r="F74" i="34" l="1"/>
  <c r="B7790" i="106"/>
  <c r="D7790" i="106" s="1"/>
  <c r="J15" i="4"/>
  <c r="B7796" i="106" s="1"/>
  <c r="D7796" i="106" s="1"/>
  <c r="B7768" i="106" l="1"/>
  <c r="D7768" i="106" s="1"/>
  <c r="B7766" i="106"/>
  <c r="D7766" i="106" s="1"/>
  <c r="B7769" i="106" l="1"/>
  <c r="D7769" i="106" s="1"/>
  <c r="B7765" i="106"/>
  <c r="D7765" i="106" s="1"/>
  <c r="B6107" i="106"/>
  <c r="D6107" i="106" s="1"/>
  <c r="B6106" i="106"/>
  <c r="D6106" i="106" s="1"/>
  <c r="B6105" i="106"/>
  <c r="D6105" i="106" s="1"/>
  <c r="B6104" i="106"/>
  <c r="D6104" i="106" s="1"/>
  <c r="B6103" i="106"/>
  <c r="D6103" i="106" s="1"/>
  <c r="B6101" i="106"/>
  <c r="D6101" i="106" s="1"/>
  <c r="B5818" i="106"/>
  <c r="D5818" i="106" s="1"/>
  <c r="B5459" i="106"/>
  <c r="D5459" i="106" s="1"/>
  <c r="B5275" i="106"/>
  <c r="D5275" i="106" s="1"/>
  <c r="B5695" i="106"/>
  <c r="D5695" i="106" s="1"/>
  <c r="B5462" i="106"/>
  <c r="D5462" i="106" s="1"/>
  <c r="B5278" i="106"/>
  <c r="D5278" i="106" s="1"/>
  <c r="B5696" i="106"/>
  <c r="D5696" i="106" s="1"/>
  <c r="B5463" i="106"/>
  <c r="D5463" i="106" s="1"/>
  <c r="B5697" i="106"/>
  <c r="D5697" i="106" s="1"/>
  <c r="B5464" i="106"/>
  <c r="D5464" i="106" s="1"/>
  <c r="B4342" i="106"/>
  <c r="D4342" i="106" s="1"/>
  <c r="B4341" i="106"/>
  <c r="D4341" i="106" s="1"/>
  <c r="B4340" i="106"/>
  <c r="D4340" i="106" s="1"/>
  <c r="B6403" i="106"/>
  <c r="D6403" i="106" s="1"/>
  <c r="B5239" i="106"/>
  <c r="D5239" i="106" s="1"/>
  <c r="B6404" i="106"/>
  <c r="D6404" i="106" s="1"/>
  <c r="B5240" i="106"/>
  <c r="D5240" i="106" s="1"/>
  <c r="B6405" i="106"/>
  <c r="D6405" i="106" s="1"/>
  <c r="B5241" i="106"/>
  <c r="D5241" i="106" s="1"/>
  <c r="B6406" i="106"/>
  <c r="D6406" i="106" s="1"/>
  <c r="B6407" i="106"/>
  <c r="D6407" i="106" s="1"/>
  <c r="B5243" i="106"/>
  <c r="D5243" i="106" s="1"/>
  <c r="B6408" i="106"/>
  <c r="D6408" i="106" s="1"/>
  <c r="B4331" i="106"/>
  <c r="D4331" i="106" s="1"/>
  <c r="B2563" i="106"/>
  <c r="D2563" i="106" s="1"/>
  <c r="B2575" i="106"/>
  <c r="D2575" i="106" s="1"/>
  <c r="B2637" i="106"/>
  <c r="D2637" i="106" s="1"/>
  <c r="B2602" i="106"/>
  <c r="D2602" i="106" s="1"/>
  <c r="B2614" i="106"/>
  <c r="D2614" i="106" s="1"/>
  <c r="B2663" i="106"/>
  <c r="D2663" i="106" s="1"/>
  <c r="B3322" i="106"/>
  <c r="D3322" i="106" s="1"/>
  <c r="B6265" i="106"/>
  <c r="D6265" i="106" s="1"/>
  <c r="B3590" i="106"/>
  <c r="D3590" i="106" s="1"/>
  <c r="B5114" i="106"/>
  <c r="D5114" i="106" s="1"/>
  <c r="B5350" i="106"/>
  <c r="D5350"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5115" i="106"/>
  <c r="D5115" i="106" s="1"/>
  <c r="B5351" i="106"/>
  <c r="D5351" i="106" s="1"/>
  <c r="B5352" i="106"/>
  <c r="D5352" i="106" s="1"/>
  <c r="B5523" i="106"/>
  <c r="D5523" i="106" s="1"/>
  <c r="B5585" i="106"/>
  <c r="D5585" i="106" s="1"/>
  <c r="B5735" i="106"/>
  <c r="D5735" i="106" s="1"/>
  <c r="B5883" i="106"/>
  <c r="D5883" i="106" s="1"/>
  <c r="B6329" i="106"/>
  <c r="D6329" i="106" s="1"/>
  <c r="B5997" i="106"/>
  <c r="D5997"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7728" i="106"/>
  <c r="D7728" i="106" s="1"/>
  <c r="B7731" i="106"/>
  <c r="D7731" i="106" s="1"/>
  <c r="B5353" i="106"/>
  <c r="D5353" i="106" s="1"/>
  <c r="B5524" i="106"/>
  <c r="D5524" i="106" s="1"/>
  <c r="B5027" i="106"/>
  <c r="D5027" i="106" s="1"/>
  <c r="B5884" i="106"/>
  <c r="D5884" i="106" s="1"/>
  <c r="B5117" i="106"/>
  <c r="D5117" i="106" s="1"/>
  <c r="B7044" i="106"/>
  <c r="D7044" i="106" s="1"/>
  <c r="B7045" i="106"/>
  <c r="D7045" i="106" s="1"/>
  <c r="B7046" i="106"/>
  <c r="D7046" i="106" s="1"/>
  <c r="B7636" i="106"/>
  <c r="D7636" i="106" s="1"/>
  <c r="B7637" i="106"/>
  <c r="D7637" i="106" s="1"/>
  <c r="B7638" i="106"/>
  <c r="D7638" i="106" s="1"/>
  <c r="B7639" i="106"/>
  <c r="D7639" i="106" s="1"/>
  <c r="B5354" i="106"/>
  <c r="D5354" i="106" s="1"/>
  <c r="B5525" i="106"/>
  <c r="D5525" i="106" s="1"/>
  <c r="B5586" i="106"/>
  <c r="D5586" i="106" s="1"/>
  <c r="B5736" i="106"/>
  <c r="D5736" i="106" s="1"/>
  <c r="B5885" i="106"/>
  <c r="D5885" i="106" s="1"/>
  <c r="B5929" i="106"/>
  <c r="D5929" i="106" s="1"/>
  <c r="B6350" i="106"/>
  <c r="D6350" i="106" s="1"/>
  <c r="B5998" i="106"/>
  <c r="D5998" i="106" s="1"/>
  <c r="B5104" i="106"/>
  <c r="D5104" i="106" s="1"/>
  <c r="B5108" i="106"/>
  <c r="D5108" i="106" s="1"/>
  <c r="B5109" i="106"/>
  <c r="D5109" i="106" s="1"/>
  <c r="B5920" i="106"/>
  <c r="D5920" i="106" s="1"/>
  <c r="B5921" i="106"/>
  <c r="D5921" i="106" s="1"/>
  <c r="B5922" i="106"/>
  <c r="D5922" i="106" s="1"/>
  <c r="B651" i="106"/>
  <c r="D651" i="106" s="1"/>
  <c r="B652" i="106"/>
  <c r="D652" i="106" s="1"/>
  <c r="B653" i="106"/>
  <c r="D653" i="106" s="1"/>
  <c r="B3316" i="106"/>
  <c r="D3316" i="106" s="1"/>
  <c r="B6259" i="106"/>
  <c r="D6259" i="106" s="1"/>
  <c r="B6303" i="106"/>
  <c r="D6303" i="106" s="1"/>
  <c r="B6304" i="106"/>
  <c r="D6304" i="106" s="1"/>
  <c r="B6305" i="106"/>
  <c r="D6305" i="106" s="1"/>
  <c r="B6354" i="106"/>
  <c r="D6354" i="106" s="1"/>
  <c r="B6355" i="106"/>
  <c r="D6355" i="106" s="1"/>
  <c r="B6356" i="106"/>
  <c r="D6356" i="106" s="1"/>
  <c r="B6378" i="106"/>
  <c r="D6378" i="106" s="1"/>
  <c r="B6399" i="106"/>
  <c r="D6399" i="106" s="1"/>
  <c r="B7128" i="106"/>
  <c r="D7128" i="106" s="1"/>
  <c r="B7129" i="106"/>
  <c r="D7129" i="106" s="1"/>
  <c r="B7130" i="106"/>
  <c r="D7130" i="106" s="1"/>
  <c r="B7131" i="106"/>
  <c r="D7131" i="106" s="1"/>
  <c r="B7132" i="106"/>
  <c r="D7132" i="106" s="1"/>
  <c r="B7133" i="106"/>
  <c r="D7133" i="106" s="1"/>
  <c r="B7134" i="106"/>
  <c r="D7134" i="106" s="1"/>
  <c r="B7137" i="106"/>
  <c r="D7137" i="106" s="1"/>
  <c r="B7138" i="106"/>
  <c r="D7138" i="106" s="1"/>
  <c r="B7139" i="106"/>
  <c r="D7139" i="106" s="1"/>
  <c r="B7140" i="106"/>
  <c r="D7140" i="106" s="1"/>
  <c r="B7141" i="106"/>
  <c r="D7141" i="106" s="1"/>
  <c r="B7142" i="106"/>
  <c r="D7142" i="106" s="1"/>
  <c r="B7143" i="106"/>
  <c r="D7143" i="106" s="1"/>
  <c r="B7146" i="106"/>
  <c r="D7146" i="106" s="1"/>
  <c r="B7147" i="106"/>
  <c r="D7147" i="106" s="1"/>
  <c r="B7148" i="106"/>
  <c r="D7148" i="106" s="1"/>
  <c r="B7149" i="106"/>
  <c r="D7149" i="106" s="1"/>
  <c r="B7150" i="106"/>
  <c r="D7150" i="106" s="1"/>
  <c r="B7151" i="106"/>
  <c r="D7151" i="106" s="1"/>
  <c r="B7152" i="106"/>
  <c r="D7152" i="106" s="1"/>
  <c r="B7155" i="106"/>
  <c r="D7155" i="106" s="1"/>
  <c r="B7156" i="106"/>
  <c r="D7156" i="106" s="1"/>
  <c r="B7157" i="106"/>
  <c r="D7157" i="106" s="1"/>
  <c r="B7158" i="106"/>
  <c r="D7158" i="106" s="1"/>
  <c r="B7159" i="106"/>
  <c r="D7159" i="106" s="1"/>
  <c r="B7160" i="106"/>
  <c r="D7160" i="106" s="1"/>
  <c r="B7161" i="106"/>
  <c r="D7161" i="106" s="1"/>
  <c r="B7164" i="106"/>
  <c r="D7164" i="106" s="1"/>
  <c r="B7165" i="106"/>
  <c r="D7165" i="106" s="1"/>
  <c r="B7166" i="106"/>
  <c r="D7166" i="106" s="1"/>
  <c r="B7167" i="106"/>
  <c r="D7167" i="106" s="1"/>
  <c r="B7168" i="106"/>
  <c r="D7168" i="106" s="1"/>
  <c r="B7169" i="106"/>
  <c r="D7169" i="106" s="1"/>
  <c r="B7170" i="106"/>
  <c r="D7170" i="106" s="1"/>
  <c r="B7173" i="106"/>
  <c r="D7173" i="106" s="1"/>
  <c r="B7174" i="106"/>
  <c r="D7174" i="106" s="1"/>
  <c r="B7175" i="106"/>
  <c r="D7175" i="106" s="1"/>
  <c r="B7176" i="106"/>
  <c r="D7176" i="106" s="1"/>
  <c r="B7177" i="106"/>
  <c r="D7177" i="106" s="1"/>
  <c r="B7178" i="106"/>
  <c r="D7178" i="106" s="1"/>
  <c r="B7179" i="106"/>
  <c r="D7179" i="106" s="1"/>
  <c r="B7182" i="106"/>
  <c r="D7182" i="106" s="1"/>
  <c r="B7183" i="106"/>
  <c r="D7183" i="106" s="1"/>
  <c r="B7184" i="106"/>
  <c r="D7184" i="106" s="1"/>
  <c r="B7185" i="106"/>
  <c r="D7185" i="106" s="1"/>
  <c r="B7186" i="106"/>
  <c r="D7186" i="106" s="1"/>
  <c r="B7187" i="106"/>
  <c r="D7187" i="106" s="1"/>
  <c r="B7188" i="106"/>
  <c r="D7188" i="106" s="1"/>
  <c r="B7191" i="106"/>
  <c r="D7191" i="106" s="1"/>
  <c r="B7192" i="106"/>
  <c r="D7192" i="106" s="1"/>
  <c r="B7193" i="106"/>
  <c r="D7193" i="106" s="1"/>
  <c r="B7194" i="106"/>
  <c r="D7194" i="106" s="1"/>
  <c r="B7195" i="106"/>
  <c r="D7195" i="106" s="1"/>
  <c r="B7196" i="106"/>
  <c r="D7196" i="106" s="1"/>
  <c r="B7197" i="106"/>
  <c r="D7197" i="106" s="1"/>
  <c r="B7689" i="106"/>
  <c r="D7689" i="106" s="1"/>
  <c r="B7690" i="106"/>
  <c r="D7690" i="106" s="1"/>
  <c r="B7691" i="106"/>
  <c r="D7691" i="106" s="1"/>
  <c r="B7692" i="106"/>
  <c r="D7692" i="106" s="1"/>
  <c r="B7693" i="106"/>
  <c r="D7693" i="106" s="1"/>
  <c r="B7694" i="106"/>
  <c r="D7694" i="106" s="1"/>
  <c r="B7695" i="106"/>
  <c r="D7695" i="106" s="1"/>
  <c r="B7698" i="106"/>
  <c r="D7698" i="106" s="1"/>
  <c r="B7699" i="106"/>
  <c r="D7699" i="106" s="1"/>
  <c r="B7700" i="106"/>
  <c r="D7700" i="106" s="1"/>
  <c r="B7701" i="106"/>
  <c r="D7701" i="106" s="1"/>
  <c r="B7702" i="106"/>
  <c r="D7702" i="106" s="1"/>
  <c r="B7703" i="106"/>
  <c r="D7703" i="106" s="1"/>
  <c r="B7704" i="106"/>
  <c r="D7704" i="106" s="1"/>
  <c r="B6231" i="106"/>
  <c r="D6231" i="106" s="1"/>
  <c r="B6232" i="106"/>
  <c r="D6232" i="106" s="1"/>
  <c r="B6233" i="106"/>
  <c r="D6233" i="106" s="1"/>
  <c r="B6234" i="106"/>
  <c r="D6234" i="106" s="1"/>
  <c r="B6235" i="106"/>
  <c r="D6235" i="106" s="1"/>
  <c r="B6236" i="106"/>
  <c r="D6236" i="106" s="1"/>
  <c r="B6237" i="106"/>
  <c r="D6237" i="106" s="1"/>
  <c r="B6260" i="106"/>
  <c r="D6260" i="106" s="1"/>
  <c r="B5336" i="106"/>
  <c r="D5336" i="106" s="1"/>
  <c r="B5337" i="106"/>
  <c r="D5337" i="106" s="1"/>
  <c r="B5338" i="106"/>
  <c r="D5338" i="106" s="1"/>
  <c r="B5344" i="106"/>
  <c r="D5344" i="106" s="1"/>
  <c r="B5345" i="106"/>
  <c r="D5345" i="106" s="1"/>
  <c r="B5346" i="106"/>
  <c r="D5346" i="106" s="1"/>
  <c r="B5347" i="106"/>
  <c r="D5347" i="106" s="1"/>
  <c r="B5358" i="106"/>
  <c r="D5358" i="106" s="1"/>
  <c r="B5359" i="106"/>
  <c r="D5359" i="106" s="1"/>
  <c r="B4875" i="106"/>
  <c r="D4875" i="106" s="1"/>
  <c r="B5362" i="106"/>
  <c r="D5362" i="106" s="1"/>
  <c r="B4883" i="106"/>
  <c r="D4883" i="106" s="1"/>
  <c r="B4310" i="106"/>
  <c r="D4310" i="106" s="1"/>
  <c r="B5374" i="106"/>
  <c r="D5374" i="106" s="1"/>
  <c r="B5375" i="106"/>
  <c r="D5375" i="106" s="1"/>
  <c r="B6360" i="106"/>
  <c r="D6360" i="106" s="1"/>
  <c r="B6363" i="106"/>
  <c r="D6363" i="106" s="1"/>
  <c r="B6366" i="106"/>
  <c r="D6366" i="106" s="1"/>
  <c r="B4228" i="106"/>
  <c r="D4228" i="106" s="1"/>
  <c r="B4352" i="106"/>
  <c r="D4352" i="106" s="1"/>
  <c r="B5387" i="106"/>
  <c r="D5387" i="106" s="1"/>
  <c r="B4313" i="106"/>
  <c r="D4313" i="106" s="1"/>
  <c r="B5393" i="106"/>
  <c r="D5393" i="106" s="1"/>
  <c r="B4315" i="106"/>
  <c r="D4315" i="106" s="1"/>
  <c r="B5395" i="106"/>
  <c r="D5395" i="106" s="1"/>
  <c r="B5401" i="106"/>
  <c r="D5401" i="106" s="1"/>
  <c r="B4916" i="106"/>
  <c r="D4916" i="106" s="1"/>
  <c r="B6389" i="106"/>
  <c r="D6389" i="106" s="1"/>
  <c r="B4327" i="106"/>
  <c r="D4327" i="106" s="1"/>
  <c r="B4793" i="106"/>
  <c r="D4793" i="106" s="1"/>
  <c r="B4945" i="106"/>
  <c r="D4945" i="106" s="1"/>
  <c r="B4802" i="106"/>
  <c r="D4802" i="106" s="1"/>
  <c r="B4806" i="106"/>
  <c r="D4806" i="106" s="1"/>
  <c r="B4376" i="106"/>
  <c r="D4376" i="106" s="1"/>
  <c r="B4380" i="106"/>
  <c r="D4380" i="106" s="1"/>
  <c r="B4392" i="106"/>
  <c r="D4392" i="106" s="1"/>
  <c r="B5432" i="106"/>
  <c r="D5432" i="106" s="1"/>
  <c r="B4236" i="106"/>
  <c r="D4236" i="106" s="1"/>
  <c r="B4400" i="106"/>
  <c r="D4400" i="106" s="1"/>
  <c r="B5438" i="106"/>
  <c r="D5438" i="106" s="1"/>
  <c r="B6411" i="106"/>
  <c r="D6411" i="106" s="1"/>
  <c r="B5439" i="106"/>
  <c r="D5439" i="106" s="1"/>
  <c r="B4333" i="106"/>
  <c r="D4333" i="106" s="1"/>
  <c r="B4408" i="106"/>
  <c r="D4408" i="106" s="1"/>
  <c r="B4337" i="106"/>
  <c r="D4337" i="106" s="1"/>
  <c r="B4345" i="106"/>
  <c r="D4345" i="106" s="1"/>
  <c r="B6623" i="106"/>
  <c r="D6623" i="106" s="1"/>
  <c r="B6627" i="106"/>
  <c r="D6627" i="106" s="1"/>
  <c r="B6635" i="106"/>
  <c r="D6635" i="106" s="1"/>
  <c r="B6643" i="106"/>
  <c r="D6643" i="106" s="1"/>
  <c r="B6651" i="106"/>
  <c r="D6651" i="106" s="1"/>
  <c r="B6659" i="106"/>
  <c r="D6659" i="106" s="1"/>
  <c r="B6667" i="106"/>
  <c r="D6667" i="106" s="1"/>
  <c r="B6675" i="106"/>
  <c r="D6675" i="106" s="1"/>
  <c r="B6683" i="106"/>
  <c r="D6683" i="106" s="1"/>
  <c r="B6691" i="106"/>
  <c r="D6691" i="106" s="1"/>
  <c r="B6695" i="106"/>
  <c r="D6695" i="106" s="1"/>
  <c r="B6697" i="106"/>
  <c r="D6697" i="106" s="1"/>
  <c r="B6705" i="106"/>
  <c r="D6705" i="106" s="1"/>
  <c r="B6713" i="106"/>
  <c r="D6713" i="106" s="1"/>
  <c r="B6721" i="106"/>
  <c r="D6721" i="106" s="1"/>
  <c r="B6730" i="106"/>
  <c r="D6730" i="106" s="1"/>
  <c r="B6738" i="106"/>
  <c r="D6738" i="106" s="1"/>
  <c r="B6746" i="106"/>
  <c r="D6746" i="106" s="1"/>
  <c r="B6754" i="106"/>
  <c r="D6754" i="106" s="1"/>
  <c r="B6762" i="106"/>
  <c r="D6762" i="106" s="1"/>
  <c r="B6770" i="106"/>
  <c r="D6770" i="106" s="1"/>
  <c r="B6778" i="106"/>
  <c r="D6778" i="106" s="1"/>
  <c r="B6786" i="106"/>
  <c r="D6786" i="106" s="1"/>
  <c r="B6794" i="106"/>
  <c r="D6794" i="106" s="1"/>
  <c r="B6802" i="106"/>
  <c r="D6802" i="106" s="1"/>
  <c r="B6810" i="106"/>
  <c r="D6810" i="106" s="1"/>
  <c r="B6818" i="106"/>
  <c r="D6818" i="106" s="1"/>
  <c r="B6826" i="106"/>
  <c r="D6826" i="106" s="1"/>
  <c r="B6842" i="106"/>
  <c r="D6842" i="106" s="1"/>
  <c r="B5496" i="106"/>
  <c r="D5496" i="106" s="1"/>
  <c r="B5498" i="106"/>
  <c r="D5498" i="106" s="1"/>
  <c r="B4419" i="106"/>
  <c r="D4419" i="106" s="1"/>
  <c r="B4190" i="106"/>
  <c r="D4190" i="106" s="1"/>
  <c r="B4359" i="106"/>
  <c r="D4359" i="106" s="1"/>
  <c r="B4446" i="106"/>
  <c r="D4446" i="106" s="1"/>
  <c r="B4853" i="106"/>
  <c r="D4853" i="106" s="1"/>
  <c r="B1228" i="106"/>
  <c r="D1228" i="106" s="1"/>
  <c r="B1236" i="106"/>
  <c r="D1236" i="106" s="1"/>
  <c r="B1244" i="106"/>
  <c r="D1244" i="106" s="1"/>
  <c r="B1252" i="106"/>
  <c r="D1252" i="106" s="1"/>
  <c r="B1261" i="106"/>
  <c r="D1261" i="106" s="1"/>
  <c r="B7026" i="106"/>
  <c r="D7026" i="106" s="1"/>
  <c r="B7027" i="106"/>
  <c r="D7027" i="106" s="1"/>
  <c r="B1229" i="106"/>
  <c r="D1229" i="106" s="1"/>
  <c r="B1237" i="106"/>
  <c r="D1237" i="106" s="1"/>
  <c r="B1245" i="106"/>
  <c r="D1245" i="106" s="1"/>
  <c r="B1253" i="106"/>
  <c r="D1253" i="106" s="1"/>
  <c r="B1262" i="106"/>
  <c r="D1262" i="106" s="1"/>
  <c r="B7028" i="106"/>
  <c r="D7028" i="106" s="1"/>
  <c r="B7029" i="106"/>
  <c r="D7029" i="106" s="1"/>
  <c r="B3483" i="106"/>
  <c r="D3483" i="106" s="1"/>
  <c r="B3484" i="106"/>
  <c r="D3484" i="106" s="1"/>
  <c r="B3485" i="106"/>
  <c r="D3485" i="106" s="1"/>
  <c r="B3486" i="106"/>
  <c r="D3486" i="106" s="1"/>
  <c r="B3487" i="106"/>
  <c r="D3487" i="106" s="1"/>
  <c r="B7030" i="106"/>
  <c r="D7030" i="106" s="1"/>
  <c r="B7031" i="106"/>
  <c r="D7031" i="106" s="1"/>
  <c r="B7032" i="106"/>
  <c r="D7032" i="106" s="1"/>
  <c r="B1232" i="106"/>
  <c r="D1232" i="106" s="1"/>
  <c r="B1240" i="106"/>
  <c r="D1240" i="106" s="1"/>
  <c r="B1248" i="106"/>
  <c r="D1248" i="106" s="1"/>
  <c r="B1257" i="106"/>
  <c r="D1257" i="106" s="1"/>
  <c r="B1265" i="106"/>
  <c r="D1265" i="106" s="1"/>
  <c r="B7035" i="106"/>
  <c r="D7035" i="106" s="1"/>
  <c r="B7036" i="106"/>
  <c r="D7036" i="106" s="1"/>
  <c r="B2798" i="106"/>
  <c r="D2798" i="106" s="1"/>
  <c r="B2799" i="106"/>
  <c r="D2799" i="106" s="1"/>
  <c r="B2800" i="106"/>
  <c r="D2800" i="106" s="1"/>
  <c r="B2801" i="106"/>
  <c r="D2801" i="106" s="1"/>
  <c r="B2802" i="106"/>
  <c r="D2802" i="106" s="1"/>
  <c r="B7039" i="106"/>
  <c r="D7039" i="106" s="1"/>
  <c r="B7040" i="106"/>
  <c r="D7040" i="106" s="1"/>
  <c r="B2980" i="106"/>
  <c r="D2980" i="106" s="1"/>
  <c r="B2981" i="106"/>
  <c r="D2981" i="106" s="1"/>
  <c r="B432" i="106"/>
  <c r="D432" i="106" s="1"/>
  <c r="B5013" i="106"/>
  <c r="D5013" i="106" s="1"/>
  <c r="B2758" i="106"/>
  <c r="D2758" i="106" s="1"/>
  <c r="B3078" i="106"/>
  <c r="D3078" i="106" s="1"/>
  <c r="B3079" i="106"/>
  <c r="D3079" i="106" s="1"/>
  <c r="B3080" i="106"/>
  <c r="D3080" i="106" s="1"/>
  <c r="B3531" i="106"/>
  <c r="D3531" i="106" s="1"/>
  <c r="B6291" i="106"/>
  <c r="D6291" i="106" s="1"/>
  <c r="B3234" i="106"/>
  <c r="D3234" i="106" s="1"/>
  <c r="B2806" i="106"/>
  <c r="D2806" i="106" s="1"/>
  <c r="B7652" i="106"/>
  <c r="D7652" i="106" s="1"/>
  <c r="B7655" i="106"/>
  <c r="D7655" i="106" s="1"/>
  <c r="B7658" i="106"/>
  <c r="D7658" i="106" s="1"/>
  <c r="B6244" i="106"/>
  <c r="D6244" i="106" s="1"/>
  <c r="B7661" i="106"/>
  <c r="D7661" i="106" s="1"/>
  <c r="B7664" i="106"/>
  <c r="D7664" i="106" s="1"/>
  <c r="B7667" i="106"/>
  <c r="D7667" i="106" s="1"/>
  <c r="B7670" i="106"/>
  <c r="D7670" i="106" s="1"/>
  <c r="B7672" i="106"/>
  <c r="D7672" i="106" s="1"/>
  <c r="B7674" i="106"/>
  <c r="D7674" i="106" s="1"/>
  <c r="B7676" i="106"/>
  <c r="D7676" i="106" s="1"/>
  <c r="B7678" i="106"/>
  <c r="D7678" i="106" s="1"/>
  <c r="B7680" i="106"/>
  <c r="D7680" i="106" s="1"/>
  <c r="B7682" i="106"/>
  <c r="D7682" i="106" s="1"/>
  <c r="B7684" i="106"/>
  <c r="D7684" i="106" s="1"/>
  <c r="B7686" i="106"/>
  <c r="D7686" i="106" s="1"/>
  <c r="B6253" i="106"/>
  <c r="D6253" i="106" s="1"/>
  <c r="B3236" i="106"/>
  <c r="D3236" i="106" s="1"/>
  <c r="B5515" i="106"/>
  <c r="D5515" i="106" s="1"/>
  <c r="B5516" i="106"/>
  <c r="D5516" i="106" s="1"/>
  <c r="B5517" i="106"/>
  <c r="D5517" i="106" s="1"/>
  <c r="B4876" i="106"/>
  <c r="D4876" i="106" s="1"/>
  <c r="B5529" i="106"/>
  <c r="D5529" i="106" s="1"/>
  <c r="B4884" i="106"/>
  <c r="D4884" i="106" s="1"/>
  <c r="B6375" i="106"/>
  <c r="D6375" i="106" s="1"/>
  <c r="B4917" i="106"/>
  <c r="D4917" i="106" s="1"/>
  <c r="B6390" i="106"/>
  <c r="D6390" i="106" s="1"/>
  <c r="B4794" i="106"/>
  <c r="D4794" i="106" s="1"/>
  <c r="B4369" i="106"/>
  <c r="D4369" i="106" s="1"/>
  <c r="B6722" i="106"/>
  <c r="D6722" i="106" s="1"/>
  <c r="B6731" i="106"/>
  <c r="D6731" i="106" s="1"/>
  <c r="B6739" i="106"/>
  <c r="D6739" i="106" s="1"/>
  <c r="B1316" i="106"/>
  <c r="D1316" i="106" s="1"/>
  <c r="B7750" i="106"/>
  <c r="D7750" i="106" s="1"/>
  <c r="B3490" i="106"/>
  <c r="D3490" i="106" s="1"/>
  <c r="B2760" i="106"/>
  <c r="D2760" i="106" s="1"/>
  <c r="B3082" i="106"/>
  <c r="D3082" i="106" s="1"/>
  <c r="B500" i="106"/>
  <c r="D500" i="106" s="1"/>
  <c r="B501" i="106"/>
  <c r="D501" i="106" s="1"/>
  <c r="B4217" i="106"/>
  <c r="D4217" i="106" s="1"/>
  <c r="B6292" i="106"/>
  <c r="D6292" i="106" s="1"/>
  <c r="B3273" i="106"/>
  <c r="D3273" i="106" s="1"/>
  <c r="B3275" i="106"/>
  <c r="D3275" i="106" s="1"/>
  <c r="B5555" i="106"/>
  <c r="D5555" i="106" s="1"/>
  <c r="B5559" i="106"/>
  <c r="D5559" i="106" s="1"/>
  <c r="B5560" i="106"/>
  <c r="D5560" i="106" s="1"/>
  <c r="B5561" i="106"/>
  <c r="D5561" i="106" s="1"/>
  <c r="B5590" i="106"/>
  <c r="D5590" i="106" s="1"/>
  <c r="B5591" i="106"/>
  <c r="D5591" i="106" s="1"/>
  <c r="B4877" i="106"/>
  <c r="D4877" i="106" s="1"/>
  <c r="B5594" i="106"/>
  <c r="D5594" i="106" s="1"/>
  <c r="B4885" i="106"/>
  <c r="D4885" i="106" s="1"/>
  <c r="B5601" i="106"/>
  <c r="D5601" i="106" s="1"/>
  <c r="B5602" i="106"/>
  <c r="D5602" i="106" s="1"/>
  <c r="B5604" i="106"/>
  <c r="D5604" i="106" s="1"/>
  <c r="B5606" i="106"/>
  <c r="D5606" i="106" s="1"/>
  <c r="B5609" i="106"/>
  <c r="D5609" i="106" s="1"/>
  <c r="B4311" i="106"/>
  <c r="D4311" i="106" s="1"/>
  <c r="B6369" i="106"/>
  <c r="D6369" i="106" s="1"/>
  <c r="B5617" i="106"/>
  <c r="D5617" i="106" s="1"/>
  <c r="B4316" i="106"/>
  <c r="D4316" i="106" s="1"/>
  <c r="B5619" i="106"/>
  <c r="D5619" i="106" s="1"/>
  <c r="B5625" i="106"/>
  <c r="D5625" i="106" s="1"/>
  <c r="B5627" i="106"/>
  <c r="D5627" i="106" s="1"/>
  <c r="B5630" i="106"/>
  <c r="D5630" i="106" s="1"/>
  <c r="B5631" i="106"/>
  <c r="D5631" i="106" s="1"/>
  <c r="B6383" i="106"/>
  <c r="D6383" i="106" s="1"/>
  <c r="B6386" i="106"/>
  <c r="D6386" i="106" s="1"/>
  <c r="B4918" i="106"/>
  <c r="D4918" i="106" s="1"/>
  <c r="B6391" i="106"/>
  <c r="D6391" i="106" s="1"/>
  <c r="B4322" i="106"/>
  <c r="D4322" i="106" s="1"/>
  <c r="B4795" i="106"/>
  <c r="D4795" i="106" s="1"/>
  <c r="B4946" i="106"/>
  <c r="D4946" i="106" s="1"/>
  <c r="B4808" i="106"/>
  <c r="D4808" i="106" s="1"/>
  <c r="B4377" i="106"/>
  <c r="D4377" i="106" s="1"/>
  <c r="B4381" i="106"/>
  <c r="D4381" i="106" s="1"/>
  <c r="B4393" i="106"/>
  <c r="D4393" i="106" s="1"/>
  <c r="B5665" i="106"/>
  <c r="D5665" i="106" s="1"/>
  <c r="B4237" i="106"/>
  <c r="D4237" i="106" s="1"/>
  <c r="B4401" i="106"/>
  <c r="D4401" i="106" s="1"/>
  <c r="B5671" i="106"/>
  <c r="D5671" i="106" s="1"/>
  <c r="B6412" i="106"/>
  <c r="D6412" i="106" s="1"/>
  <c r="B5672" i="106"/>
  <c r="D5672" i="106" s="1"/>
  <c r="B4334" i="106"/>
  <c r="D4334" i="106" s="1"/>
  <c r="B4409" i="106"/>
  <c r="D4409" i="106" s="1"/>
  <c r="B4338" i="106"/>
  <c r="D4338" i="106" s="1"/>
  <c r="B6624" i="106"/>
  <c r="D6624" i="106" s="1"/>
  <c r="B6629" i="106"/>
  <c r="D6629" i="106" s="1"/>
  <c r="B6637" i="106"/>
  <c r="D6637" i="106" s="1"/>
  <c r="B6645" i="106"/>
  <c r="D6645" i="106" s="1"/>
  <c r="B6653" i="106"/>
  <c r="D6653" i="106" s="1"/>
  <c r="B6661" i="106"/>
  <c r="D6661" i="106" s="1"/>
  <c r="B6669" i="106"/>
  <c r="D6669" i="106" s="1"/>
  <c r="B6677" i="106"/>
  <c r="D6677" i="106" s="1"/>
  <c r="B6685" i="106"/>
  <c r="D6685" i="106" s="1"/>
  <c r="B6692" i="106"/>
  <c r="D6692" i="106" s="1"/>
  <c r="B6699" i="106"/>
  <c r="D6699" i="106" s="1"/>
  <c r="B6707" i="106"/>
  <c r="D6707" i="106" s="1"/>
  <c r="B6715" i="106"/>
  <c r="D6715" i="106" s="1"/>
  <c r="B6723" i="106"/>
  <c r="D6723" i="106" s="1"/>
  <c r="B6732" i="106"/>
  <c r="D6732" i="106" s="1"/>
  <c r="B6740" i="106"/>
  <c r="D6740" i="106" s="1"/>
  <c r="B6748" i="106"/>
  <c r="D6748" i="106" s="1"/>
  <c r="B6756" i="106"/>
  <c r="D6756" i="106" s="1"/>
  <c r="B6764" i="106"/>
  <c r="D6764" i="106" s="1"/>
  <c r="B6772" i="106"/>
  <c r="D6772" i="106" s="1"/>
  <c r="B6780" i="106"/>
  <c r="D6780" i="106" s="1"/>
  <c r="B6788" i="106"/>
  <c r="D6788" i="106" s="1"/>
  <c r="B6796" i="106"/>
  <c r="D6796" i="106" s="1"/>
  <c r="B6804" i="106"/>
  <c r="D6804" i="106" s="1"/>
  <c r="B6812" i="106"/>
  <c r="D6812" i="106" s="1"/>
  <c r="B6820" i="106"/>
  <c r="D6820" i="106" s="1"/>
  <c r="B6828" i="106"/>
  <c r="D6828" i="106" s="1"/>
  <c r="B5705" i="106"/>
  <c r="D5705" i="106" s="1"/>
  <c r="B4416" i="106"/>
  <c r="D4416" i="106" s="1"/>
  <c r="B5706" i="106"/>
  <c r="D5706" i="106" s="1"/>
  <c r="B5708" i="106"/>
  <c r="D5708" i="106" s="1"/>
  <c r="B5710" i="106"/>
  <c r="D5710" i="106" s="1"/>
  <c r="B4420" i="106"/>
  <c r="D4420" i="106" s="1"/>
  <c r="B4191" i="106"/>
  <c r="D4191" i="106" s="1"/>
  <c r="B4360" i="106"/>
  <c r="D4360" i="106" s="1"/>
  <c r="B4447" i="106"/>
  <c r="D4447" i="106" s="1"/>
  <c r="B4855" i="106"/>
  <c r="D4855" i="106" s="1"/>
  <c r="B1341" i="106"/>
  <c r="D1341" i="106" s="1"/>
  <c r="B1347" i="106"/>
  <c r="D1347" i="106" s="1"/>
  <c r="B1366" i="106"/>
  <c r="D1366" i="106" s="1"/>
  <c r="B7059" i="106"/>
  <c r="D7059" i="106" s="1"/>
  <c r="B7060" i="106"/>
  <c r="D7060" i="106" s="1"/>
  <c r="B1344" i="106"/>
  <c r="D1344" i="106" s="1"/>
  <c r="B1350" i="106"/>
  <c r="D1350" i="106" s="1"/>
  <c r="B1357" i="106"/>
  <c r="D1357" i="106" s="1"/>
  <c r="B1363" i="106"/>
  <c r="D1363" i="106" s="1"/>
  <c r="B1369" i="106"/>
  <c r="D1369" i="106" s="1"/>
  <c r="B7061" i="106"/>
  <c r="D7061" i="106" s="1"/>
  <c r="B7062" i="106"/>
  <c r="D7062" i="106" s="1"/>
  <c r="B2821" i="106"/>
  <c r="D2821" i="106" s="1"/>
  <c r="B2822" i="106"/>
  <c r="D2822" i="106" s="1"/>
  <c r="B2825" i="106"/>
  <c r="D2825" i="106" s="1"/>
  <c r="B2826" i="106"/>
  <c r="D2826" i="106" s="1"/>
  <c r="B2827" i="106"/>
  <c r="D2827" i="106" s="1"/>
  <c r="B7065" i="106"/>
  <c r="D7065" i="106" s="1"/>
  <c r="B7066" i="106"/>
  <c r="D7066" i="106" s="1"/>
  <c r="B2996" i="106"/>
  <c r="D2996" i="106" s="1"/>
  <c r="B2997" i="106"/>
  <c r="D2997" i="106" s="1"/>
  <c r="B2998" i="106"/>
  <c r="D2998" i="106" s="1"/>
  <c r="B2999" i="106"/>
  <c r="D2999" i="106" s="1"/>
  <c r="B3000" i="106"/>
  <c r="D3000" i="106" s="1"/>
  <c r="B2829" i="106"/>
  <c r="D2829" i="106" s="1"/>
  <c r="B2762" i="106"/>
  <c r="D2762" i="106" s="1"/>
  <c r="B2763" i="106"/>
  <c r="D2763" i="106" s="1"/>
  <c r="B3083" i="106"/>
  <c r="D3083" i="106" s="1"/>
  <c r="B3085" i="106"/>
  <c r="D3085" i="106" s="1"/>
  <c r="B3532" i="106"/>
  <c r="D3532" i="106" s="1"/>
  <c r="B6293" i="106"/>
  <c r="D6293" i="106" s="1"/>
  <c r="B3251" i="106"/>
  <c r="D3251" i="106" s="1"/>
  <c r="B6254" i="106"/>
  <c r="D6254" i="106" s="1"/>
  <c r="B3253" i="106"/>
  <c r="D3253" i="106" s="1"/>
  <c r="B5724" i="106"/>
  <c r="D5724" i="106" s="1"/>
  <c r="B5727" i="106"/>
  <c r="D5727" i="106" s="1"/>
  <c r="B5728" i="106"/>
  <c r="D5728" i="106" s="1"/>
  <c r="B5729" i="106"/>
  <c r="D5729" i="106" s="1"/>
  <c r="B5740" i="106"/>
  <c r="D5740" i="106" s="1"/>
  <c r="B4878" i="106"/>
  <c r="D4878" i="106" s="1"/>
  <c r="B5743" i="106"/>
  <c r="D5743" i="106" s="1"/>
  <c r="B4886" i="106"/>
  <c r="D4886" i="106" s="1"/>
  <c r="B6358" i="106"/>
  <c r="D6358" i="106" s="1"/>
  <c r="B4771" i="106"/>
  <c r="D4771" i="106" s="1"/>
  <c r="B6361" i="106"/>
  <c r="D6361" i="106" s="1"/>
  <c r="B6364" i="106"/>
  <c r="D6364" i="106" s="1"/>
  <c r="B6367" i="106"/>
  <c r="D6367" i="106" s="1"/>
  <c r="B4230" i="106"/>
  <c r="D4230" i="106" s="1"/>
  <c r="B5755" i="106"/>
  <c r="D5755" i="106" s="1"/>
  <c r="B6370" i="106"/>
  <c r="D6370" i="106" s="1"/>
  <c r="B4355" i="106"/>
  <c r="D4355" i="106" s="1"/>
  <c r="B6381" i="106"/>
  <c r="D6381" i="106" s="1"/>
  <c r="B4356" i="106"/>
  <c r="D4356" i="106" s="1"/>
  <c r="B5765" i="106"/>
  <c r="D5765" i="106" s="1"/>
  <c r="B4796" i="106"/>
  <c r="D4796" i="106" s="1"/>
  <c r="B4947" i="106"/>
  <c r="D4947" i="106" s="1"/>
  <c r="B4813" i="106"/>
  <c r="D4813" i="106" s="1"/>
  <c r="B4378" i="106"/>
  <c r="D4378" i="106" s="1"/>
  <c r="B4382" i="106"/>
  <c r="D4382" i="106" s="1"/>
  <c r="B4394" i="106"/>
  <c r="D4394" i="106" s="1"/>
  <c r="B5791" i="106"/>
  <c r="D5791" i="106" s="1"/>
  <c r="B4238" i="106"/>
  <c r="D4238" i="106" s="1"/>
  <c r="B4402" i="106"/>
  <c r="D4402" i="106" s="1"/>
  <c r="B5797" i="106"/>
  <c r="D5797" i="106" s="1"/>
  <c r="B6413" i="106"/>
  <c r="D6413" i="106" s="1"/>
  <c r="B5798" i="106"/>
  <c r="D5798" i="106" s="1"/>
  <c r="B4335" i="106"/>
  <c r="D4335" i="106" s="1"/>
  <c r="B4410" i="106"/>
  <c r="D4410" i="106" s="1"/>
  <c r="B4339" i="106"/>
  <c r="D4339" i="106" s="1"/>
  <c r="B4346" i="106"/>
  <c r="D4346" i="106" s="1"/>
  <c r="B5853" i="106"/>
  <c r="D5853" i="106" s="1"/>
  <c r="B6662" i="106"/>
  <c r="D6662" i="106" s="1"/>
  <c r="B6700" i="106"/>
  <c r="D6700" i="106" s="1"/>
  <c r="B6708" i="106"/>
  <c r="D6708" i="106" s="1"/>
  <c r="B6749" i="106"/>
  <c r="D6749" i="106" s="1"/>
  <c r="B6789" i="106"/>
  <c r="D6789" i="106" s="1"/>
  <c r="B3492" i="106"/>
  <c r="D3492" i="106" s="1"/>
  <c r="B2766" i="106"/>
  <c r="D2766" i="106" s="1"/>
  <c r="B3533" i="106"/>
  <c r="D3533" i="106" s="1"/>
  <c r="B6294" i="106"/>
  <c r="D6294" i="106" s="1"/>
  <c r="B3257" i="106"/>
  <c r="D3257" i="106" s="1"/>
  <c r="B6255" i="106"/>
  <c r="D6255" i="106" s="1"/>
  <c r="B6258" i="106"/>
  <c r="D6258" i="106" s="1"/>
  <c r="B5989" i="106"/>
  <c r="D5989" i="106" s="1"/>
  <c r="B5990" i="106"/>
  <c r="D5990" i="106" s="1"/>
  <c r="B5991" i="106"/>
  <c r="D5991" i="106" s="1"/>
  <c r="B4881" i="106"/>
  <c r="D4881" i="106" s="1"/>
  <c r="B6001" i="106"/>
  <c r="D6001" i="106" s="1"/>
  <c r="B4889" i="106"/>
  <c r="D4889" i="106" s="1"/>
  <c r="B6379" i="106"/>
  <c r="D6379" i="106" s="1"/>
  <c r="B4922" i="106"/>
  <c r="D4922" i="106" s="1"/>
  <c r="B6394" i="106"/>
  <c r="D6394" i="106" s="1"/>
  <c r="B4330" i="106"/>
  <c r="D4330" i="106" s="1"/>
  <c r="B4799" i="106"/>
  <c r="D4799" i="106" s="1"/>
  <c r="B4949" i="106"/>
  <c r="D4949" i="106" s="1"/>
  <c r="B3625" i="106"/>
  <c r="D3625" i="106" s="1"/>
  <c r="B3632" i="106"/>
  <c r="D3632" i="106" s="1"/>
  <c r="B3639" i="106"/>
  <c r="D3639" i="106" s="1"/>
  <c r="B3646" i="106"/>
  <c r="D3646" i="106" s="1"/>
  <c r="B3653" i="106"/>
  <c r="D3653" i="106" s="1"/>
  <c r="B7228" i="106"/>
  <c r="D7228" i="106" s="1"/>
  <c r="B7229" i="106"/>
  <c r="D7229" i="106" s="1"/>
  <c r="B3627" i="106"/>
  <c r="D3627" i="106" s="1"/>
  <c r="B3634" i="106"/>
  <c r="D3634" i="106" s="1"/>
  <c r="B3641" i="106"/>
  <c r="D3641" i="106" s="1"/>
  <c r="B3648" i="106"/>
  <c r="D3648" i="106" s="1"/>
  <c r="B3655" i="106"/>
  <c r="D3655" i="106" s="1"/>
  <c r="B7232" i="106"/>
  <c r="D7232" i="106" s="1"/>
  <c r="B7233" i="106"/>
  <c r="D7233" i="106" s="1"/>
  <c r="B3580" i="106"/>
  <c r="D3580" i="106" s="1"/>
  <c r="B3581" i="106"/>
  <c r="D3581" i="106" s="1"/>
  <c r="B3582" i="106"/>
  <c r="D3582" i="106" s="1"/>
  <c r="B3583" i="106"/>
  <c r="D3583" i="106" s="1"/>
  <c r="B3585" i="106"/>
  <c r="D3585" i="106" s="1"/>
  <c r="B5026" i="106"/>
  <c r="D5026" i="106" s="1"/>
  <c r="B5065" i="106"/>
  <c r="D5065" i="106" s="1"/>
  <c r="B5068" i="106"/>
  <c r="D5068" i="106" s="1"/>
  <c r="B5069" i="106"/>
  <c r="D5069" i="106" s="1"/>
  <c r="B5070" i="106"/>
  <c r="D5070" i="106" s="1"/>
  <c r="B5073" i="106"/>
  <c r="D5073" i="106" s="1"/>
  <c r="B5074" i="106"/>
  <c r="D5074" i="106" s="1"/>
  <c r="B6307" i="106"/>
  <c r="D6307" i="106" s="1"/>
  <c r="B5075" i="106"/>
  <c r="D5075" i="106" s="1"/>
  <c r="B5076" i="106"/>
  <c r="D5076" i="106" s="1"/>
  <c r="B5077" i="106"/>
  <c r="D5077" i="106" s="1"/>
  <c r="B6308" i="106"/>
  <c r="D6308" i="106" s="1"/>
  <c r="B5078" i="106"/>
  <c r="D5078" i="106" s="1"/>
  <c r="B5079" i="106"/>
  <c r="D5079" i="106" s="1"/>
  <c r="B5080" i="106"/>
  <c r="D5080" i="106" s="1"/>
  <c r="B6309" i="106"/>
  <c r="D6309" i="106" s="1"/>
  <c r="B5081" i="106"/>
  <c r="D5081" i="106" s="1"/>
  <c r="B5082" i="106"/>
  <c r="D5082" i="106" s="1"/>
  <c r="B5083" i="106"/>
  <c r="D5083" i="106" s="1"/>
  <c r="B6310" i="106"/>
  <c r="D6310" i="106" s="1"/>
  <c r="B5084" i="106"/>
  <c r="D5084" i="106" s="1"/>
  <c r="B5085" i="106"/>
  <c r="D5085" i="106" s="1"/>
  <c r="B5086" i="106"/>
  <c r="D5086" i="106" s="1"/>
  <c r="B6311" i="106"/>
  <c r="D6311" i="106" s="1"/>
  <c r="B5091" i="106"/>
  <c r="D5091" i="106" s="1"/>
  <c r="B5099" i="106"/>
  <c r="D5099" i="106" s="1"/>
  <c r="B5100" i="106"/>
  <c r="D5100" i="106" s="1"/>
  <c r="B5124" i="106"/>
  <c r="D5124" i="106" s="1"/>
  <c r="B5134" i="106"/>
  <c r="D5134" i="106" s="1"/>
  <c r="B5135" i="106"/>
  <c r="D5135" i="106" s="1"/>
  <c r="B5137" i="106"/>
  <c r="D5137" i="106" s="1"/>
  <c r="B4309" i="106"/>
  <c r="D4309" i="106" s="1"/>
  <c r="B6359" i="106"/>
  <c r="D6359" i="106" s="1"/>
  <c r="B6362" i="106"/>
  <c r="D6362" i="106" s="1"/>
  <c r="B4351" i="106"/>
  <c r="D4351" i="106" s="1"/>
  <c r="B5168" i="106"/>
  <c r="D5168" i="106" s="1"/>
  <c r="B5171" i="106"/>
  <c r="D5171" i="106" s="1"/>
  <c r="B5177" i="106"/>
  <c r="D5177" i="106" s="1"/>
  <c r="B5196" i="106"/>
  <c r="D5196" i="106" s="1"/>
  <c r="B6382" i="106"/>
  <c r="D6382" i="106" s="1"/>
  <c r="B4321" i="106"/>
  <c r="D4321" i="106" s="1"/>
  <c r="B5231" i="106"/>
  <c r="D5231" i="106" s="1"/>
  <c r="B4805" i="106"/>
  <c r="D4805" i="106" s="1"/>
  <c r="B4391" i="106"/>
  <c r="D4391" i="106" s="1"/>
  <c r="B5248" i="106"/>
  <c r="D5248" i="106" s="1"/>
  <c r="B4399" i="106"/>
  <c r="D4399" i="106" s="1"/>
  <c r="B5254" i="106"/>
  <c r="D5254" i="106" s="1"/>
  <c r="B4344" i="106"/>
  <c r="D4344" i="106" s="1"/>
  <c r="B5310" i="106"/>
  <c r="D5310" i="106" s="1"/>
  <c r="B6622" i="106"/>
  <c r="D6622" i="106" s="1"/>
  <c r="B6650" i="106"/>
  <c r="D6650" i="106" s="1"/>
  <c r="B6658" i="106"/>
  <c r="D6658" i="106" s="1"/>
  <c r="B6666" i="106"/>
  <c r="D6666" i="106" s="1"/>
  <c r="B6704" i="106"/>
  <c r="D6704" i="106" s="1"/>
  <c r="B6712" i="106"/>
  <c r="D6712" i="106" s="1"/>
  <c r="B6720" i="106"/>
  <c r="D6720" i="106" s="1"/>
  <c r="B6753" i="106"/>
  <c r="D6753" i="106" s="1"/>
  <c r="B6793" i="106"/>
  <c r="D6793" i="106" s="1"/>
  <c r="B6809" i="106"/>
  <c r="D6809" i="106" s="1"/>
  <c r="B6817" i="106"/>
  <c r="D6817" i="106" s="1"/>
  <c r="B6825" i="106"/>
  <c r="D6825" i="106" s="1"/>
  <c r="B6841" i="106"/>
  <c r="D6841" i="106" s="1"/>
  <c r="B5313" i="106"/>
  <c r="D5313" i="106" s="1"/>
  <c r="B5315" i="106"/>
  <c r="D5315" i="106" s="1"/>
  <c r="B4358" i="106"/>
  <c r="D4358" i="106" s="1"/>
  <c r="B4362" i="106"/>
  <c r="D4362" i="106" s="1"/>
  <c r="B7246" i="106"/>
  <c r="D7246" i="106" s="1"/>
  <c r="B7247" i="106"/>
  <c r="D7247" i="106" s="1"/>
  <c r="B7248" i="106"/>
  <c r="D7248" i="106" s="1"/>
  <c r="B7249" i="106"/>
  <c r="D7249" i="106" s="1"/>
  <c r="B7250" i="106"/>
  <c r="D7250" i="106" s="1"/>
  <c r="B6846" i="106"/>
  <c r="D6846" i="106" s="1"/>
  <c r="B6847" i="106"/>
  <c r="D6847" i="106" s="1"/>
  <c r="B3368" i="106"/>
  <c r="D3368" i="106" s="1"/>
  <c r="B3370" i="106"/>
  <c r="D3370" i="106" s="1"/>
  <c r="B3372" i="106"/>
  <c r="D3372" i="106" s="1"/>
  <c r="B3374" i="106"/>
  <c r="D3374" i="106" s="1"/>
  <c r="B3376" i="106"/>
  <c r="D3376" i="106" s="1"/>
  <c r="B6849" i="106"/>
  <c r="D6849" i="106" s="1"/>
  <c r="B6850" i="106"/>
  <c r="D6850" i="106" s="1"/>
  <c r="B7252" i="106"/>
  <c r="D7252" i="106" s="1"/>
  <c r="B7253" i="106"/>
  <c r="D7253" i="106" s="1"/>
  <c r="B7254" i="106"/>
  <c r="D7254" i="106" s="1"/>
  <c r="B7255" i="106"/>
  <c r="D7255" i="106" s="1"/>
  <c r="B7256" i="106"/>
  <c r="D7256" i="106" s="1"/>
  <c r="B6851" i="106"/>
  <c r="D6851" i="106" s="1"/>
  <c r="B6852" i="106"/>
  <c r="D6852" i="106" s="1"/>
  <c r="B3056" i="106"/>
  <c r="D3056" i="106" s="1"/>
  <c r="B3057" i="106"/>
  <c r="D3057" i="106" s="1"/>
  <c r="B3058" i="106"/>
  <c r="D3058" i="106" s="1"/>
  <c r="B3059" i="106"/>
  <c r="D3059" i="106" s="1"/>
  <c r="B3060" i="106"/>
  <c r="D3060" i="106" s="1"/>
  <c r="B6854" i="106"/>
  <c r="D6854" i="106" s="1"/>
  <c r="B6855" i="106"/>
  <c r="D6855" i="106" s="1"/>
  <c r="B7258" i="106"/>
  <c r="D7258" i="106" s="1"/>
  <c r="B7259" i="106"/>
  <c r="D7259" i="106" s="1"/>
  <c r="B7260" i="106"/>
  <c r="D7260" i="106" s="1"/>
  <c r="B7261" i="106"/>
  <c r="D7261" i="106" s="1"/>
  <c r="B7262" i="106"/>
  <c r="D7262" i="106" s="1"/>
  <c r="B6856" i="106"/>
  <c r="D6856" i="106" s="1"/>
  <c r="B6857" i="106"/>
  <c r="D6857" i="106" s="1"/>
  <c r="B774" i="106"/>
  <c r="D774" i="106" s="1"/>
  <c r="B832" i="106"/>
  <c r="D832" i="106" s="1"/>
  <c r="B890" i="106"/>
  <c r="D890" i="106" s="1"/>
  <c r="B948" i="106"/>
  <c r="D948" i="106" s="1"/>
  <c r="B1006" i="106"/>
  <c r="D1006" i="106" s="1"/>
  <c r="B6859" i="106"/>
  <c r="D6859" i="106" s="1"/>
  <c r="B6860" i="106"/>
  <c r="D6860" i="106" s="1"/>
  <c r="B775" i="106"/>
  <c r="D775" i="106" s="1"/>
  <c r="B833" i="106"/>
  <c r="D833" i="106" s="1"/>
  <c r="B891" i="106"/>
  <c r="D891" i="106" s="1"/>
  <c r="B949" i="106"/>
  <c r="D949" i="106" s="1"/>
  <c r="B1007" i="106"/>
  <c r="D1007" i="106" s="1"/>
  <c r="B6861" i="106"/>
  <c r="D6861" i="106" s="1"/>
  <c r="B6862" i="106"/>
  <c r="D6862" i="106" s="1"/>
  <c r="B776" i="106"/>
  <c r="D776" i="106" s="1"/>
  <c r="B834" i="106"/>
  <c r="D834" i="106" s="1"/>
  <c r="B892" i="106"/>
  <c r="D892" i="106" s="1"/>
  <c r="B950" i="106"/>
  <c r="D950" i="106" s="1"/>
  <c r="B1008" i="106"/>
  <c r="D1008" i="106" s="1"/>
  <c r="B6863" i="106"/>
  <c r="D6863" i="106" s="1"/>
  <c r="B6864" i="106"/>
  <c r="D6864" i="106" s="1"/>
  <c r="B777" i="106"/>
  <c r="D777" i="106" s="1"/>
  <c r="B835" i="106"/>
  <c r="D835" i="106" s="1"/>
  <c r="B893" i="106"/>
  <c r="D893" i="106" s="1"/>
  <c r="B951" i="106"/>
  <c r="D951" i="106" s="1"/>
  <c r="B1009" i="106"/>
  <c r="D1009" i="106" s="1"/>
  <c r="B6865" i="106"/>
  <c r="D6865" i="106" s="1"/>
  <c r="B6866" i="106"/>
  <c r="D6866" i="106" s="1"/>
  <c r="B764" i="106"/>
  <c r="D764" i="106" s="1"/>
  <c r="B822" i="106"/>
  <c r="D822" i="106" s="1"/>
  <c r="B880" i="106"/>
  <c r="D880" i="106" s="1"/>
  <c r="B938" i="106"/>
  <c r="D938" i="106" s="1"/>
  <c r="B996" i="106"/>
  <c r="D996" i="106" s="1"/>
  <c r="B6867" i="106"/>
  <c r="D6867" i="106" s="1"/>
  <c r="B6868" i="106"/>
  <c r="D6868" i="106" s="1"/>
  <c r="B7264" i="106"/>
  <c r="D7264" i="106" s="1"/>
  <c r="B7265" i="106"/>
  <c r="D7265" i="106" s="1"/>
  <c r="B7266" i="106"/>
  <c r="D7266" i="106" s="1"/>
  <c r="B7267" i="106"/>
  <c r="D7267" i="106" s="1"/>
  <c r="B7268" i="106"/>
  <c r="D7268" i="106" s="1"/>
  <c r="B6869" i="106"/>
  <c r="D6869" i="106" s="1"/>
  <c r="B6870" i="106"/>
  <c r="D6870" i="106" s="1"/>
  <c r="B770" i="106"/>
  <c r="D770" i="106" s="1"/>
  <c r="B828" i="106"/>
  <c r="D828" i="106" s="1"/>
  <c r="B886" i="106"/>
  <c r="D886" i="106" s="1"/>
  <c r="B944" i="106"/>
  <c r="D944" i="106" s="1"/>
  <c r="B1002" i="106"/>
  <c r="D1002" i="106" s="1"/>
  <c r="B6872" i="106"/>
  <c r="D6872" i="106" s="1"/>
  <c r="B6873" i="106"/>
  <c r="D6873" i="106" s="1"/>
  <c r="B3369" i="106"/>
  <c r="D3369" i="106" s="1"/>
  <c r="B3371" i="106"/>
  <c r="D3371" i="106" s="1"/>
  <c r="B3373" i="106"/>
  <c r="D3373" i="106" s="1"/>
  <c r="B3375" i="106"/>
  <c r="D3375" i="106" s="1"/>
  <c r="B6875" i="106"/>
  <c r="D6875" i="106" s="1"/>
  <c r="B780" i="106"/>
  <c r="D780" i="106" s="1"/>
  <c r="B838" i="106"/>
  <c r="D838" i="106" s="1"/>
  <c r="B896" i="106"/>
  <c r="D896" i="106" s="1"/>
  <c r="B954" i="106"/>
  <c r="D954" i="106" s="1"/>
  <c r="B1012" i="106"/>
  <c r="D1012" i="106" s="1"/>
  <c r="B6906" i="106"/>
  <c r="D6906" i="106" s="1"/>
  <c r="B6907" i="106"/>
  <c r="D6907" i="106" s="1"/>
  <c r="B781" i="106"/>
  <c r="D781" i="106" s="1"/>
  <c r="B839" i="106"/>
  <c r="D839" i="106" s="1"/>
  <c r="B897" i="106"/>
  <c r="D897" i="106" s="1"/>
  <c r="B955" i="106"/>
  <c r="D955" i="106" s="1"/>
  <c r="B1013" i="106"/>
  <c r="D1013" i="106" s="1"/>
  <c r="B6908" i="106"/>
  <c r="D6908" i="106" s="1"/>
  <c r="B6909" i="106"/>
  <c r="D6909" i="106" s="1"/>
  <c r="B782" i="106"/>
  <c r="D782" i="106" s="1"/>
  <c r="B840" i="106"/>
  <c r="D840" i="106" s="1"/>
  <c r="B898" i="106"/>
  <c r="D898" i="106" s="1"/>
  <c r="B956" i="106"/>
  <c r="D956" i="106" s="1"/>
  <c r="B1014" i="106"/>
  <c r="D1014" i="106" s="1"/>
  <c r="B6910" i="106"/>
  <c r="D6910" i="106" s="1"/>
  <c r="B6911" i="106"/>
  <c r="D6911" i="106" s="1"/>
  <c r="B783" i="106"/>
  <c r="D783" i="106" s="1"/>
  <c r="B841" i="106"/>
  <c r="D841" i="106" s="1"/>
  <c r="B899" i="106"/>
  <c r="D899" i="106" s="1"/>
  <c r="B957" i="106"/>
  <c r="D957" i="106" s="1"/>
  <c r="B1015" i="106"/>
  <c r="D1015" i="106" s="1"/>
  <c r="B6912" i="106"/>
  <c r="D6912" i="106" s="1"/>
  <c r="B6913" i="106"/>
  <c r="D6913" i="106" s="1"/>
  <c r="B784" i="106"/>
  <c r="D784" i="106" s="1"/>
  <c r="B842" i="106"/>
  <c r="D842" i="106" s="1"/>
  <c r="B900" i="106"/>
  <c r="D900" i="106" s="1"/>
  <c r="B958" i="106"/>
  <c r="D958" i="106" s="1"/>
  <c r="B1016" i="106"/>
  <c r="D1016" i="106" s="1"/>
  <c r="B6914" i="106"/>
  <c r="D6914" i="106" s="1"/>
  <c r="B6915" i="106"/>
  <c r="D6915" i="106" s="1"/>
  <c r="B787" i="106"/>
  <c r="D787" i="106" s="1"/>
  <c r="B845" i="106"/>
  <c r="D845" i="106" s="1"/>
  <c r="B903" i="106"/>
  <c r="D903" i="106" s="1"/>
  <c r="B961" i="106"/>
  <c r="D961" i="106" s="1"/>
  <c r="B1019" i="106"/>
  <c r="D1019" i="106" s="1"/>
  <c r="B6920" i="106"/>
  <c r="D6920" i="106" s="1"/>
  <c r="B6921" i="106"/>
  <c r="D6921" i="106" s="1"/>
  <c r="B788" i="106"/>
  <c r="D788" i="106" s="1"/>
  <c r="B846" i="106"/>
  <c r="D846" i="106" s="1"/>
  <c r="B904" i="106"/>
  <c r="D904" i="106" s="1"/>
  <c r="B962" i="106"/>
  <c r="D962" i="106" s="1"/>
  <c r="B1020" i="106"/>
  <c r="D1020" i="106" s="1"/>
  <c r="B6922" i="106"/>
  <c r="D6922" i="106" s="1"/>
  <c r="B6923" i="106"/>
  <c r="D6923" i="106" s="1"/>
  <c r="B791" i="106"/>
  <c r="D791" i="106" s="1"/>
  <c r="B849" i="106"/>
  <c r="D849" i="106" s="1"/>
  <c r="B907" i="106"/>
  <c r="D907" i="106" s="1"/>
  <c r="B965" i="106"/>
  <c r="D965" i="106" s="1"/>
  <c r="B1023" i="106"/>
  <c r="D1023" i="106" s="1"/>
  <c r="B6928" i="106"/>
  <c r="D6928" i="106" s="1"/>
  <c r="B6929" i="106"/>
  <c r="D6929" i="106" s="1"/>
  <c r="B2719" i="106"/>
  <c r="D2719" i="106" s="1"/>
  <c r="B2720" i="106"/>
  <c r="D2720" i="106" s="1"/>
  <c r="B2721" i="106"/>
  <c r="D2721" i="106" s="1"/>
  <c r="B2722" i="106"/>
  <c r="D2722" i="106" s="1"/>
  <c r="B2723" i="106"/>
  <c r="D2723" i="106" s="1"/>
  <c r="B6930" i="106"/>
  <c r="D6930" i="106" s="1"/>
  <c r="B6931" i="106"/>
  <c r="D6931" i="106" s="1"/>
  <c r="B6933" i="106"/>
  <c r="D6933" i="106" s="1"/>
  <c r="B6934" i="106"/>
  <c r="D6934" i="106" s="1"/>
  <c r="B6935" i="106"/>
  <c r="D6935" i="106" s="1"/>
  <c r="B6936" i="106"/>
  <c r="D6936" i="106" s="1"/>
  <c r="B6937" i="106"/>
  <c r="D6937" i="106" s="1"/>
  <c r="B6938" i="106"/>
  <c r="D6938" i="106" s="1"/>
  <c r="B6939" i="106"/>
  <c r="D6939" i="106" s="1"/>
  <c r="B794" i="106"/>
  <c r="D794" i="106" s="1"/>
  <c r="B852" i="106"/>
  <c r="D852" i="106" s="1"/>
  <c r="B910" i="106"/>
  <c r="D910" i="106" s="1"/>
  <c r="B968" i="106"/>
  <c r="D968" i="106" s="1"/>
  <c r="B1026" i="106"/>
  <c r="D1026" i="106" s="1"/>
  <c r="B6946" i="106"/>
  <c r="D6946" i="106" s="1"/>
  <c r="B6947" i="106"/>
  <c r="D6947" i="106" s="1"/>
  <c r="B797" i="106"/>
  <c r="D797" i="106" s="1"/>
  <c r="B855" i="106"/>
  <c r="D855" i="106" s="1"/>
  <c r="B913" i="106"/>
  <c r="D913" i="106" s="1"/>
  <c r="B971" i="106"/>
  <c r="D971" i="106" s="1"/>
  <c r="B1029" i="106"/>
  <c r="D1029" i="106" s="1"/>
  <c r="B6952" i="106"/>
  <c r="D6952" i="106" s="1"/>
  <c r="B6953" i="106"/>
  <c r="D6953" i="106" s="1"/>
  <c r="B798" i="106"/>
  <c r="D798" i="106" s="1"/>
  <c r="B856" i="106"/>
  <c r="D856" i="106" s="1"/>
  <c r="B914" i="106"/>
  <c r="D914" i="106" s="1"/>
  <c r="B972" i="106"/>
  <c r="D972" i="106" s="1"/>
  <c r="B1030" i="106"/>
  <c r="D1030" i="106" s="1"/>
  <c r="B6954" i="106"/>
  <c r="D6954" i="106" s="1"/>
  <c r="B6955" i="106"/>
  <c r="D6955" i="106" s="1"/>
  <c r="B799" i="106"/>
  <c r="D799" i="106" s="1"/>
  <c r="B857" i="106"/>
  <c r="D857" i="106" s="1"/>
  <c r="B915" i="106"/>
  <c r="D915" i="106" s="1"/>
  <c r="B973" i="106"/>
  <c r="D973" i="106" s="1"/>
  <c r="B1031" i="106"/>
  <c r="D1031" i="106" s="1"/>
  <c r="B6956" i="106"/>
  <c r="D6956" i="106" s="1"/>
  <c r="B6957" i="106"/>
  <c r="D6957" i="106" s="1"/>
  <c r="B800" i="106"/>
  <c r="D800" i="106" s="1"/>
  <c r="B858" i="106"/>
  <c r="D858" i="106" s="1"/>
  <c r="B916" i="106"/>
  <c r="D916" i="106" s="1"/>
  <c r="B974" i="106"/>
  <c r="D974" i="106" s="1"/>
  <c r="B1032" i="106"/>
  <c r="D1032" i="106" s="1"/>
  <c r="B6958" i="106"/>
  <c r="D6958" i="106" s="1"/>
  <c r="B6959" i="106"/>
  <c r="D6959" i="106" s="1"/>
  <c r="B801" i="106"/>
  <c r="D801" i="106" s="1"/>
  <c r="B859" i="106"/>
  <c r="D859" i="106" s="1"/>
  <c r="B917" i="106"/>
  <c r="D917" i="106" s="1"/>
  <c r="B7707" i="106"/>
  <c r="D7707" i="106" s="1"/>
  <c r="B6960" i="106"/>
  <c r="D6960" i="106" s="1"/>
  <c r="B805" i="106"/>
  <c r="D805" i="106" s="1"/>
  <c r="B863" i="106"/>
  <c r="D863" i="106" s="1"/>
  <c r="B921" i="106"/>
  <c r="D921" i="106" s="1"/>
  <c r="B979" i="106"/>
  <c r="D979" i="106" s="1"/>
  <c r="B1037" i="106"/>
  <c r="D1037" i="106" s="1"/>
  <c r="B6965" i="106"/>
  <c r="D6965" i="106" s="1"/>
  <c r="B6966" i="106"/>
  <c r="D6966" i="106" s="1"/>
  <c r="B806" i="106"/>
  <c r="D806" i="106" s="1"/>
  <c r="B864" i="106"/>
  <c r="D864" i="106" s="1"/>
  <c r="B922" i="106"/>
  <c r="D922" i="106" s="1"/>
  <c r="B980" i="106"/>
  <c r="D980" i="106" s="1"/>
  <c r="B1038" i="106"/>
  <c r="D1038" i="106" s="1"/>
  <c r="B6967" i="106"/>
  <c r="D6967" i="106" s="1"/>
  <c r="B6968" i="106"/>
  <c r="D6968" i="106" s="1"/>
  <c r="B807" i="106"/>
  <c r="D807" i="106" s="1"/>
  <c r="B865" i="106"/>
  <c r="D865" i="106" s="1"/>
  <c r="B923" i="106"/>
  <c r="D923" i="106" s="1"/>
  <c r="B981" i="106"/>
  <c r="D981" i="106" s="1"/>
  <c r="B1039" i="106"/>
  <c r="D1039" i="106" s="1"/>
  <c r="B6969" i="106"/>
  <c r="D6969" i="106" s="1"/>
  <c r="B6970" i="106"/>
  <c r="D6970" i="106" s="1"/>
  <c r="B809" i="106"/>
  <c r="D809" i="106" s="1"/>
  <c r="B867" i="106"/>
  <c r="D867" i="106" s="1"/>
  <c r="B925" i="106"/>
  <c r="D925" i="106" s="1"/>
  <c r="B983" i="106"/>
  <c r="D983" i="106" s="1"/>
  <c r="B1041" i="106"/>
  <c r="D1041" i="106" s="1"/>
  <c r="B6971" i="106"/>
  <c r="D6971" i="106" s="1"/>
  <c r="B6972" i="106"/>
  <c r="D6972" i="106" s="1"/>
  <c r="B812" i="106"/>
  <c r="D812" i="106" s="1"/>
  <c r="B870" i="106"/>
  <c r="D870" i="106" s="1"/>
  <c r="B928" i="106"/>
  <c r="D928" i="106" s="1"/>
  <c r="B986" i="106"/>
  <c r="D986" i="106" s="1"/>
  <c r="B1044" i="106"/>
  <c r="D1044" i="106" s="1"/>
  <c r="B6975" i="106"/>
  <c r="D6975" i="106" s="1"/>
  <c r="B6976" i="106"/>
  <c r="D6976" i="106" s="1"/>
  <c r="B814" i="106"/>
  <c r="D814" i="106" s="1"/>
  <c r="B872" i="106"/>
  <c r="D872" i="106" s="1"/>
  <c r="B930" i="106"/>
  <c r="D930" i="106" s="1"/>
  <c r="B988" i="106"/>
  <c r="D988" i="106" s="1"/>
  <c r="B1046" i="106"/>
  <c r="D1046" i="106" s="1"/>
  <c r="B6979" i="106"/>
  <c r="D6979" i="106" s="1"/>
  <c r="B6980" i="106"/>
  <c r="D6980" i="106" s="1"/>
  <c r="B2956" i="106"/>
  <c r="D2956" i="106" s="1"/>
  <c r="B2957" i="106"/>
  <c r="D2957" i="106" s="1"/>
  <c r="B2958" i="106"/>
  <c r="D2958" i="106" s="1"/>
  <c r="B2959" i="106"/>
  <c r="D2959" i="106" s="1"/>
  <c r="B2960" i="106"/>
  <c r="D2960" i="106" s="1"/>
  <c r="B7009" i="106"/>
  <c r="D7009" i="106" s="1"/>
  <c r="B7014" i="106"/>
  <c r="D7014" i="106" s="1"/>
  <c r="B321" i="106"/>
  <c r="D321" i="106" s="1"/>
  <c r="B5012" i="106"/>
  <c r="D5012" i="106" s="1"/>
  <c r="B323" i="106"/>
  <c r="D323" i="106" s="1"/>
  <c r="B324" i="106"/>
  <c r="D324" i="106" s="1"/>
  <c r="B325" i="106"/>
  <c r="D325" i="106" s="1"/>
  <c r="B3530" i="106"/>
  <c r="D3530" i="106" s="1"/>
  <c r="B6290" i="106"/>
  <c r="D6290" i="106" s="1"/>
  <c r="B3228" i="106"/>
  <c r="D3228" i="106" s="1"/>
  <c r="B2794" i="106"/>
  <c r="D2794" i="106" s="1"/>
  <c r="B6240" i="106"/>
  <c r="D6240" i="106" s="1"/>
  <c r="B7651" i="106"/>
  <c r="D7651" i="106" s="1"/>
  <c r="B7654" i="106"/>
  <c r="D7654" i="106" s="1"/>
  <c r="B7657" i="106"/>
  <c r="D7657" i="106" s="1"/>
  <c r="B6243" i="106"/>
  <c r="D6243" i="106" s="1"/>
  <c r="B7660" i="106"/>
  <c r="D7660" i="106" s="1"/>
  <c r="B7663" i="106"/>
  <c r="D7663" i="106" s="1"/>
  <c r="B7666" i="106"/>
  <c r="D7666" i="106" s="1"/>
  <c r="B6246" i="106"/>
  <c r="D6246" i="106" s="1"/>
  <c r="B7669" i="106"/>
  <c r="D7669" i="106" s="1"/>
  <c r="B7671" i="106"/>
  <c r="D7671" i="106" s="1"/>
  <c r="B7673" i="106"/>
  <c r="D7673" i="106" s="1"/>
  <c r="B6248" i="106"/>
  <c r="D6248" i="106" s="1"/>
  <c r="B7675" i="106"/>
  <c r="D7675" i="106" s="1"/>
  <c r="B7677" i="106"/>
  <c r="D7677" i="106" s="1"/>
  <c r="B7679" i="106"/>
  <c r="D7679" i="106" s="1"/>
  <c r="B6250" i="106"/>
  <c r="D6250" i="106" s="1"/>
  <c r="B7681" i="106"/>
  <c r="D7681" i="106" s="1"/>
  <c r="B7683" i="106"/>
  <c r="D7683" i="106" s="1"/>
  <c r="B7685" i="106"/>
  <c r="D7685" i="106" s="1"/>
  <c r="B6252" i="106"/>
  <c r="D6252" i="106" s="1"/>
  <c r="B3230" i="106"/>
  <c r="D3230" i="106" s="1"/>
  <c r="B5875" i="106"/>
  <c r="D5875" i="106" s="1"/>
  <c r="B5876" i="106"/>
  <c r="D5876" i="106" s="1"/>
  <c r="B5877" i="106"/>
  <c r="D5877" i="106" s="1"/>
  <c r="B4879" i="106"/>
  <c r="D4879" i="106" s="1"/>
  <c r="B5888" i="106"/>
  <c r="D5888" i="106" s="1"/>
  <c r="B4887" i="106"/>
  <c r="D4887" i="106" s="1"/>
  <c r="B6376" i="106"/>
  <c r="D6376" i="106" s="1"/>
  <c r="B4920" i="106"/>
  <c r="D4920" i="106" s="1"/>
  <c r="B6393" i="106"/>
  <c r="D6393" i="106" s="1"/>
  <c r="B4328" i="106"/>
  <c r="D4328" i="106" s="1"/>
  <c r="B7706" i="106"/>
  <c r="D7706" i="106" s="1"/>
  <c r="B4797" i="106"/>
  <c r="D4797" i="106" s="1"/>
  <c r="B4948" i="106"/>
  <c r="D4948" i="106" s="1"/>
  <c r="B4811" i="106"/>
  <c r="D4811" i="106" s="1"/>
  <c r="B4814" i="106"/>
  <c r="D4814" i="106" s="1"/>
  <c r="B6631" i="106"/>
  <c r="D6631" i="106" s="1"/>
  <c r="B6639" i="106"/>
  <c r="D6639" i="106" s="1"/>
  <c r="B6647" i="106"/>
  <c r="D6647" i="106" s="1"/>
  <c r="B6655" i="106"/>
  <c r="D6655" i="106" s="1"/>
  <c r="B6663" i="106"/>
  <c r="D6663" i="106" s="1"/>
  <c r="B6671" i="106"/>
  <c r="D6671" i="106" s="1"/>
  <c r="B6679" i="106"/>
  <c r="D6679" i="106" s="1"/>
  <c r="B6687" i="106"/>
  <c r="D6687" i="106" s="1"/>
  <c r="B6701" i="106"/>
  <c r="D6701" i="106" s="1"/>
  <c r="B6709" i="106"/>
  <c r="D6709" i="106" s="1"/>
  <c r="B6717" i="106"/>
  <c r="D6717" i="106" s="1"/>
  <c r="B6725" i="106"/>
  <c r="D6725" i="106" s="1"/>
  <c r="B6734" i="106"/>
  <c r="D6734" i="106" s="1"/>
  <c r="B6742" i="106"/>
  <c r="D6742" i="106" s="1"/>
  <c r="B6750" i="106"/>
  <c r="D6750" i="106" s="1"/>
  <c r="B6758" i="106"/>
  <c r="D6758" i="106" s="1"/>
  <c r="B6766" i="106"/>
  <c r="D6766" i="106" s="1"/>
  <c r="B6774" i="106"/>
  <c r="D6774" i="106" s="1"/>
  <c r="B6782" i="106"/>
  <c r="D6782" i="106" s="1"/>
  <c r="B6790" i="106"/>
  <c r="D6790" i="106" s="1"/>
  <c r="B6798" i="106"/>
  <c r="D6798" i="106" s="1"/>
  <c r="B6806" i="106"/>
  <c r="D6806" i="106" s="1"/>
  <c r="B6814" i="106"/>
  <c r="D6814" i="106" s="1"/>
  <c r="B6822" i="106"/>
  <c r="D6822" i="106" s="1"/>
  <c r="B6830" i="106"/>
  <c r="D6830" i="106" s="1"/>
  <c r="B4865" i="106"/>
  <c r="D4865" i="106" s="1"/>
  <c r="B1528" i="106"/>
  <c r="D1528" i="106" s="1"/>
  <c r="B1534" i="106"/>
  <c r="D1534" i="106" s="1"/>
  <c r="B1540" i="106"/>
  <c r="D1540" i="106" s="1"/>
  <c r="B1546" i="106"/>
  <c r="D1546" i="106" s="1"/>
  <c r="B1552" i="106"/>
  <c r="D1552" i="106" s="1"/>
  <c r="B7101" i="106"/>
  <c r="D7101" i="106" s="1"/>
  <c r="B7102" i="106"/>
  <c r="D7102" i="106" s="1"/>
  <c r="B7109" i="106"/>
  <c r="D7109" i="106" s="1"/>
  <c r="B7111" i="106"/>
  <c r="D7111" i="106" s="1"/>
  <c r="B7113" i="106"/>
  <c r="D7113" i="106" s="1"/>
  <c r="B3493" i="106"/>
  <c r="D3493" i="106" s="1"/>
  <c r="B2769" i="106"/>
  <c r="D2769" i="106" s="1"/>
  <c r="B618" i="106"/>
  <c r="D618" i="106" s="1"/>
  <c r="B619" i="106"/>
  <c r="D619" i="106" s="1"/>
  <c r="B620" i="106"/>
  <c r="D620" i="106" s="1"/>
  <c r="B3534" i="106"/>
  <c r="D3534" i="106" s="1"/>
  <c r="B6295" i="106"/>
  <c r="D6295" i="106" s="1"/>
  <c r="B3295" i="106"/>
  <c r="D3295" i="106" s="1"/>
  <c r="B7653" i="106"/>
  <c r="D7653" i="106" s="1"/>
  <c r="B7656" i="106"/>
  <c r="D7656" i="106" s="1"/>
  <c r="B7659" i="106"/>
  <c r="D7659" i="106" s="1"/>
  <c r="B7662" i="106"/>
  <c r="D7662" i="106" s="1"/>
  <c r="B7665" i="106"/>
  <c r="D7665" i="106" s="1"/>
  <c r="B7668" i="106"/>
  <c r="D7668" i="106" s="1"/>
  <c r="B6256" i="106"/>
  <c r="D6256" i="106" s="1"/>
  <c r="B3297" i="106"/>
  <c r="D3297" i="106" s="1"/>
  <c r="B129" i="106"/>
  <c r="D129" i="106" s="1"/>
  <c r="B6177" i="106"/>
  <c r="D6177" i="106" s="1"/>
  <c r="B6170" i="106"/>
  <c r="D6170" i="106" s="1"/>
  <c r="B6161" i="106"/>
  <c r="D6161" i="106" s="1"/>
  <c r="B86" i="106"/>
  <c r="D86" i="106" s="1"/>
  <c r="B173" i="106"/>
  <c r="D173" i="106" s="1"/>
  <c r="B6094" i="106"/>
  <c r="D6094" i="106" s="1"/>
  <c r="B6117" i="106"/>
  <c r="D6117" i="106" s="1"/>
  <c r="B179" i="106"/>
  <c r="D179" i="106" s="1"/>
  <c r="B6137" i="106"/>
  <c r="D6137" i="106" s="1"/>
  <c r="B6146" i="106"/>
  <c r="D6146" i="106" s="1"/>
  <c r="B6155" i="106"/>
  <c r="D6155" i="106" s="1"/>
  <c r="B6164" i="106"/>
  <c r="D6164" i="106" s="1"/>
  <c r="B6173" i="106"/>
  <c r="D6173" i="106" s="1"/>
  <c r="B184" i="106"/>
  <c r="D184" i="106" s="1"/>
  <c r="B185" i="106"/>
  <c r="D185" i="106" s="1"/>
  <c r="B6219" i="106"/>
  <c r="D6219" i="106" s="1"/>
  <c r="B6123" i="106"/>
  <c r="D6123" i="106" s="1"/>
  <c r="B6140" i="106"/>
  <c r="D6140" i="106" s="1"/>
  <c r="B6149" i="106"/>
  <c r="D6149" i="106" s="1"/>
  <c r="B6158" i="106"/>
  <c r="D6158" i="106" s="1"/>
  <c r="B6167" i="106"/>
  <c r="D6167" i="106" s="1"/>
  <c r="B6180" i="106"/>
  <c r="D6180" i="106" s="1"/>
  <c r="B6181" i="106"/>
  <c r="D6181" i="106" s="1"/>
  <c r="B6168" i="106"/>
  <c r="D6168" i="106" s="1"/>
  <c r="B6159" i="106"/>
  <c r="D6159" i="106" s="1"/>
  <c r="B6141" i="106"/>
  <c r="D6141" i="106" s="1"/>
  <c r="B3561" i="106"/>
  <c r="D3561" i="106" s="1"/>
  <c r="B3551" i="106"/>
  <c r="D3551" i="106" s="1"/>
  <c r="B6121" i="106"/>
  <c r="D6121" i="106" s="1"/>
  <c r="B3549" i="106"/>
  <c r="D3549" i="106" s="1"/>
  <c r="B3548" i="106"/>
  <c r="D3548" i="106" s="1"/>
  <c r="B6166" i="106"/>
  <c r="D6166" i="106" s="1"/>
  <c r="B6157" i="106"/>
  <c r="D6157" i="106" s="1"/>
  <c r="B6148" i="106"/>
  <c r="D6148" i="106" s="1"/>
  <c r="B2880" i="106"/>
  <c r="D2880" i="106" s="1"/>
  <c r="B208" i="106"/>
  <c r="D208" i="106" s="1"/>
  <c r="B206" i="106"/>
  <c r="D206" i="106" s="1"/>
  <c r="B6174" i="106"/>
  <c r="D6174" i="106" s="1"/>
  <c r="B6165" i="106"/>
  <c r="D6165" i="106" s="1"/>
  <c r="B6138" i="106"/>
  <c r="D6138" i="106" s="1"/>
  <c r="B6147" i="106"/>
  <c r="D6147" i="106" s="1"/>
  <c r="B6156" i="106"/>
  <c r="D6156" i="106" s="1"/>
  <c r="B198" i="106"/>
  <c r="D198" i="106" s="1"/>
  <c r="B6095" i="106"/>
  <c r="D6095" i="106" s="1"/>
  <c r="B3519" i="106"/>
  <c r="D3519" i="106" s="1"/>
  <c r="B166" i="106"/>
  <c r="D166" i="106" s="1"/>
  <c r="B164" i="106"/>
  <c r="D164" i="106" s="1"/>
  <c r="B6172" i="106"/>
  <c r="D6172" i="106" s="1"/>
  <c r="B6163" i="106"/>
  <c r="D6163" i="106" s="1"/>
  <c r="B6154" i="106"/>
  <c r="D6154" i="106" s="1"/>
  <c r="B6145" i="106"/>
  <c r="D6145" i="106" s="1"/>
  <c r="B6136" i="106"/>
  <c r="D6136" i="106" s="1"/>
  <c r="B156" i="106"/>
  <c r="D156" i="106" s="1"/>
  <c r="B6116" i="106"/>
  <c r="D6116" i="106" s="1"/>
  <c r="B152" i="106"/>
  <c r="D152" i="106" s="1"/>
  <c r="B6102" i="106"/>
  <c r="D6102" i="106" s="1"/>
  <c r="B6093" i="106"/>
  <c r="D6093" i="106" s="1"/>
  <c r="B6084" i="106"/>
  <c r="D6084" i="106" s="1"/>
  <c r="B6162" i="106"/>
  <c r="D6162" i="106" s="1"/>
  <c r="B6144" i="106"/>
  <c r="D6144" i="106" s="1"/>
  <c r="B6135" i="106"/>
  <c r="D6135" i="106" s="1"/>
  <c r="B126" i="106"/>
  <c r="D126" i="106" s="1"/>
  <c r="B6152" i="106"/>
  <c r="D6152" i="106" s="1"/>
  <c r="B6143" i="106"/>
  <c r="D6143" i="106" s="1"/>
  <c r="B6134" i="106"/>
  <c r="D6134" i="106" s="1"/>
  <c r="B108" i="106"/>
  <c r="D108" i="106" s="1"/>
  <c r="B6114" i="106"/>
  <c r="D6114" i="106" s="1"/>
  <c r="B104" i="106"/>
  <c r="D104" i="106" s="1"/>
  <c r="B6100" i="106"/>
  <c r="D6100" i="106" s="1"/>
  <c r="B6091" i="106"/>
  <c r="D6091" i="106" s="1"/>
  <c r="B6082" i="106"/>
  <c r="D6082" i="106" s="1"/>
  <c r="B97" i="106"/>
  <c r="D97" i="106" s="1"/>
  <c r="B88" i="106"/>
  <c r="D88" i="106" s="1"/>
  <c r="B6169" i="106"/>
  <c r="D6169" i="106" s="1"/>
  <c r="B6160" i="106"/>
  <c r="D6160" i="106" s="1"/>
  <c r="B6151" i="106"/>
  <c r="D6151" i="106" s="1"/>
  <c r="B6142" i="106"/>
  <c r="D6142" i="106" s="1"/>
  <c r="B6133" i="106"/>
  <c r="D6133" i="106" s="1"/>
  <c r="B76" i="106"/>
  <c r="D76" i="106" s="1"/>
  <c r="B72" i="106"/>
  <c r="D72" i="106" s="1"/>
  <c r="B6099" i="106"/>
  <c r="D6099" i="106" s="1"/>
  <c r="B6090" i="106"/>
  <c r="D6090" i="106" s="1"/>
  <c r="B6081" i="106"/>
  <c r="D6081" i="106" s="1"/>
  <c r="B65" i="106"/>
  <c r="D65" i="106" s="1"/>
  <c r="B6182" i="106"/>
  <c r="D6182" i="106" s="1"/>
  <c r="B117" i="106"/>
  <c r="D117" i="106" s="1"/>
  <c r="B119" i="106"/>
  <c r="D119" i="106" s="1"/>
  <c r="B130" i="106"/>
  <c r="D130" i="106" s="1"/>
  <c r="B6118" i="106"/>
  <c r="D6118" i="106" s="1"/>
  <c r="B202" i="106"/>
  <c r="D202" i="106" s="1"/>
  <c r="B6119" i="106"/>
  <c r="D6119" i="106" s="1"/>
  <c r="B2887" i="106"/>
  <c r="D2887" i="106" s="1"/>
  <c r="B2908" i="106"/>
  <c r="D2908" i="106" s="1"/>
  <c r="L357" i="29"/>
  <c r="L160" i="29"/>
  <c r="B134" i="106"/>
  <c r="D134" i="106" s="1"/>
  <c r="B73" i="106"/>
  <c r="D73" i="106" s="1"/>
  <c r="B6153" i="106"/>
  <c r="D6153" i="106" s="1"/>
  <c r="B177" i="106"/>
  <c r="D177" i="106" s="1"/>
  <c r="B153" i="106"/>
  <c r="D153" i="106" s="1"/>
  <c r="B6218" i="106"/>
  <c r="D6218" i="106" s="1"/>
  <c r="B3550" i="106"/>
  <c r="D3550" i="106" s="1"/>
  <c r="B2885" i="106"/>
  <c r="D2885" i="106" s="1"/>
  <c r="B105" i="106"/>
  <c r="D105" i="106" s="1"/>
  <c r="B199" i="106"/>
  <c r="D199" i="106" s="1"/>
  <c r="B6176" i="106"/>
  <c r="D6176" i="106" s="1"/>
  <c r="L243" i="29" l="1"/>
  <c r="L137" i="29"/>
  <c r="L139" i="29" s="1"/>
  <c r="L285" i="29"/>
  <c r="L110" i="29"/>
  <c r="L112" i="29" s="1"/>
  <c r="L92" i="29"/>
  <c r="L340" i="29"/>
  <c r="L261" i="29"/>
  <c r="L238" i="29"/>
  <c r="L257" i="29"/>
  <c r="L100" i="29"/>
  <c r="B2791" i="106"/>
  <c r="D2791" i="106" s="1"/>
  <c r="K107" i="29"/>
  <c r="B2795" i="106" s="1"/>
  <c r="D2795" i="106" s="1"/>
  <c r="K97" i="29"/>
  <c r="B7005" i="106" s="1"/>
  <c r="D7005" i="106" s="1"/>
  <c r="B7004" i="106"/>
  <c r="D7004" i="106" s="1"/>
  <c r="B6987" i="106"/>
  <c r="D6987" i="106" s="1"/>
  <c r="K88" i="29"/>
  <c r="B6988" i="106" s="1"/>
  <c r="D6988" i="106" s="1"/>
  <c r="B6964" i="106"/>
  <c r="D6964" i="106" s="1"/>
  <c r="J72" i="29"/>
  <c r="B6974" i="106" s="1"/>
  <c r="D6974" i="106" s="1"/>
  <c r="B6951" i="106"/>
  <c r="D6951" i="106" s="1"/>
  <c r="J65" i="29"/>
  <c r="B6962" i="106" s="1"/>
  <c r="D6962" i="106" s="1"/>
  <c r="J57" i="29"/>
  <c r="B6949" i="106" s="1"/>
  <c r="D6949" i="106" s="1"/>
  <c r="B6945" i="106"/>
  <c r="D6945" i="106" s="1"/>
  <c r="B6927" i="106"/>
  <c r="D6927" i="106" s="1"/>
  <c r="J53" i="29"/>
  <c r="B6943" i="106" s="1"/>
  <c r="D6943" i="106" s="1"/>
  <c r="J47" i="29"/>
  <c r="B6925" i="106" s="1"/>
  <c r="D6925" i="106" s="1"/>
  <c r="B6919" i="106"/>
  <c r="D6919" i="106" s="1"/>
  <c r="B6905" i="106"/>
  <c r="D6905" i="106" s="1"/>
  <c r="J42" i="29"/>
  <c r="B6900" i="106"/>
  <c r="D6900" i="106" s="1"/>
  <c r="K32" i="29"/>
  <c r="B6884" i="106"/>
  <c r="D6884" i="106" s="1"/>
  <c r="K24" i="29"/>
  <c r="B5088" i="106"/>
  <c r="D5088" i="106" s="1"/>
  <c r="B5067" i="106"/>
  <c r="D5067" i="106" s="1"/>
  <c r="C18" i="5"/>
  <c r="B5071" i="106" s="1"/>
  <c r="D5071" i="106" s="1"/>
  <c r="B6941" i="106"/>
  <c r="D6941" i="106" s="1"/>
  <c r="C76" i="4"/>
  <c r="B3231" i="106" s="1"/>
  <c r="D3231" i="106" s="1"/>
  <c r="B5022" i="106"/>
  <c r="D5022" i="106" s="1"/>
  <c r="K106" i="29"/>
  <c r="B1147" i="106" s="1"/>
  <c r="D1147" i="106" s="1"/>
  <c r="B1049" i="106"/>
  <c r="D1049" i="106" s="1"/>
  <c r="K96" i="29"/>
  <c r="B7003" i="106" s="1"/>
  <c r="D7003" i="106" s="1"/>
  <c r="B7002" i="106"/>
  <c r="D7002" i="106" s="1"/>
  <c r="B6985" i="106"/>
  <c r="D6985" i="106" s="1"/>
  <c r="K87" i="29"/>
  <c r="B6986" i="106" s="1"/>
  <c r="D6986" i="106" s="1"/>
  <c r="B2952" i="106"/>
  <c r="D2952" i="106" s="1"/>
  <c r="K81" i="29"/>
  <c r="B2976" i="106" s="1"/>
  <c r="D2976" i="106" s="1"/>
  <c r="B6963" i="106"/>
  <c r="D6963" i="106" s="1"/>
  <c r="I72" i="29"/>
  <c r="B6973" i="106" s="1"/>
  <c r="D6973" i="106" s="1"/>
  <c r="B6950" i="106"/>
  <c r="D6950" i="106" s="1"/>
  <c r="I65" i="29"/>
  <c r="B6961" i="106" s="1"/>
  <c r="D6961" i="106" s="1"/>
  <c r="B6944" i="106"/>
  <c r="D6944" i="106" s="1"/>
  <c r="I57" i="29"/>
  <c r="B6948" i="106" s="1"/>
  <c r="D6948" i="106" s="1"/>
  <c r="B6926" i="106"/>
  <c r="D6926" i="106" s="1"/>
  <c r="I53" i="29"/>
  <c r="B6942" i="106" s="1"/>
  <c r="D6942" i="106" s="1"/>
  <c r="B6918" i="106"/>
  <c r="D6918" i="106" s="1"/>
  <c r="I47" i="29"/>
  <c r="B6924" i="106" s="1"/>
  <c r="D6924" i="106" s="1"/>
  <c r="B6904" i="106"/>
  <c r="D6904" i="106" s="1"/>
  <c r="I42" i="29"/>
  <c r="K31" i="29"/>
  <c r="B6898" i="106"/>
  <c r="D6898" i="106" s="1"/>
  <c r="B6882" i="106"/>
  <c r="D6882" i="106" s="1"/>
  <c r="K23" i="29"/>
  <c r="B879" i="106"/>
  <c r="D879" i="106" s="1"/>
  <c r="F33" i="29"/>
  <c r="F162" i="34"/>
  <c r="B7761" i="106"/>
  <c r="D7761" i="106" s="1"/>
  <c r="B5063" i="106"/>
  <c r="D5063" i="106" s="1"/>
  <c r="K6" i="29"/>
  <c r="B7763" i="106" s="1"/>
  <c r="D7763" i="106" s="1"/>
  <c r="B7762" i="106"/>
  <c r="D7762" i="106" s="1"/>
  <c r="B1048" i="106"/>
  <c r="D1048" i="106" s="1"/>
  <c r="K105" i="29"/>
  <c r="K95" i="29"/>
  <c r="B7001" i="106" s="1"/>
  <c r="D7001" i="106" s="1"/>
  <c r="B7000" i="106"/>
  <c r="D7000" i="106" s="1"/>
  <c r="K86" i="29"/>
  <c r="B6984" i="106" s="1"/>
  <c r="D6984" i="106" s="1"/>
  <c r="B6983" i="106"/>
  <c r="D6983" i="106" s="1"/>
  <c r="H72" i="29"/>
  <c r="B1043" i="106" s="1"/>
  <c r="D1043" i="106" s="1"/>
  <c r="B1036" i="106"/>
  <c r="D1036" i="106" s="1"/>
  <c r="B975" i="106"/>
  <c r="D975" i="106" s="1"/>
  <c r="B1033" i="106"/>
  <c r="D1033" i="106" s="1"/>
  <c r="B1028" i="106"/>
  <c r="D1028" i="106" s="1"/>
  <c r="H57" i="29"/>
  <c r="B1027" i="106" s="1"/>
  <c r="D1027" i="106" s="1"/>
  <c r="B1025" i="106"/>
  <c r="D1025" i="106" s="1"/>
  <c r="B1022" i="106"/>
  <c r="D1022" i="106" s="1"/>
  <c r="H53" i="29"/>
  <c r="B1024" i="106" s="1"/>
  <c r="D1024" i="106" s="1"/>
  <c r="B1018" i="106"/>
  <c r="D1018" i="106" s="1"/>
  <c r="H47" i="29"/>
  <c r="B1021" i="106" s="1"/>
  <c r="D1021" i="106" s="1"/>
  <c r="B1011" i="106"/>
  <c r="D1011" i="106" s="1"/>
  <c r="H42" i="29"/>
  <c r="B6896" i="106"/>
  <c r="D6896" i="106" s="1"/>
  <c r="K30" i="29"/>
  <c r="B6880" i="106"/>
  <c r="D6880" i="106" s="1"/>
  <c r="K22" i="29"/>
  <c r="B821" i="106"/>
  <c r="D821" i="106" s="1"/>
  <c r="E33" i="29"/>
  <c r="F98" i="34"/>
  <c r="B5107" i="106"/>
  <c r="D5107" i="106" s="1"/>
  <c r="B7748" i="106"/>
  <c r="D7748" i="106" s="1"/>
  <c r="K94" i="29"/>
  <c r="B6999" i="106" s="1"/>
  <c r="D6999" i="106" s="1"/>
  <c r="B6998" i="106"/>
  <c r="D6998" i="106" s="1"/>
  <c r="H92" i="29"/>
  <c r="B6981" i="106"/>
  <c r="D6981" i="106" s="1"/>
  <c r="K85" i="29"/>
  <c r="B6982" i="106" s="1"/>
  <c r="D6982" i="106" s="1"/>
  <c r="K80" i="29"/>
  <c r="B2975" i="106" s="1"/>
  <c r="D2975" i="106" s="1"/>
  <c r="B2951" i="106"/>
  <c r="D2951" i="106" s="1"/>
  <c r="B978" i="106"/>
  <c r="D978" i="106" s="1"/>
  <c r="G72" i="29"/>
  <c r="B985" i="106" s="1"/>
  <c r="D985" i="106" s="1"/>
  <c r="B970" i="106"/>
  <c r="D970" i="106" s="1"/>
  <c r="G57" i="29"/>
  <c r="B969" i="106" s="1"/>
  <c r="D969" i="106" s="1"/>
  <c r="B967" i="106"/>
  <c r="D967" i="106" s="1"/>
  <c r="B964" i="106"/>
  <c r="D964" i="106" s="1"/>
  <c r="G53" i="29"/>
  <c r="B966" i="106" s="1"/>
  <c r="D966" i="106" s="1"/>
  <c r="B960" i="106"/>
  <c r="D960" i="106" s="1"/>
  <c r="G47" i="29"/>
  <c r="B963" i="106" s="1"/>
  <c r="D963" i="106" s="1"/>
  <c r="G42" i="29"/>
  <c r="B953" i="106"/>
  <c r="D953" i="106" s="1"/>
  <c r="B6894" i="106"/>
  <c r="D6894" i="106" s="1"/>
  <c r="K29" i="29"/>
  <c r="B6878" i="106"/>
  <c r="D6878" i="106" s="1"/>
  <c r="K21" i="29"/>
  <c r="B763" i="106"/>
  <c r="D763" i="106" s="1"/>
  <c r="D33" i="29"/>
  <c r="B2947" i="106"/>
  <c r="D2947" i="106" s="1"/>
  <c r="K101" i="29"/>
  <c r="B7015" i="106" s="1"/>
  <c r="D7015" i="106" s="1"/>
  <c r="H100" i="29"/>
  <c r="B7012" i="106" s="1"/>
  <c r="D7012" i="106" s="1"/>
  <c r="B6996" i="106"/>
  <c r="D6996" i="106" s="1"/>
  <c r="K93" i="29"/>
  <c r="B920" i="106"/>
  <c r="D920" i="106" s="1"/>
  <c r="F72" i="29"/>
  <c r="B927" i="106" s="1"/>
  <c r="D927" i="106" s="1"/>
  <c r="F65" i="29"/>
  <c r="B919" i="106" s="1"/>
  <c r="D919" i="106" s="1"/>
  <c r="B912" i="106"/>
  <c r="D912" i="106" s="1"/>
  <c r="B909" i="106"/>
  <c r="D909" i="106" s="1"/>
  <c r="F57" i="29"/>
  <c r="B911" i="106" s="1"/>
  <c r="D911" i="106" s="1"/>
  <c r="B906" i="106"/>
  <c r="D906" i="106" s="1"/>
  <c r="F53" i="29"/>
  <c r="B908" i="106" s="1"/>
  <c r="D908" i="106" s="1"/>
  <c r="B902" i="106"/>
  <c r="D902" i="106" s="1"/>
  <c r="F47" i="29"/>
  <c r="B905" i="106" s="1"/>
  <c r="D905" i="106" s="1"/>
  <c r="F42" i="29"/>
  <c r="B895" i="106"/>
  <c r="D895" i="106" s="1"/>
  <c r="B6892" i="106"/>
  <c r="D6892" i="106" s="1"/>
  <c r="K28" i="29"/>
  <c r="B6876" i="106"/>
  <c r="D6876" i="106" s="1"/>
  <c r="K20" i="29"/>
  <c r="B3367" i="106"/>
  <c r="D3367" i="106" s="1"/>
  <c r="B712" i="106"/>
  <c r="D712" i="106" s="1"/>
  <c r="K18" i="29"/>
  <c r="B1100" i="106" s="1"/>
  <c r="D1100" i="106" s="1"/>
  <c r="B7263" i="106"/>
  <c r="D7263" i="106" s="1"/>
  <c r="K17" i="29"/>
  <c r="B6871" i="106" s="1"/>
  <c r="D6871" i="106" s="1"/>
  <c r="K16" i="29"/>
  <c r="B1094" i="106" s="1"/>
  <c r="D1094" i="106" s="1"/>
  <c r="B706" i="106"/>
  <c r="D706" i="106" s="1"/>
  <c r="B719" i="106"/>
  <c r="D719" i="106" s="1"/>
  <c r="K15" i="29"/>
  <c r="B718" i="106"/>
  <c r="D718" i="106" s="1"/>
  <c r="K14" i="29"/>
  <c r="B1106" i="106" s="1"/>
  <c r="D1106" i="106" s="1"/>
  <c r="B717" i="106"/>
  <c r="D717" i="106" s="1"/>
  <c r="K13" i="29"/>
  <c r="B1105" i="106" s="1"/>
  <c r="D1105" i="106" s="1"/>
  <c r="B716" i="106"/>
  <c r="D716" i="106" s="1"/>
  <c r="K12" i="29"/>
  <c r="B7257" i="106"/>
  <c r="D7257" i="106" s="1"/>
  <c r="K11" i="29"/>
  <c r="B3055" i="106"/>
  <c r="D3055" i="106" s="1"/>
  <c r="K10" i="29"/>
  <c r="B3062" i="106" s="1"/>
  <c r="D3062" i="106" s="1"/>
  <c r="B7251" i="106"/>
  <c r="D7251" i="106" s="1"/>
  <c r="K9" i="29"/>
  <c r="K8" i="29"/>
  <c r="B3380" i="106" s="1"/>
  <c r="D3380" i="106" s="1"/>
  <c r="B3366" i="106"/>
  <c r="D3366" i="106" s="1"/>
  <c r="B6727" i="106"/>
  <c r="D6727" i="106" s="1"/>
  <c r="K7" i="29"/>
  <c r="B705" i="106"/>
  <c r="D705" i="106" s="1"/>
  <c r="C33" i="29"/>
  <c r="B5072" i="106"/>
  <c r="D5072" i="106" s="1"/>
  <c r="C40" i="5"/>
  <c r="B5087" i="106" s="1"/>
  <c r="D5087" i="106" s="1"/>
  <c r="B6125" i="106"/>
  <c r="D6125" i="106" s="1"/>
  <c r="C34" i="3"/>
  <c r="B7016" i="106"/>
  <c r="D7016" i="106" s="1"/>
  <c r="K111" i="29"/>
  <c r="B7017" i="106" s="1"/>
  <c r="D7017" i="106" s="1"/>
  <c r="B6993" i="106"/>
  <c r="D6993" i="106" s="1"/>
  <c r="K91" i="29"/>
  <c r="B6994" i="106" s="1"/>
  <c r="D6994" i="106" s="1"/>
  <c r="K83" i="29"/>
  <c r="B2978" i="106" s="1"/>
  <c r="D2978" i="106" s="1"/>
  <c r="B2954" i="106"/>
  <c r="D2954" i="106" s="1"/>
  <c r="K79" i="29"/>
  <c r="B2974" i="106" s="1"/>
  <c r="D2974" i="106" s="1"/>
  <c r="B2950" i="106"/>
  <c r="D2950" i="106" s="1"/>
  <c r="E72" i="29"/>
  <c r="B869" i="106" s="1"/>
  <c r="D869" i="106" s="1"/>
  <c r="B862" i="106"/>
  <c r="D862" i="106" s="1"/>
  <c r="E65" i="29"/>
  <c r="B861" i="106" s="1"/>
  <c r="D861" i="106" s="1"/>
  <c r="B854" i="106"/>
  <c r="D854" i="106" s="1"/>
  <c r="E57" i="29"/>
  <c r="B853" i="106" s="1"/>
  <c r="D853" i="106" s="1"/>
  <c r="B851" i="106"/>
  <c r="D851" i="106" s="1"/>
  <c r="B848" i="106"/>
  <c r="D848" i="106" s="1"/>
  <c r="E53" i="29"/>
  <c r="B850" i="106" s="1"/>
  <c r="D850" i="106" s="1"/>
  <c r="B844" i="106"/>
  <c r="D844" i="106" s="1"/>
  <c r="E47" i="29"/>
  <c r="B847" i="106" s="1"/>
  <c r="D847" i="106" s="1"/>
  <c r="B837" i="106"/>
  <c r="D837" i="106" s="1"/>
  <c r="E42" i="29"/>
  <c r="K27" i="29"/>
  <c r="B6890" i="106"/>
  <c r="D6890" i="106" s="1"/>
  <c r="B6845" i="106"/>
  <c r="D6845" i="106" s="1"/>
  <c r="J33" i="29"/>
  <c r="C18" i="4"/>
  <c r="B4131" i="106" s="1"/>
  <c r="D4131" i="106" s="1"/>
  <c r="D78" i="36"/>
  <c r="B4113" i="106"/>
  <c r="D4113" i="106" s="1"/>
  <c r="B5163" i="106"/>
  <c r="D5163" i="106" s="1"/>
  <c r="B1051" i="106"/>
  <c r="D1051" i="106" s="1"/>
  <c r="K109" i="29"/>
  <c r="B1149" i="106" s="1"/>
  <c r="D1149" i="106" s="1"/>
  <c r="E100" i="29"/>
  <c r="B7011" i="106" s="1"/>
  <c r="D7011" i="106" s="1"/>
  <c r="B7008" i="106"/>
  <c r="D7008" i="106" s="1"/>
  <c r="K99" i="29"/>
  <c r="B7010" i="106" s="1"/>
  <c r="D7010" i="106" s="1"/>
  <c r="K90" i="29"/>
  <c r="B6992" i="106" s="1"/>
  <c r="D6992" i="106" s="1"/>
  <c r="B6991" i="106"/>
  <c r="D6991" i="106" s="1"/>
  <c r="B2955" i="106"/>
  <c r="D2955" i="106" s="1"/>
  <c r="H84" i="29"/>
  <c r="D72" i="29"/>
  <c r="B811" i="106" s="1"/>
  <c r="D811" i="106" s="1"/>
  <c r="B804" i="106"/>
  <c r="D804" i="106" s="1"/>
  <c r="D65" i="29"/>
  <c r="B803" i="106" s="1"/>
  <c r="D803" i="106" s="1"/>
  <c r="B796" i="106"/>
  <c r="D796" i="106" s="1"/>
  <c r="B793" i="106"/>
  <c r="D793" i="106" s="1"/>
  <c r="D57" i="29"/>
  <c r="B795" i="106" s="1"/>
  <c r="D795" i="106" s="1"/>
  <c r="D53" i="29"/>
  <c r="B792" i="106" s="1"/>
  <c r="D792" i="106" s="1"/>
  <c r="B790" i="106"/>
  <c r="D790" i="106" s="1"/>
  <c r="B786" i="106"/>
  <c r="D786" i="106" s="1"/>
  <c r="D47" i="29"/>
  <c r="B789" i="106" s="1"/>
  <c r="D789" i="106" s="1"/>
  <c r="B779" i="106"/>
  <c r="D779" i="106" s="1"/>
  <c r="D42" i="29"/>
  <c r="B6888" i="106"/>
  <c r="D6888" i="106" s="1"/>
  <c r="K26" i="29"/>
  <c r="B6844" i="106"/>
  <c r="D6844" i="106" s="1"/>
  <c r="B6031" i="106"/>
  <c r="D6031" i="106" s="1"/>
  <c r="F163" i="34"/>
  <c r="H110" i="29"/>
  <c r="K108" i="29"/>
  <c r="B2796" i="106" s="1"/>
  <c r="D2796" i="106" s="1"/>
  <c r="B2792" i="106"/>
  <c r="D2792" i="106" s="1"/>
  <c r="B7006" i="106"/>
  <c r="D7006" i="106" s="1"/>
  <c r="K98" i="29"/>
  <c r="B7007" i="106" s="1"/>
  <c r="D7007" i="106" s="1"/>
  <c r="B6989" i="106"/>
  <c r="D6989" i="106" s="1"/>
  <c r="K89" i="29"/>
  <c r="B6990" i="106" s="1"/>
  <c r="D6990" i="106" s="1"/>
  <c r="K82" i="29"/>
  <c r="B2977" i="106" s="1"/>
  <c r="D2977" i="106" s="1"/>
  <c r="B2953" i="106"/>
  <c r="D2953" i="106" s="1"/>
  <c r="E84" i="29"/>
  <c r="K78" i="29"/>
  <c r="B2949" i="106"/>
  <c r="D2949" i="106" s="1"/>
  <c r="K75" i="29"/>
  <c r="B756" i="106"/>
  <c r="D756" i="106" s="1"/>
  <c r="B754" i="106"/>
  <c r="D754" i="106" s="1"/>
  <c r="K73" i="29"/>
  <c r="B1142" i="106" s="1"/>
  <c r="D1142" i="106" s="1"/>
  <c r="B751" i="106"/>
  <c r="D751" i="106" s="1"/>
  <c r="K71" i="29"/>
  <c r="D37" i="108" s="1"/>
  <c r="B749" i="106"/>
  <c r="D749" i="106" s="1"/>
  <c r="K70" i="29"/>
  <c r="B1137" i="106" s="1"/>
  <c r="D1137" i="106" s="1"/>
  <c r="B748" i="106"/>
  <c r="D748" i="106" s="1"/>
  <c r="K69" i="29"/>
  <c r="B1136" i="106" s="1"/>
  <c r="D1136" i="106" s="1"/>
  <c r="B747" i="106"/>
  <c r="D747" i="106" s="1"/>
  <c r="K68" i="29"/>
  <c r="B1135" i="106" s="1"/>
  <c r="D1135" i="106" s="1"/>
  <c r="C72" i="29"/>
  <c r="B753" i="106" s="1"/>
  <c r="D753" i="106" s="1"/>
  <c r="B746" i="106"/>
  <c r="D746" i="106" s="1"/>
  <c r="K67" i="29"/>
  <c r="G33" i="108" s="1"/>
  <c r="B743" i="106"/>
  <c r="D743" i="106" s="1"/>
  <c r="K63" i="29"/>
  <c r="B1130" i="106" s="1"/>
  <c r="D1130" i="106" s="1"/>
  <c r="B742" i="106"/>
  <c r="D742" i="106" s="1"/>
  <c r="B741" i="106"/>
  <c r="D741" i="106" s="1"/>
  <c r="K62" i="29"/>
  <c r="B1129" i="106" s="1"/>
  <c r="D1129" i="106" s="1"/>
  <c r="B740" i="106"/>
  <c r="D740" i="106" s="1"/>
  <c r="K61" i="29"/>
  <c r="B1128" i="106" s="1"/>
  <c r="D1128" i="106" s="1"/>
  <c r="K60" i="29"/>
  <c r="B1127" i="106" s="1"/>
  <c r="D1127" i="106" s="1"/>
  <c r="B739" i="106"/>
  <c r="D739" i="106" s="1"/>
  <c r="C65" i="29"/>
  <c r="B745" i="106" s="1"/>
  <c r="D745" i="106" s="1"/>
  <c r="B738" i="106"/>
  <c r="D738" i="106" s="1"/>
  <c r="K59" i="29"/>
  <c r="B736" i="106"/>
  <c r="D736" i="106" s="1"/>
  <c r="K56" i="29"/>
  <c r="C57" i="29"/>
  <c r="B737" i="106" s="1"/>
  <c r="D737" i="106" s="1"/>
  <c r="K55" i="29"/>
  <c r="B735" i="106"/>
  <c r="D735" i="106" s="1"/>
  <c r="B6932" i="106"/>
  <c r="D6932" i="106" s="1"/>
  <c r="K52" i="29"/>
  <c r="B6940" i="106" s="1"/>
  <c r="D6940" i="106" s="1"/>
  <c r="K51" i="29"/>
  <c r="B2718" i="106"/>
  <c r="D2718" i="106" s="1"/>
  <c r="B733" i="106"/>
  <c r="D733" i="106" s="1"/>
  <c r="K50" i="29"/>
  <c r="K49" i="29"/>
  <c r="B732" i="106"/>
  <c r="D732" i="106" s="1"/>
  <c r="C53" i="29"/>
  <c r="B734" i="106" s="1"/>
  <c r="D734" i="106" s="1"/>
  <c r="K46" i="29"/>
  <c r="B1118" i="106" s="1"/>
  <c r="D1118" i="106" s="1"/>
  <c r="B730" i="106"/>
  <c r="D730" i="106" s="1"/>
  <c r="B729" i="106"/>
  <c r="D729" i="106" s="1"/>
  <c r="K45" i="29"/>
  <c r="B1117" i="106" s="1"/>
  <c r="D1117" i="106" s="1"/>
  <c r="C47" i="29"/>
  <c r="B731" i="106" s="1"/>
  <c r="D731" i="106" s="1"/>
  <c r="K44" i="29"/>
  <c r="B728" i="106"/>
  <c r="D728" i="106" s="1"/>
  <c r="B726" i="106"/>
  <c r="D726" i="106" s="1"/>
  <c r="K41" i="29"/>
  <c r="B1114" i="106" s="1"/>
  <c r="D1114" i="106" s="1"/>
  <c r="B725" i="106"/>
  <c r="D725" i="106" s="1"/>
  <c r="K40" i="29"/>
  <c r="B1113" i="106" s="1"/>
  <c r="D1113" i="106" s="1"/>
  <c r="K39" i="29"/>
  <c r="B1112" i="106" s="1"/>
  <c r="D1112" i="106" s="1"/>
  <c r="B724" i="106"/>
  <c r="D724" i="106" s="1"/>
  <c r="B723" i="106"/>
  <c r="D723" i="106" s="1"/>
  <c r="K38" i="29"/>
  <c r="B1111" i="106" s="1"/>
  <c r="D1111" i="106" s="1"/>
  <c r="B722" i="106"/>
  <c r="D722" i="106" s="1"/>
  <c r="K37" i="29"/>
  <c r="B1110" i="106" s="1"/>
  <c r="D1110" i="106" s="1"/>
  <c r="C42" i="29"/>
  <c r="B721" i="106"/>
  <c r="D721" i="106" s="1"/>
  <c r="K36" i="29"/>
  <c r="B6886" i="106"/>
  <c r="D6886" i="106" s="1"/>
  <c r="K25" i="29"/>
  <c r="B3377" i="106"/>
  <c r="D3377" i="106" s="1"/>
  <c r="B6874" i="106"/>
  <c r="D6874" i="106" s="1"/>
  <c r="B995" i="106"/>
  <c r="D995" i="106" s="1"/>
  <c r="B5061" i="106"/>
  <c r="D5061" i="106" s="1"/>
  <c r="B4" i="7"/>
  <c r="C12" i="5"/>
  <c r="B5110" i="106"/>
  <c r="D5110" i="106" s="1"/>
  <c r="F99" i="34"/>
  <c r="B5118" i="106"/>
  <c r="D5118" i="106" s="1"/>
  <c r="F104" i="34"/>
  <c r="D76" i="4"/>
  <c r="B3237" i="106" s="1"/>
  <c r="D3237" i="106" s="1"/>
  <c r="B5023" i="106"/>
  <c r="D5023" i="106" s="1"/>
  <c r="B3161" i="106"/>
  <c r="D3161" i="106" s="1"/>
  <c r="H51" i="4"/>
  <c r="B3170" i="106" s="1"/>
  <c r="D3170" i="106" s="1"/>
  <c r="K144" i="29"/>
  <c r="B2810" i="106" s="1"/>
  <c r="D2810" i="106" s="1"/>
  <c r="B2807" i="106"/>
  <c r="D2807" i="106" s="1"/>
  <c r="B2979" i="106"/>
  <c r="D2979" i="106" s="1"/>
  <c r="H137" i="29"/>
  <c r="B1243" i="106"/>
  <c r="D1243" i="106" s="1"/>
  <c r="F127" i="29"/>
  <c r="B1247" i="106" s="1"/>
  <c r="D1247" i="106" s="1"/>
  <c r="B4077" i="106"/>
  <c r="D4077" i="106" s="1"/>
  <c r="B6615" i="106"/>
  <c r="D6615" i="106" s="1"/>
  <c r="D259" i="5"/>
  <c r="B6834" i="106" s="1"/>
  <c r="D6834" i="106" s="1"/>
  <c r="B5335" i="106"/>
  <c r="D5335" i="106" s="1"/>
  <c r="D18" i="5"/>
  <c r="B5339" i="106" s="1"/>
  <c r="D5339" i="106" s="1"/>
  <c r="B1269" i="106"/>
  <c r="D1269" i="106" s="1"/>
  <c r="K143" i="29"/>
  <c r="B1284" i="106" s="1"/>
  <c r="D1284" i="106" s="1"/>
  <c r="B4199" i="106"/>
  <c r="D4199" i="106" s="1"/>
  <c r="K134" i="29"/>
  <c r="E137" i="29"/>
  <c r="B2797" i="106"/>
  <c r="D2797" i="106" s="1"/>
  <c r="K130" i="29"/>
  <c r="K128" i="29"/>
  <c r="B1280" i="106" s="1"/>
  <c r="D1280" i="106" s="1"/>
  <c r="B1224" i="106"/>
  <c r="D1224" i="106" s="1"/>
  <c r="B1235" i="106"/>
  <c r="D1235" i="106" s="1"/>
  <c r="E127" i="29"/>
  <c r="B1239" i="106" s="1"/>
  <c r="D1239" i="106" s="1"/>
  <c r="B4076" i="106"/>
  <c r="D4076" i="106" s="1"/>
  <c r="B5494" i="106"/>
  <c r="D5494" i="106" s="1"/>
  <c r="F33" i="34"/>
  <c r="F124" i="34"/>
  <c r="B4329" i="106"/>
  <c r="D4329" i="106" s="1"/>
  <c r="B5391" i="106"/>
  <c r="D5391" i="106" s="1"/>
  <c r="D154" i="5"/>
  <c r="B5394" i="106" s="1"/>
  <c r="D5394" i="106" s="1"/>
  <c r="B5331" i="106"/>
  <c r="D5331" i="106" s="1"/>
  <c r="B5349" i="106"/>
  <c r="D5349" i="106" s="1"/>
  <c r="D108" i="5"/>
  <c r="B5355" i="106" s="1"/>
  <c r="D5355" i="106" s="1"/>
  <c r="B5458" i="106"/>
  <c r="D5458" i="106" s="1"/>
  <c r="D224" i="5"/>
  <c r="B5470" i="106" s="1"/>
  <c r="D5470" i="106" s="1"/>
  <c r="E40" i="4"/>
  <c r="B6288" i="106" s="1"/>
  <c r="D6288" i="106" s="1"/>
  <c r="B6249" i="106"/>
  <c r="D6249" i="106" s="1"/>
  <c r="H147" i="29"/>
  <c r="K142" i="29"/>
  <c r="B1268" i="106"/>
  <c r="D1268" i="106" s="1"/>
  <c r="B1227" i="106"/>
  <c r="D1227" i="106" s="1"/>
  <c r="D127" i="29"/>
  <c r="B1231" i="106" s="1"/>
  <c r="D1231" i="106" s="1"/>
  <c r="B4075" i="106"/>
  <c r="D4075" i="106" s="1"/>
  <c r="D191" i="5"/>
  <c r="B5426" i="106"/>
  <c r="D5426" i="106" s="1"/>
  <c r="B5361" i="106"/>
  <c r="D5361" i="106" s="1"/>
  <c r="D121" i="5"/>
  <c r="B5343" i="106"/>
  <c r="D5343" i="106" s="1"/>
  <c r="D82" i="5"/>
  <c r="B2092" i="106"/>
  <c r="D2092" i="106" s="1"/>
  <c r="K138" i="29"/>
  <c r="B2094" i="106" s="1"/>
  <c r="D2094" i="106" s="1"/>
  <c r="B1254" i="106"/>
  <c r="D1254" i="106" s="1"/>
  <c r="K126" i="29"/>
  <c r="B1277" i="106" s="1"/>
  <c r="D1277" i="106" s="1"/>
  <c r="B3482" i="106"/>
  <c r="D3482" i="106" s="1"/>
  <c r="K125" i="29"/>
  <c r="B3488" i="106" s="1"/>
  <c r="D3488" i="106" s="1"/>
  <c r="B1221" i="106"/>
  <c r="D1221" i="106" s="1"/>
  <c r="K124" i="29"/>
  <c r="B1276" i="106" s="1"/>
  <c r="D1276" i="106" s="1"/>
  <c r="B1220" i="106"/>
  <c r="D1220" i="106" s="1"/>
  <c r="K123" i="29"/>
  <c r="B1275" i="106" s="1"/>
  <c r="D1275" i="106" s="1"/>
  <c r="K122" i="29"/>
  <c r="B1219" i="106"/>
  <c r="D1219" i="106" s="1"/>
  <c r="C127" i="29"/>
  <c r="B1223" i="106" s="1"/>
  <c r="D1223" i="106" s="1"/>
  <c r="B4074" i="106"/>
  <c r="D4074" i="106" s="1"/>
  <c r="K120" i="29"/>
  <c r="D228" i="5"/>
  <c r="B5488" i="106" s="1"/>
  <c r="D5488" i="106" s="1"/>
  <c r="B5485" i="106"/>
  <c r="D5485" i="106" s="1"/>
  <c r="B5333" i="106"/>
  <c r="D5333" i="106" s="1"/>
  <c r="L149" i="29"/>
  <c r="L147" i="29"/>
  <c r="D44" i="4"/>
  <c r="B7749" i="106"/>
  <c r="D7749" i="106" s="1"/>
  <c r="B7025" i="106"/>
  <c r="D7025" i="106" s="1"/>
  <c r="J127" i="29"/>
  <c r="B7034" i="106" s="1"/>
  <c r="D7034" i="106" s="1"/>
  <c r="B7023" i="106"/>
  <c r="D7023" i="106" s="1"/>
  <c r="B5384" i="106"/>
  <c r="D5384" i="106" s="1"/>
  <c r="F110" i="34"/>
  <c r="D140" i="5"/>
  <c r="B5383" i="106" s="1"/>
  <c r="D5383" i="106" s="1"/>
  <c r="B5370" i="106"/>
  <c r="D5370" i="106" s="1"/>
  <c r="B5330" i="106"/>
  <c r="D5330" i="106" s="1"/>
  <c r="B13" i="7"/>
  <c r="B7049" i="106"/>
  <c r="D7049" i="106" s="1"/>
  <c r="K148" i="29"/>
  <c r="B7050" i="106" s="1"/>
  <c r="D7050" i="106" s="1"/>
  <c r="K136" i="29"/>
  <c r="B2988" i="106" s="1"/>
  <c r="D2988" i="106" s="1"/>
  <c r="B4201" i="106"/>
  <c r="D4201" i="106" s="1"/>
  <c r="B7024" i="106"/>
  <c r="D7024" i="106" s="1"/>
  <c r="I127" i="29"/>
  <c r="B7033" i="106" s="1"/>
  <c r="D7033" i="106" s="1"/>
  <c r="B7022" i="106"/>
  <c r="D7022" i="106" s="1"/>
  <c r="B5424" i="106"/>
  <c r="D5424" i="106" s="1"/>
  <c r="D184" i="5"/>
  <c r="B5425" i="106" s="1"/>
  <c r="D5425" i="106" s="1"/>
  <c r="D114" i="5"/>
  <c r="B5357" i="106"/>
  <c r="D5357" i="106" s="1"/>
  <c r="D35" i="36"/>
  <c r="D13" i="3"/>
  <c r="B3414" i="106"/>
  <c r="D3414" i="106" s="1"/>
  <c r="B6251" i="106"/>
  <c r="D6251" i="106" s="1"/>
  <c r="H41" i="4"/>
  <c r="B6289" i="106" s="1"/>
  <c r="D6289" i="106" s="1"/>
  <c r="E39" i="4"/>
  <c r="B6287" i="106" s="1"/>
  <c r="D6287" i="106" s="1"/>
  <c r="B6247" i="106"/>
  <c r="D6247" i="106" s="1"/>
  <c r="B6241" i="106"/>
  <c r="D6241" i="106" s="1"/>
  <c r="H14" i="118"/>
  <c r="H19" i="118"/>
  <c r="K146" i="29"/>
  <c r="B1285" i="106" s="1"/>
  <c r="D1285" i="106" s="1"/>
  <c r="B1270" i="106"/>
  <c r="D1270" i="106" s="1"/>
  <c r="B1260" i="106"/>
  <c r="D1260" i="106" s="1"/>
  <c r="H127" i="29"/>
  <c r="B1264" i="106" s="1"/>
  <c r="D1264" i="106" s="1"/>
  <c r="B4079" i="106"/>
  <c r="D4079" i="106" s="1"/>
  <c r="D216" i="5"/>
  <c r="B4412" i="106" s="1"/>
  <c r="D4412" i="106" s="1"/>
  <c r="B5440" i="106"/>
  <c r="D5440" i="106" s="1"/>
  <c r="D211" i="5"/>
  <c r="B5444" i="106" s="1"/>
  <c r="D5444" i="106" s="1"/>
  <c r="B5431" i="106"/>
  <c r="D5431" i="106" s="1"/>
  <c r="B5368" i="106"/>
  <c r="D5368" i="106" s="1"/>
  <c r="D131" i="5"/>
  <c r="B5332" i="106"/>
  <c r="D5332" i="106" s="1"/>
  <c r="B3698" i="106"/>
  <c r="D3698" i="106" s="1"/>
  <c r="K52" i="4"/>
  <c r="B3702" i="106" s="1"/>
  <c r="D3702" i="106" s="1"/>
  <c r="B2808" i="106"/>
  <c r="D2808" i="106" s="1"/>
  <c r="K145" i="29"/>
  <c r="B2811" i="106" s="1"/>
  <c r="D2811" i="106" s="1"/>
  <c r="B4200" i="106"/>
  <c r="D4200" i="106" s="1"/>
  <c r="K135" i="29"/>
  <c r="B2987" i="106" s="1"/>
  <c r="D2987" i="106" s="1"/>
  <c r="B1251" i="106"/>
  <c r="D1251" i="106" s="1"/>
  <c r="G127" i="29"/>
  <c r="B1256" i="106" s="1"/>
  <c r="D1256" i="106" s="1"/>
  <c r="B4078" i="106"/>
  <c r="D4078" i="106" s="1"/>
  <c r="B5422" i="106"/>
  <c r="D5422" i="106" s="1"/>
  <c r="D178" i="5"/>
  <c r="E34" i="3"/>
  <c r="B6127" i="106"/>
  <c r="D6127" i="106" s="1"/>
  <c r="D69" i="36"/>
  <c r="K170" i="29"/>
  <c r="B1315" i="106"/>
  <c r="D1315" i="106" s="1"/>
  <c r="B5512" i="106"/>
  <c r="D5512" i="106" s="1"/>
  <c r="B1312" i="106"/>
  <c r="D1312" i="106" s="1"/>
  <c r="K169" i="29"/>
  <c r="B1326" i="106" s="1"/>
  <c r="D1326" i="106" s="1"/>
  <c r="K53" i="4"/>
  <c r="B3703" i="106" s="1"/>
  <c r="D3703" i="106" s="1"/>
  <c r="B3699" i="106"/>
  <c r="D3699" i="106" s="1"/>
  <c r="B1313" i="106"/>
  <c r="D1313" i="106" s="1"/>
  <c r="K167" i="29"/>
  <c r="B1327" i="106" s="1"/>
  <c r="D1327" i="106" s="1"/>
  <c r="E172" i="5"/>
  <c r="B5537" i="106" s="1"/>
  <c r="D5537" i="106" s="1"/>
  <c r="B6368" i="106"/>
  <c r="D6368" i="106" s="1"/>
  <c r="K166" i="29"/>
  <c r="B2819" i="106" s="1"/>
  <c r="D2819" i="106" s="1"/>
  <c r="B2813" i="106"/>
  <c r="D2813" i="106" s="1"/>
  <c r="E259" i="5"/>
  <c r="B6714" i="106"/>
  <c r="D6714" i="106" s="1"/>
  <c r="B15" i="7"/>
  <c r="B5511" i="106"/>
  <c r="D5511" i="106" s="1"/>
  <c r="L168" i="29"/>
  <c r="L172" i="29" s="1"/>
  <c r="L174" i="29" s="1"/>
  <c r="K165" i="29"/>
  <c r="B2818" i="106" s="1"/>
  <c r="D2818" i="106" s="1"/>
  <c r="B2812" i="106"/>
  <c r="D2812" i="106" s="1"/>
  <c r="B1311" i="106"/>
  <c r="D1311" i="106" s="1"/>
  <c r="K164" i="29"/>
  <c r="B1325" i="106" s="1"/>
  <c r="D1325" i="106" s="1"/>
  <c r="E178" i="5"/>
  <c r="B4364" i="106"/>
  <c r="D4364" i="106" s="1"/>
  <c r="E18" i="5"/>
  <c r="B5518" i="106" s="1"/>
  <c r="D5518" i="106" s="1"/>
  <c r="B5514" i="106"/>
  <c r="D5514" i="106" s="1"/>
  <c r="E13" i="3"/>
  <c r="B3417" i="106"/>
  <c r="D3417" i="106" s="1"/>
  <c r="D36" i="36"/>
  <c r="B1310" i="106"/>
  <c r="D1310" i="106" s="1"/>
  <c r="H168" i="29"/>
  <c r="K163" i="29"/>
  <c r="E121" i="5"/>
  <c r="B5528" i="106"/>
  <c r="D5528" i="106" s="1"/>
  <c r="B6" i="7"/>
  <c r="B5509" i="106"/>
  <c r="D5509" i="106" s="1"/>
  <c r="B5522" i="106"/>
  <c r="D5522" i="106" s="1"/>
  <c r="E108" i="5"/>
  <c r="B5526" i="106" s="1"/>
  <c r="D5526" i="106" s="1"/>
  <c r="E76" i="4"/>
  <c r="B3276" i="106" s="1"/>
  <c r="D3276" i="106" s="1"/>
  <c r="B2817" i="106"/>
  <c r="D2817" i="106" s="1"/>
  <c r="K171" i="29"/>
  <c r="B1330" i="106" s="1"/>
  <c r="D1330" i="106" s="1"/>
  <c r="B1307" i="106"/>
  <c r="D1307" i="106" s="1"/>
  <c r="E172" i="29"/>
  <c r="K157" i="29"/>
  <c r="H160" i="29"/>
  <c r="B7777" i="106"/>
  <c r="D7777" i="106" s="1"/>
  <c r="K200" i="29"/>
  <c r="B1384" i="106" s="1"/>
  <c r="D1384" i="106" s="1"/>
  <c r="B1372" i="106"/>
  <c r="D1372" i="106" s="1"/>
  <c r="J184" i="29"/>
  <c r="B7058" i="106"/>
  <c r="D7058" i="106" s="1"/>
  <c r="B5673" i="106"/>
  <c r="D5673" i="106" s="1"/>
  <c r="F216" i="5"/>
  <c r="B4413" i="106" s="1"/>
  <c r="D4413" i="106" s="1"/>
  <c r="B5664" i="106"/>
  <c r="D5664" i="106" s="1"/>
  <c r="F211" i="5"/>
  <c r="B5677" i="106" s="1"/>
  <c r="D5677" i="106" s="1"/>
  <c r="B5654" i="106"/>
  <c r="D5654" i="106" s="1"/>
  <c r="F178" i="5"/>
  <c r="F30" i="34"/>
  <c r="B4354" i="106"/>
  <c r="D4354" i="106" s="1"/>
  <c r="F131" i="5"/>
  <c r="B5600" i="106"/>
  <c r="D5600" i="106" s="1"/>
  <c r="F24" i="34"/>
  <c r="B5574" i="106"/>
  <c r="D5574" i="106" s="1"/>
  <c r="B5568" i="106"/>
  <c r="D5568" i="106" s="1"/>
  <c r="F20" i="34"/>
  <c r="B7751" i="106"/>
  <c r="D7751" i="106" s="1"/>
  <c r="B1371" i="106"/>
  <c r="D1371" i="106" s="1"/>
  <c r="K199" i="29"/>
  <c r="H204" i="29"/>
  <c r="K191" i="29"/>
  <c r="B3010" i="106" s="1"/>
  <c r="D3010" i="106" s="1"/>
  <c r="B2992" i="106"/>
  <c r="D2992" i="106" s="1"/>
  <c r="B5580" i="106"/>
  <c r="D5580" i="106" s="1"/>
  <c r="B5573" i="106"/>
  <c r="D5573" i="106" s="1"/>
  <c r="F91" i="34"/>
  <c r="F19" i="34"/>
  <c r="B5567" i="106"/>
  <c r="D5567" i="106" s="1"/>
  <c r="K207" i="29"/>
  <c r="B7070" i="106" s="1"/>
  <c r="D7070" i="106" s="1"/>
  <c r="B7069" i="106"/>
  <c r="D7069" i="106" s="1"/>
  <c r="B6315" i="106"/>
  <c r="D6315" i="106" s="1"/>
  <c r="F28" i="34"/>
  <c r="B6314" i="106"/>
  <c r="D6314" i="106" s="1"/>
  <c r="F90" i="34"/>
  <c r="F87" i="34"/>
  <c r="B6312" i="106"/>
  <c r="D6312" i="106" s="1"/>
  <c r="B5558" i="106"/>
  <c r="D5558" i="106" s="1"/>
  <c r="F18" i="5"/>
  <c r="B5562" i="106" s="1"/>
  <c r="D5562" i="106" s="1"/>
  <c r="B5691" i="106"/>
  <c r="D5691" i="106" s="1"/>
  <c r="F31" i="34"/>
  <c r="F224" i="5"/>
  <c r="B5703" i="106" s="1"/>
  <c r="D5703" i="106" s="1"/>
  <c r="L204" i="29"/>
  <c r="L208" i="29" s="1"/>
  <c r="K206" i="29"/>
  <c r="B4210" i="106"/>
  <c r="D4210" i="106" s="1"/>
  <c r="K195" i="29"/>
  <c r="B2839" i="106" s="1"/>
  <c r="D2839" i="106" s="1"/>
  <c r="B2824" i="106"/>
  <c r="D2824" i="106" s="1"/>
  <c r="E194" i="29"/>
  <c r="K190" i="29"/>
  <c r="B3009" i="106" s="1"/>
  <c r="D3009" i="106" s="1"/>
  <c r="B2991" i="106"/>
  <c r="D2991" i="106" s="1"/>
  <c r="B4085" i="106"/>
  <c r="D4085" i="106" s="1"/>
  <c r="B4318" i="106"/>
  <c r="D4318" i="106" s="1"/>
  <c r="F27" i="34"/>
  <c r="B5578" i="106"/>
  <c r="D5578" i="106" s="1"/>
  <c r="B5572" i="106"/>
  <c r="D5572" i="106" s="1"/>
  <c r="F89" i="34"/>
  <c r="F86" i="34"/>
  <c r="B5566" i="106"/>
  <c r="D5566" i="106" s="1"/>
  <c r="B7" i="7"/>
  <c r="B5553" i="106"/>
  <c r="D5553" i="106" s="1"/>
  <c r="K205" i="29"/>
  <c r="B7068" i="106" s="1"/>
  <c r="D7068" i="106" s="1"/>
  <c r="B7067" i="106"/>
  <c r="D7067" i="106" s="1"/>
  <c r="B4084" i="106"/>
  <c r="D4084" i="106" s="1"/>
  <c r="F191" i="5"/>
  <c r="B5659" i="106"/>
  <c r="D5659" i="106" s="1"/>
  <c r="F121" i="5"/>
  <c r="B5593" i="106"/>
  <c r="D5593" i="106" s="1"/>
  <c r="B5577" i="106"/>
  <c r="D5577" i="106" s="1"/>
  <c r="F26" i="34"/>
  <c r="B5571" i="106"/>
  <c r="D5571" i="106" s="1"/>
  <c r="F23" i="34"/>
  <c r="B5565" i="106"/>
  <c r="D5565" i="106" s="1"/>
  <c r="F85" i="34"/>
  <c r="F102" i="34"/>
  <c r="B5584" i="106"/>
  <c r="D5584" i="106" s="1"/>
  <c r="B1373" i="106"/>
  <c r="D1373" i="106" s="1"/>
  <c r="K203" i="29"/>
  <c r="B1385" i="106" s="1"/>
  <c r="D1385" i="106" s="1"/>
  <c r="K193" i="29"/>
  <c r="B3012" i="106" s="1"/>
  <c r="D3012" i="106" s="1"/>
  <c r="B2994" i="106"/>
  <c r="D2994" i="106" s="1"/>
  <c r="B2990" i="106"/>
  <c r="D2990" i="106" s="1"/>
  <c r="K189" i="29"/>
  <c r="B3008" i="106" s="1"/>
  <c r="D3008" i="106" s="1"/>
  <c r="E184" i="29"/>
  <c r="B4083" i="106"/>
  <c r="D4083" i="106" s="1"/>
  <c r="B6617" i="106"/>
  <c r="D6617" i="106" s="1"/>
  <c r="F259" i="5"/>
  <c r="B6836" i="106" s="1"/>
  <c r="D6836" i="106" s="1"/>
  <c r="F25" i="34"/>
  <c r="B5576" i="106"/>
  <c r="D5576" i="106" s="1"/>
  <c r="B5570" i="106"/>
  <c r="D5570" i="106" s="1"/>
  <c r="F88" i="34"/>
  <c r="B5564" i="106"/>
  <c r="D5564" i="106" s="1"/>
  <c r="F18" i="34"/>
  <c r="B5556" i="106"/>
  <c r="D5556" i="106" s="1"/>
  <c r="F108" i="5"/>
  <c r="B5587" i="106" s="1"/>
  <c r="D5587" i="106" s="1"/>
  <c r="B5583" i="106"/>
  <c r="D5583" i="106" s="1"/>
  <c r="B2832" i="106"/>
  <c r="D2832" i="106" s="1"/>
  <c r="K202" i="29"/>
  <c r="B2842" i="106" s="1"/>
  <c r="D2842" i="106" s="1"/>
  <c r="B2995" i="106"/>
  <c r="D2995" i="106" s="1"/>
  <c r="H194" i="29"/>
  <c r="D184" i="29"/>
  <c r="B4082" i="106"/>
  <c r="D4082" i="106" s="1"/>
  <c r="F184" i="5"/>
  <c r="B5658" i="106" s="1"/>
  <c r="D5658" i="106" s="1"/>
  <c r="B4804" i="106"/>
  <c r="D4804" i="106" s="1"/>
  <c r="B7764" i="106"/>
  <c r="D7764" i="106" s="1"/>
  <c r="F93" i="34"/>
  <c r="B6313" i="106"/>
  <c r="D6313" i="106" s="1"/>
  <c r="F22" i="34"/>
  <c r="B5563" i="106"/>
  <c r="D5563" i="106" s="1"/>
  <c r="F84" i="34"/>
  <c r="F63" i="5"/>
  <c r="B5579" i="106" s="1"/>
  <c r="D5579" i="106" s="1"/>
  <c r="F32" i="34"/>
  <c r="B5692" i="106"/>
  <c r="D5692" i="106" s="1"/>
  <c r="L194" i="29"/>
  <c r="L196" i="29" s="1"/>
  <c r="B5024" i="106"/>
  <c r="D5024" i="106" s="1"/>
  <c r="D71" i="36"/>
  <c r="B5014" i="106"/>
  <c r="D5014" i="106" s="1"/>
  <c r="B2831" i="106"/>
  <c r="D2831" i="106" s="1"/>
  <c r="K201" i="29"/>
  <c r="B2841" i="106" s="1"/>
  <c r="D2841" i="106" s="1"/>
  <c r="B2993" i="106"/>
  <c r="D2993" i="106" s="1"/>
  <c r="K192" i="29"/>
  <c r="B3011" i="106" s="1"/>
  <c r="D3011" i="106" s="1"/>
  <c r="K188" i="29"/>
  <c r="B2989" i="106"/>
  <c r="D2989" i="106" s="1"/>
  <c r="K185" i="29"/>
  <c r="B2820" i="106"/>
  <c r="D2820" i="106" s="1"/>
  <c r="B1338" i="106"/>
  <c r="D1338" i="106" s="1"/>
  <c r="K183" i="29"/>
  <c r="B1380" i="106" s="1"/>
  <c r="D1380" i="106" s="1"/>
  <c r="B1335" i="106"/>
  <c r="D1335" i="106" s="1"/>
  <c r="F154" i="5"/>
  <c r="B5618" i="106" s="1"/>
  <c r="D5618" i="106" s="1"/>
  <c r="B5615" i="106"/>
  <c r="D5615" i="106" s="1"/>
  <c r="F114" i="5"/>
  <c r="B5589" i="106"/>
  <c r="D5589" i="106" s="1"/>
  <c r="B5575" i="106"/>
  <c r="D5575" i="106" s="1"/>
  <c r="F92" i="34"/>
  <c r="F21" i="34"/>
  <c r="B5569" i="106"/>
  <c r="D5569" i="106" s="1"/>
  <c r="B1447" i="106"/>
  <c r="D1447" i="106" s="1"/>
  <c r="K280" i="29"/>
  <c r="B1396" i="106"/>
  <c r="D1396" i="106" s="1"/>
  <c r="K225" i="29"/>
  <c r="B1460" i="106" s="1"/>
  <c r="D1460" i="106" s="1"/>
  <c r="B5763" i="106"/>
  <c r="D5763" i="106" s="1"/>
  <c r="B1451" i="106"/>
  <c r="D1451" i="106" s="1"/>
  <c r="K292" i="29"/>
  <c r="B1514" i="106" s="1"/>
  <c r="D1514" i="106" s="1"/>
  <c r="B1445" i="106"/>
  <c r="D1445" i="106" s="1"/>
  <c r="K278" i="29"/>
  <c r="B1509" i="106" s="1"/>
  <c r="D1509" i="106" s="1"/>
  <c r="K267" i="29"/>
  <c r="B1496" i="106" s="1"/>
  <c r="D1496" i="106" s="1"/>
  <c r="B1432" i="106"/>
  <c r="D1432" i="106" s="1"/>
  <c r="K255" i="29"/>
  <c r="B7096" i="106" s="1"/>
  <c r="D7096" i="106" s="1"/>
  <c r="B7095" i="106"/>
  <c r="D7095" i="106" s="1"/>
  <c r="K247" i="29"/>
  <c r="B2726" i="106" s="1"/>
  <c r="D2726" i="106" s="1"/>
  <c r="B2725" i="106"/>
  <c r="D2725" i="106" s="1"/>
  <c r="K235" i="29"/>
  <c r="B1478" i="106" s="1"/>
  <c r="D1478" i="106" s="1"/>
  <c r="B1414" i="106"/>
  <c r="D1414" i="106" s="1"/>
  <c r="B1409" i="106"/>
  <c r="D1409" i="106" s="1"/>
  <c r="K224" i="29"/>
  <c r="B7073" i="106"/>
  <c r="D7073" i="106" s="1"/>
  <c r="K216" i="29"/>
  <c r="F168" i="34"/>
  <c r="B5858" i="106"/>
  <c r="D5858" i="106" s="1"/>
  <c r="B6805" i="106"/>
  <c r="D6805" i="106" s="1"/>
  <c r="B6741" i="106"/>
  <c r="D6741" i="106" s="1"/>
  <c r="B6678" i="106"/>
  <c r="D6678" i="106" s="1"/>
  <c r="B6618" i="106"/>
  <c r="D6618" i="106" s="1"/>
  <c r="G259" i="5"/>
  <c r="B6837" i="106" s="1"/>
  <c r="D6837" i="106" s="1"/>
  <c r="B6392" i="106"/>
  <c r="D6392" i="106" s="1"/>
  <c r="B5757" i="106"/>
  <c r="D5757" i="106" s="1"/>
  <c r="G144" i="5"/>
  <c r="B5754" i="106"/>
  <c r="D5754" i="106" s="1"/>
  <c r="B5731" i="106"/>
  <c r="D5731" i="106" s="1"/>
  <c r="L277" i="29"/>
  <c r="B3259" i="106"/>
  <c r="D3259" i="106" s="1"/>
  <c r="G76" i="4"/>
  <c r="B3260" i="106" s="1"/>
  <c r="D3260" i="106" s="1"/>
  <c r="K291" i="29"/>
  <c r="B2846" i="106" s="1"/>
  <c r="D2846" i="106" s="1"/>
  <c r="B2844" i="106"/>
  <c r="D2844" i="106" s="1"/>
  <c r="K276" i="29"/>
  <c r="B1506" i="106" s="1"/>
  <c r="D1506" i="106" s="1"/>
  <c r="B1442" i="106"/>
  <c r="D1442" i="106" s="1"/>
  <c r="K266" i="29"/>
  <c r="B1495" i="106" s="1"/>
  <c r="D1495" i="106" s="1"/>
  <c r="B1431" i="106"/>
  <c r="D1431" i="106" s="1"/>
  <c r="K254" i="29"/>
  <c r="B7094" i="106" s="1"/>
  <c r="D7094" i="106" s="1"/>
  <c r="B7093" i="106"/>
  <c r="D7093" i="106" s="1"/>
  <c r="K246" i="29"/>
  <c r="B1487" i="106" s="1"/>
  <c r="D1487" i="106" s="1"/>
  <c r="B1423" i="106"/>
  <c r="D1423" i="106" s="1"/>
  <c r="B1413" i="106"/>
  <c r="D1413" i="106" s="1"/>
  <c r="K234" i="29"/>
  <c r="B1477" i="106" s="1"/>
  <c r="D1477" i="106" s="1"/>
  <c r="K223" i="29"/>
  <c r="B1472" i="106" s="1"/>
  <c r="D1472" i="106" s="1"/>
  <c r="B1408" i="106"/>
  <c r="D1408" i="106" s="1"/>
  <c r="D229" i="29"/>
  <c r="K215" i="29"/>
  <c r="B3387" i="106"/>
  <c r="D3387" i="106" s="1"/>
  <c r="B5856" i="106"/>
  <c r="D5856" i="106" s="1"/>
  <c r="F167" i="34"/>
  <c r="B6797" i="106"/>
  <c r="D6797" i="106" s="1"/>
  <c r="F156" i="34"/>
  <c r="B6733" i="106"/>
  <c r="D6733" i="106" s="1"/>
  <c r="F143" i="34"/>
  <c r="B6670" i="106"/>
  <c r="D6670" i="106" s="1"/>
  <c r="B4919" i="106"/>
  <c r="D4919" i="106" s="1"/>
  <c r="B6349" i="106"/>
  <c r="D6349" i="106" s="1"/>
  <c r="K248" i="29"/>
  <c r="B7082" i="106" s="1"/>
  <c r="D7082" i="106" s="1"/>
  <c r="B7081" i="106"/>
  <c r="D7081" i="106" s="1"/>
  <c r="B5860" i="106"/>
  <c r="D5860" i="106" s="1"/>
  <c r="B6686" i="106"/>
  <c r="D6686" i="106" s="1"/>
  <c r="B6625" i="106"/>
  <c r="D6625" i="106" s="1"/>
  <c r="F137" i="34"/>
  <c r="B5749" i="106"/>
  <c r="D5749" i="106" s="1"/>
  <c r="G140" i="5"/>
  <c r="L229" i="29"/>
  <c r="G34" i="3"/>
  <c r="B6129" i="106"/>
  <c r="D6129" i="106" s="1"/>
  <c r="K290" i="29"/>
  <c r="B2845" i="106" s="1"/>
  <c r="D2845" i="106" s="1"/>
  <c r="B2843" i="106"/>
  <c r="D2843" i="106" s="1"/>
  <c r="B1440" i="106"/>
  <c r="D1440" i="106" s="1"/>
  <c r="F36" i="108"/>
  <c r="D36" i="108"/>
  <c r="K275" i="29"/>
  <c r="B1504" i="106" s="1"/>
  <c r="D1504" i="106" s="1"/>
  <c r="B1430" i="106"/>
  <c r="D1430" i="106" s="1"/>
  <c r="K265" i="29"/>
  <c r="B1494" i="106" s="1"/>
  <c r="D1494" i="106" s="1"/>
  <c r="K253" i="29"/>
  <c r="B7092" i="106" s="1"/>
  <c r="D7092" i="106" s="1"/>
  <c r="B7091" i="106"/>
  <c r="D7091" i="106" s="1"/>
  <c r="D257" i="29"/>
  <c r="B1424" i="106" s="1"/>
  <c r="D1424" i="106" s="1"/>
  <c r="K245" i="29"/>
  <c r="B1422" i="106"/>
  <c r="D1422" i="106" s="1"/>
  <c r="B1412" i="106"/>
  <c r="D1412" i="106" s="1"/>
  <c r="K233" i="29"/>
  <c r="B1476" i="106" s="1"/>
  <c r="D1476" i="106" s="1"/>
  <c r="K222" i="29"/>
  <c r="B1471" i="106" s="1"/>
  <c r="D1471" i="106" s="1"/>
  <c r="B1407" i="106"/>
  <c r="D1407" i="106" s="1"/>
  <c r="B4864" i="106"/>
  <c r="D4864" i="106" s="1"/>
  <c r="B4417" i="106"/>
  <c r="D4417" i="106" s="1"/>
  <c r="B6724" i="106"/>
  <c r="D6724" i="106" s="1"/>
  <c r="F148" i="34"/>
  <c r="G191" i="5"/>
  <c r="B5785" i="106"/>
  <c r="D5785" i="106" s="1"/>
  <c r="B6387" i="106"/>
  <c r="D6387" i="106" s="1"/>
  <c r="B6402" i="106"/>
  <c r="D6402" i="106" s="1"/>
  <c r="G201" i="5"/>
  <c r="B5823" i="106"/>
  <c r="D5823" i="106" s="1"/>
  <c r="B5821" i="106"/>
  <c r="D5821" i="106" s="1"/>
  <c r="F132" i="34"/>
  <c r="B5817" i="106"/>
  <c r="D5817" i="106" s="1"/>
  <c r="G224" i="5"/>
  <c r="B5829" i="106" s="1"/>
  <c r="D5829" i="106" s="1"/>
  <c r="K268" i="29"/>
  <c r="B1497" i="106" s="1"/>
  <c r="D1497" i="106" s="1"/>
  <c r="B1433" i="106"/>
  <c r="D1433" i="106" s="1"/>
  <c r="E30" i="108"/>
  <c r="G30" i="108"/>
  <c r="K217" i="29"/>
  <c r="B3391" i="106" s="1"/>
  <c r="D3391" i="106" s="1"/>
  <c r="B3388" i="106"/>
  <c r="D3388" i="106" s="1"/>
  <c r="B1450" i="106"/>
  <c r="D1450" i="106" s="1"/>
  <c r="K289" i="29"/>
  <c r="B1513" i="106" s="1"/>
  <c r="D1513" i="106" s="1"/>
  <c r="K274" i="29"/>
  <c r="B1503" i="106" s="1"/>
  <c r="D1503" i="106" s="1"/>
  <c r="G35" i="108"/>
  <c r="B1439" i="106"/>
  <c r="D1439" i="106" s="1"/>
  <c r="F27" i="108"/>
  <c r="B1429" i="106"/>
  <c r="D1429" i="106" s="1"/>
  <c r="K264" i="29"/>
  <c r="B1493" i="106" s="1"/>
  <c r="D1493" i="106" s="1"/>
  <c r="D27" i="108"/>
  <c r="K252" i="29"/>
  <c r="B7090" i="106" s="1"/>
  <c r="D7090" i="106" s="1"/>
  <c r="B7089" i="106"/>
  <c r="D7089" i="106" s="1"/>
  <c r="K242" i="29"/>
  <c r="B1484" i="106" s="1"/>
  <c r="D1484" i="106" s="1"/>
  <c r="B1420" i="106"/>
  <c r="D1420" i="106" s="1"/>
  <c r="B1411" i="106"/>
  <c r="D1411" i="106" s="1"/>
  <c r="D238" i="29"/>
  <c r="K232" i="29"/>
  <c r="K221" i="29"/>
  <c r="B1406" i="106"/>
  <c r="D1406" i="106" s="1"/>
  <c r="B4448" i="106"/>
  <c r="D4448" i="106" s="1"/>
  <c r="D17" i="171"/>
  <c r="F173" i="34"/>
  <c r="B5855" i="106"/>
  <c r="D5855" i="106" s="1"/>
  <c r="B6781" i="106"/>
  <c r="D6781" i="106" s="1"/>
  <c r="F147" i="34"/>
  <c r="B6716" i="106"/>
  <c r="D6716" i="106" s="1"/>
  <c r="F141" i="34"/>
  <c r="B6654" i="106"/>
  <c r="D6654" i="106" s="1"/>
  <c r="G228" i="5"/>
  <c r="B5844" i="106"/>
  <c r="D5844" i="106" s="1"/>
  <c r="F117" i="34"/>
  <c r="B6384" i="106"/>
  <c r="D6384" i="106" s="1"/>
  <c r="B6380" i="106"/>
  <c r="D6380" i="106" s="1"/>
  <c r="G154" i="5"/>
  <c r="B5742" i="106"/>
  <c r="D5742" i="106" s="1"/>
  <c r="G121" i="5"/>
  <c r="B5734" i="106"/>
  <c r="D5734" i="106" s="1"/>
  <c r="G108" i="5"/>
  <c r="B5737" i="106" s="1"/>
  <c r="D5737" i="106" s="1"/>
  <c r="L270" i="29"/>
  <c r="K288" i="29"/>
  <c r="B1449" i="106"/>
  <c r="D1449" i="106" s="1"/>
  <c r="H293" i="29"/>
  <c r="B1438" i="106"/>
  <c r="D1438" i="106" s="1"/>
  <c r="K273" i="29"/>
  <c r="B1502" i="106" s="1"/>
  <c r="D1502" i="106" s="1"/>
  <c r="G34" i="108"/>
  <c r="E34" i="108"/>
  <c r="F26" i="108"/>
  <c r="D26" i="108"/>
  <c r="K263" i="29"/>
  <c r="B1428" i="106"/>
  <c r="D1428" i="106" s="1"/>
  <c r="D270" i="29"/>
  <c r="B1436" i="106" s="1"/>
  <c r="D1436" i="106" s="1"/>
  <c r="B7087" i="106"/>
  <c r="D7087" i="106" s="1"/>
  <c r="K251" i="29"/>
  <c r="B7088" i="106" s="1"/>
  <c r="D7088" i="106" s="1"/>
  <c r="B1419" i="106"/>
  <c r="D1419" i="106" s="1"/>
  <c r="K241" i="29"/>
  <c r="B1483" i="106" s="1"/>
  <c r="D1483" i="106" s="1"/>
  <c r="K228" i="29"/>
  <c r="B3392" i="106" s="1"/>
  <c r="D3392" i="106" s="1"/>
  <c r="B3389" i="106"/>
  <c r="D3389" i="106" s="1"/>
  <c r="B7077" i="106"/>
  <c r="D7077" i="106" s="1"/>
  <c r="K220" i="29"/>
  <c r="B4361" i="106"/>
  <c r="D4361" i="106" s="1"/>
  <c r="F172" i="34"/>
  <c r="F164" i="34"/>
  <c r="B6843" i="106"/>
  <c r="D6843" i="106" s="1"/>
  <c r="B6773" i="106"/>
  <c r="D6773" i="106" s="1"/>
  <c r="B6646" i="106"/>
  <c r="D6646" i="106" s="1"/>
  <c r="B4810" i="106"/>
  <c r="D4810" i="106" s="1"/>
  <c r="G184" i="5"/>
  <c r="B5768" i="106"/>
  <c r="D5768" i="106" s="1"/>
  <c r="B5726" i="106"/>
  <c r="D5726" i="106" s="1"/>
  <c r="G18" i="5"/>
  <c r="B5730" i="106" s="1"/>
  <c r="D5730" i="106" s="1"/>
  <c r="G44" i="4"/>
  <c r="B7752" i="106"/>
  <c r="D7752" i="106" s="1"/>
  <c r="K236" i="29"/>
  <c r="B1479" i="106" s="1"/>
  <c r="D1479" i="106" s="1"/>
  <c r="B1415" i="106"/>
  <c r="D1415" i="106" s="1"/>
  <c r="L293" i="29"/>
  <c r="K284" i="29"/>
  <c r="B4166" i="106" s="1"/>
  <c r="D4166" i="106" s="1"/>
  <c r="B4165" i="106"/>
  <c r="D4165" i="106" s="1"/>
  <c r="D277" i="29"/>
  <c r="B1444" i="106" s="1"/>
  <c r="D1444" i="106" s="1"/>
  <c r="B1437" i="106"/>
  <c r="D1437" i="106" s="1"/>
  <c r="K272" i="29"/>
  <c r="E33" i="108"/>
  <c r="K260" i="29"/>
  <c r="B1490" i="106" s="1"/>
  <c r="D1490" i="106" s="1"/>
  <c r="B1426" i="106"/>
  <c r="D1426" i="106" s="1"/>
  <c r="B7085" i="106"/>
  <c r="D7085" i="106" s="1"/>
  <c r="K250" i="29"/>
  <c r="B7086" i="106" s="1"/>
  <c r="D7086" i="106" s="1"/>
  <c r="B1418" i="106"/>
  <c r="D1418" i="106" s="1"/>
  <c r="D243" i="29"/>
  <c r="K240" i="29"/>
  <c r="K227" i="29"/>
  <c r="B1466" i="106" s="1"/>
  <c r="D1466" i="106" s="1"/>
  <c r="B1402" i="106"/>
  <c r="D1402" i="106" s="1"/>
  <c r="K219" i="29"/>
  <c r="B3065" i="106" s="1"/>
  <c r="D3065" i="106" s="1"/>
  <c r="B3064" i="106"/>
  <c r="D3064" i="106" s="1"/>
  <c r="B4192" i="106"/>
  <c r="D4192" i="106" s="1"/>
  <c r="B6829" i="106"/>
  <c r="D6829" i="106" s="1"/>
  <c r="F160" i="34"/>
  <c r="B6765" i="106"/>
  <c r="D6765" i="106" s="1"/>
  <c r="B6638" i="106"/>
  <c r="D6638" i="106" s="1"/>
  <c r="B5767" i="106"/>
  <c r="D5767" i="106" s="1"/>
  <c r="B5739" i="106"/>
  <c r="D5739" i="106" s="1"/>
  <c r="B5722" i="106"/>
  <c r="D5722" i="106" s="1"/>
  <c r="B7097" i="106"/>
  <c r="D7097" i="106" s="1"/>
  <c r="K256" i="29"/>
  <c r="B7098" i="106" s="1"/>
  <c r="D7098" i="106" s="1"/>
  <c r="B6813" i="106"/>
  <c r="D6813" i="106" s="1"/>
  <c r="F158" i="34"/>
  <c r="B3721" i="106"/>
  <c r="D3721" i="106" s="1"/>
  <c r="K283" i="29"/>
  <c r="D285" i="29"/>
  <c r="B3722" i="106" s="1"/>
  <c r="D3722" i="106" s="1"/>
  <c r="B1434" i="106"/>
  <c r="D1434" i="106" s="1"/>
  <c r="K269" i="29"/>
  <c r="B1498" i="106" s="1"/>
  <c r="D1498" i="106" s="1"/>
  <c r="D261" i="29"/>
  <c r="K259" i="29"/>
  <c r="B1425" i="106"/>
  <c r="D1425" i="106" s="1"/>
  <c r="K249" i="29"/>
  <c r="B7084" i="106" s="1"/>
  <c r="D7084" i="106" s="1"/>
  <c r="B7083" i="106"/>
  <c r="D7083" i="106" s="1"/>
  <c r="K237" i="29"/>
  <c r="B1480" i="106" s="1"/>
  <c r="D1480" i="106" s="1"/>
  <c r="B1416" i="106"/>
  <c r="D1416" i="106" s="1"/>
  <c r="K226" i="29"/>
  <c r="B7080" i="106" s="1"/>
  <c r="D7080" i="106" s="1"/>
  <c r="B7079" i="106"/>
  <c r="D7079" i="106" s="1"/>
  <c r="K218" i="29"/>
  <c r="B7075" i="106"/>
  <c r="D7075" i="106" s="1"/>
  <c r="B4421" i="106"/>
  <c r="D4421" i="106" s="1"/>
  <c r="B6821" i="106"/>
  <c r="D6821" i="106" s="1"/>
  <c r="F159" i="34"/>
  <c r="F151" i="34"/>
  <c r="B6757" i="106"/>
  <c r="D6757" i="106" s="1"/>
  <c r="B6693" i="106"/>
  <c r="D6693" i="106" s="1"/>
  <c r="B6630" i="106"/>
  <c r="D6630" i="106" s="1"/>
  <c r="B5799" i="106"/>
  <c r="D5799" i="106" s="1"/>
  <c r="G216" i="5"/>
  <c r="B5790" i="106"/>
  <c r="D5790" i="106" s="1"/>
  <c r="G211" i="5"/>
  <c r="G178" i="5"/>
  <c r="B5779" i="106"/>
  <c r="D5779" i="106" s="1"/>
  <c r="F109" i="34"/>
  <c r="B4353" i="106"/>
  <c r="D4353" i="106" s="1"/>
  <c r="B5738" i="106"/>
  <c r="D5738" i="106" s="1"/>
  <c r="G114" i="5"/>
  <c r="B4343" i="106"/>
  <c r="D4343" i="106" s="1"/>
  <c r="F135" i="34"/>
  <c r="B5822" i="106"/>
  <c r="D5822" i="106" s="1"/>
  <c r="B2848" i="106"/>
  <c r="D2848" i="106" s="1"/>
  <c r="H76" i="4"/>
  <c r="B3298" i="106" s="1"/>
  <c r="D3298" i="106" s="1"/>
  <c r="K307" i="29"/>
  <c r="B4099" i="106" s="1"/>
  <c r="D4099" i="106" s="1"/>
  <c r="B7108" i="106"/>
  <c r="D7108" i="106" s="1"/>
  <c r="B1531" i="106"/>
  <c r="D1531" i="106" s="1"/>
  <c r="E303" i="29"/>
  <c r="B5872" i="106"/>
  <c r="D5872" i="106" s="1"/>
  <c r="L310" i="29"/>
  <c r="B7106" i="106"/>
  <c r="D7106" i="106" s="1"/>
  <c r="H310" i="29"/>
  <c r="B7115" i="106" s="1"/>
  <c r="D7115" i="106" s="1"/>
  <c r="D303" i="29"/>
  <c r="B1525" i="106"/>
  <c r="D1525" i="106" s="1"/>
  <c r="H184" i="5"/>
  <c r="B5908" i="106" s="1"/>
  <c r="D5908" i="106" s="1"/>
  <c r="B5907" i="106"/>
  <c r="D5907" i="106" s="1"/>
  <c r="B5871" i="106"/>
  <c r="D5871" i="106" s="1"/>
  <c r="B9" i="7"/>
  <c r="B6245" i="106"/>
  <c r="D6245" i="106" s="1"/>
  <c r="E38" i="4"/>
  <c r="B6286" i="106" s="1"/>
  <c r="D6286" i="106" s="1"/>
  <c r="K306" i="29"/>
  <c r="B7105" i="106"/>
  <c r="D7105" i="106" s="1"/>
  <c r="E310" i="29"/>
  <c r="B7114" i="106" s="1"/>
  <c r="D7114" i="106" s="1"/>
  <c r="B1522" i="106"/>
  <c r="D1522" i="106" s="1"/>
  <c r="K302" i="29"/>
  <c r="B1558" i="106" s="1"/>
  <c r="D1558" i="106" s="1"/>
  <c r="B1519" i="106"/>
  <c r="D1519" i="106" s="1"/>
  <c r="C303" i="29"/>
  <c r="K301" i="29"/>
  <c r="B6371" i="106"/>
  <c r="D6371" i="106" s="1"/>
  <c r="H172" i="5"/>
  <c r="B5899" i="106" s="1"/>
  <c r="D5899" i="106" s="1"/>
  <c r="H34" i="3"/>
  <c r="B211" i="106" s="1"/>
  <c r="D211" i="106" s="1"/>
  <c r="B6130" i="106"/>
  <c r="D6130" i="106" s="1"/>
  <c r="J303" i="29"/>
  <c r="B7100" i="106"/>
  <c r="D7100" i="106" s="1"/>
  <c r="B4365" i="106"/>
  <c r="D4365" i="106" s="1"/>
  <c r="H178" i="5"/>
  <c r="B7043" i="106"/>
  <c r="D7043" i="106" s="1"/>
  <c r="B7112" i="106"/>
  <c r="D7112" i="106" s="1"/>
  <c r="K309" i="29"/>
  <c r="B3717" i="106" s="1"/>
  <c r="D3717" i="106" s="1"/>
  <c r="I303" i="29"/>
  <c r="B7099" i="106"/>
  <c r="D7099" i="106" s="1"/>
  <c r="B1549" i="106"/>
  <c r="D1549" i="106" s="1"/>
  <c r="H303" i="29"/>
  <c r="B5874" i="106"/>
  <c r="D5874" i="106" s="1"/>
  <c r="H18" i="5"/>
  <c r="B5878" i="106" s="1"/>
  <c r="D5878" i="106" s="1"/>
  <c r="H108" i="5"/>
  <c r="B5886" i="106" s="1"/>
  <c r="D5886" i="106" s="1"/>
  <c r="B5882" i="106"/>
  <c r="D5882" i="106" s="1"/>
  <c r="E37" i="4"/>
  <c r="B6242" i="106"/>
  <c r="D6242" i="106" s="1"/>
  <c r="B7110" i="106"/>
  <c r="D7110" i="106" s="1"/>
  <c r="K308" i="29"/>
  <c r="B4100" i="106" s="1"/>
  <c r="D4100" i="106" s="1"/>
  <c r="G303" i="29"/>
  <c r="B1543" i="106"/>
  <c r="D1543" i="106" s="1"/>
  <c r="H259" i="5"/>
  <c r="B6619" i="106"/>
  <c r="D6619" i="106" s="1"/>
  <c r="H121" i="5"/>
  <c r="B5887" i="106"/>
  <c r="D5887" i="106" s="1"/>
  <c r="B6299" i="106"/>
  <c r="D6299" i="106" s="1"/>
  <c r="L303" i="29"/>
  <c r="B1537" i="106"/>
  <c r="D1537" i="106" s="1"/>
  <c r="F303" i="29"/>
  <c r="I44" i="4"/>
  <c r="B3317" i="106" s="1"/>
  <c r="D3317" i="106" s="1"/>
  <c r="B2772" i="106"/>
  <c r="D2772" i="106" s="1"/>
  <c r="B5916" i="106"/>
  <c r="D5916" i="106" s="1"/>
  <c r="B10" i="7"/>
  <c r="B6139" i="106"/>
  <c r="D6139" i="106" s="1"/>
  <c r="I34" i="3"/>
  <c r="B5919" i="106"/>
  <c r="D5919" i="106" s="1"/>
  <c r="I18" i="5"/>
  <c r="B5923" i="106" s="1"/>
  <c r="D5923" i="106" s="1"/>
  <c r="I172" i="5"/>
  <c r="B4215" i="106"/>
  <c r="D4215" i="106" s="1"/>
  <c r="I108" i="5"/>
  <c r="B5930" i="106" s="1"/>
  <c r="D5930" i="106" s="1"/>
  <c r="B5927" i="106"/>
  <c r="D5927" i="106" s="1"/>
  <c r="B5917" i="106"/>
  <c r="D5917" i="106" s="1"/>
  <c r="J34" i="3"/>
  <c r="B6131" i="106"/>
  <c r="D6131" i="106" s="1"/>
  <c r="B7125" i="106"/>
  <c r="D7125" i="106" s="1"/>
  <c r="J330" i="29"/>
  <c r="B6353" i="106"/>
  <c r="D6353" i="106" s="1"/>
  <c r="J121" i="5"/>
  <c r="B7190" i="106"/>
  <c r="D7190" i="106" s="1"/>
  <c r="K327" i="29"/>
  <c r="B7198" i="106" s="1"/>
  <c r="D7198" i="106" s="1"/>
  <c r="J18" i="5"/>
  <c r="B6306" i="106" s="1"/>
  <c r="D6306" i="106" s="1"/>
  <c r="B6302" i="106"/>
  <c r="D6302" i="106" s="1"/>
  <c r="I330" i="29"/>
  <c r="B7124" i="106"/>
  <c r="D7124" i="106" s="1"/>
  <c r="B6398" i="106"/>
  <c r="D6398" i="106" s="1"/>
  <c r="J178" i="5"/>
  <c r="K337" i="29"/>
  <c r="B7208" i="106"/>
  <c r="D7208" i="106" s="1"/>
  <c r="H340" i="29"/>
  <c r="B7214" i="106" s="1"/>
  <c r="D7214" i="106" s="1"/>
  <c r="K325" i="29"/>
  <c r="B7180" i="106" s="1"/>
  <c r="D7180" i="106" s="1"/>
  <c r="B7172" i="106"/>
  <c r="D7172" i="106" s="1"/>
  <c r="K322" i="29"/>
  <c r="B7153" i="106" s="1"/>
  <c r="D7153" i="106" s="1"/>
  <c r="B7145" i="106"/>
  <c r="D7145" i="106" s="1"/>
  <c r="H330" i="29"/>
  <c r="B7123" i="106"/>
  <c r="D7123" i="106" s="1"/>
  <c r="B6395" i="106"/>
  <c r="D6395" i="106" s="1"/>
  <c r="B6300" i="106"/>
  <c r="D6300" i="106" s="1"/>
  <c r="J108" i="5"/>
  <c r="B6351" i="106" s="1"/>
  <c r="D6351" i="106" s="1"/>
  <c r="B6319" i="106"/>
  <c r="D6319" i="106" s="1"/>
  <c r="G330" i="29"/>
  <c r="B7122" i="106"/>
  <c r="D7122" i="106" s="1"/>
  <c r="K328" i="29"/>
  <c r="B7696" i="106" s="1"/>
  <c r="D7696" i="106" s="1"/>
  <c r="B7688" i="106"/>
  <c r="D7688" i="106" s="1"/>
  <c r="K323" i="29"/>
  <c r="B7162" i="106" s="1"/>
  <c r="D7162" i="106" s="1"/>
  <c r="B7154" i="106"/>
  <c r="D7154" i="106" s="1"/>
  <c r="K321" i="29"/>
  <c r="B7144" i="106" s="1"/>
  <c r="D7144" i="106" s="1"/>
  <c r="B7136" i="106"/>
  <c r="D7136" i="106" s="1"/>
  <c r="B6239" i="106"/>
  <c r="D6239" i="106" s="1"/>
  <c r="J76" i="4"/>
  <c r="B6261" i="106" s="1"/>
  <c r="D6261" i="106" s="1"/>
  <c r="J44" i="4"/>
  <c r="B7754" i="106"/>
  <c r="D7754" i="106" s="1"/>
  <c r="B7121" i="106"/>
  <c r="D7121" i="106" s="1"/>
  <c r="F330" i="29"/>
  <c r="B6373" i="106"/>
  <c r="D6373" i="106" s="1"/>
  <c r="J172" i="5"/>
  <c r="B6396" i="106" s="1"/>
  <c r="D6396" i="106" s="1"/>
  <c r="K329" i="29"/>
  <c r="B7705" i="106" s="1"/>
  <c r="D7705" i="106" s="1"/>
  <c r="B7697" i="106"/>
  <c r="D7697" i="106" s="1"/>
  <c r="B7163" i="106"/>
  <c r="D7163" i="106" s="1"/>
  <c r="K324" i="29"/>
  <c r="B7171" i="106" s="1"/>
  <c r="D7171" i="106" s="1"/>
  <c r="B7127" i="106"/>
  <c r="D7127" i="106" s="1"/>
  <c r="K320" i="29"/>
  <c r="B7135" i="106" s="1"/>
  <c r="D7135" i="106" s="1"/>
  <c r="B7212" i="106"/>
  <c r="D7212" i="106" s="1"/>
  <c r="K339" i="29"/>
  <c r="B7213" i="106" s="1"/>
  <c r="D7213" i="106" s="1"/>
  <c r="B7120" i="106"/>
  <c r="D7120" i="106" s="1"/>
  <c r="E330" i="29"/>
  <c r="K326" i="29"/>
  <c r="B7189" i="106" s="1"/>
  <c r="D7189" i="106" s="1"/>
  <c r="B7181" i="106"/>
  <c r="D7181" i="106" s="1"/>
  <c r="C330" i="29"/>
  <c r="B7118" i="106"/>
  <c r="D7118" i="106" s="1"/>
  <c r="K319" i="29"/>
  <c r="K338" i="29"/>
  <c r="B7211" i="106" s="1"/>
  <c r="D7211" i="106" s="1"/>
  <c r="B7210" i="106"/>
  <c r="D7210" i="106" s="1"/>
  <c r="B7119" i="106"/>
  <c r="D7119" i="106" s="1"/>
  <c r="D330" i="29"/>
  <c r="L362" i="29"/>
  <c r="L365" i="29" s="1"/>
  <c r="L350" i="29"/>
  <c r="B6296" i="106"/>
  <c r="D6296" i="106" s="1"/>
  <c r="D73" i="36"/>
  <c r="B7240" i="106"/>
  <c r="D7240" i="106" s="1"/>
  <c r="K363" i="29"/>
  <c r="B7241" i="106" s="1"/>
  <c r="D7241" i="106" s="1"/>
  <c r="B3638" i="106"/>
  <c r="D3638" i="106" s="1"/>
  <c r="F350" i="29"/>
  <c r="B5988" i="106"/>
  <c r="D5988" i="106" s="1"/>
  <c r="K18" i="5"/>
  <c r="B5992" i="106" s="1"/>
  <c r="D5992" i="106" s="1"/>
  <c r="K361" i="29"/>
  <c r="B7239" i="106" s="1"/>
  <c r="D7239" i="106" s="1"/>
  <c r="B7238" i="106"/>
  <c r="D7238" i="106" s="1"/>
  <c r="B3631" i="106"/>
  <c r="D3631" i="106" s="1"/>
  <c r="E350" i="29"/>
  <c r="K121" i="5"/>
  <c r="B6000" i="106"/>
  <c r="D6000" i="106" s="1"/>
  <c r="B5996" i="106"/>
  <c r="D5996" i="106" s="1"/>
  <c r="K108" i="5"/>
  <c r="B5999" i="106" s="1"/>
  <c r="D5999" i="106" s="1"/>
  <c r="K44" i="4"/>
  <c r="B7755" i="106"/>
  <c r="D7755" i="106" s="1"/>
  <c r="B3645" i="106"/>
  <c r="D3645" i="106" s="1"/>
  <c r="G350" i="29"/>
  <c r="K13" i="3"/>
  <c r="B3546" i="106"/>
  <c r="D3546" i="106" s="1"/>
  <c r="D42" i="36"/>
  <c r="B6132" i="106"/>
  <c r="D6132" i="106" s="1"/>
  <c r="H362" i="29"/>
  <c r="B3657" i="106"/>
  <c r="D3657" i="106" s="1"/>
  <c r="K360" i="29"/>
  <c r="B3624" i="106"/>
  <c r="D3624" i="106" s="1"/>
  <c r="D350" i="29"/>
  <c r="K364" i="29"/>
  <c r="B7746" i="106" s="1"/>
  <c r="D7746" i="106" s="1"/>
  <c r="B7745" i="106"/>
  <c r="D7745" i="106" s="1"/>
  <c r="K356" i="29"/>
  <c r="K357" i="29" s="1"/>
  <c r="K15" i="4" s="1"/>
  <c r="B3573" i="106" s="1"/>
  <c r="D3573" i="106" s="1"/>
  <c r="H357" i="29"/>
  <c r="K351" i="29"/>
  <c r="B3671" i="106" s="1"/>
  <c r="D3671" i="106" s="1"/>
  <c r="B3620" i="106"/>
  <c r="D3620" i="106" s="1"/>
  <c r="K349" i="29"/>
  <c r="B3669" i="106" s="1"/>
  <c r="D3669" i="106" s="1"/>
  <c r="B3618" i="106"/>
  <c r="D3618" i="106" s="1"/>
  <c r="K348" i="29"/>
  <c r="B3617" i="106"/>
  <c r="D3617" i="106" s="1"/>
  <c r="C350" i="29"/>
  <c r="B5986" i="106"/>
  <c r="D5986" i="106" s="1"/>
  <c r="K178" i="5"/>
  <c r="B4368" i="106"/>
  <c r="D4368" i="106" s="1"/>
  <c r="B6257" i="106"/>
  <c r="D6257" i="106" s="1"/>
  <c r="K76" i="4"/>
  <c r="B3586" i="106" s="1"/>
  <c r="D3586" i="106" s="1"/>
  <c r="B3579" i="106"/>
  <c r="D3579" i="106" s="1"/>
  <c r="D68" i="36"/>
  <c r="B7227" i="106"/>
  <c r="D7227" i="106" s="1"/>
  <c r="J350" i="29"/>
  <c r="B4868" i="106"/>
  <c r="D4868" i="106" s="1"/>
  <c r="K273" i="5"/>
  <c r="B4442" i="106" s="1"/>
  <c r="D4442" i="106" s="1"/>
  <c r="B5993" i="106"/>
  <c r="D5993" i="106" s="1"/>
  <c r="B3578" i="106"/>
  <c r="D3578" i="106" s="1"/>
  <c r="I350" i="29"/>
  <c r="B7226" i="106"/>
  <c r="D7226" i="106" s="1"/>
  <c r="B4816" i="106"/>
  <c r="D4816" i="106" s="1"/>
  <c r="K184" i="5"/>
  <c r="B6016" i="106" s="1"/>
  <c r="D6016" i="106" s="1"/>
  <c r="B6374" i="106"/>
  <c r="D6374" i="106" s="1"/>
  <c r="K172" i="5"/>
  <c r="B5000" i="106" s="1"/>
  <c r="D5000" i="106" s="1"/>
  <c r="I48" i="4"/>
  <c r="B2106" i="106" s="1"/>
  <c r="D2106" i="106" s="1"/>
  <c r="B3577" i="106"/>
  <c r="D3577" i="106" s="1"/>
  <c r="H350" i="29"/>
  <c r="B3652" i="106"/>
  <c r="D3652" i="106" s="1"/>
  <c r="B12" i="7"/>
  <c r="K12" i="5"/>
  <c r="B5985" i="106"/>
  <c r="D5985" i="106" s="1"/>
  <c r="B7753" i="106"/>
  <c r="D7753" i="106" s="1"/>
  <c r="I47" i="4"/>
  <c r="H44" i="4"/>
  <c r="B5732" i="106"/>
  <c r="D5732" i="106" s="1"/>
  <c r="B5581" i="106"/>
  <c r="D5581" i="106" s="1"/>
  <c r="B5520" i="106"/>
  <c r="D5520" i="106" s="1"/>
  <c r="B6317" i="106"/>
  <c r="D6317" i="106" s="1"/>
  <c r="B5994" i="106"/>
  <c r="D5994" i="106" s="1"/>
  <c r="B5341" i="106"/>
  <c r="D5341" i="106" s="1"/>
  <c r="B5925" i="106"/>
  <c r="D5925" i="106" s="1"/>
  <c r="B5880" i="106"/>
  <c r="D5880" i="106" s="1"/>
  <c r="B5312" i="106"/>
  <c r="D5312" i="106" s="1"/>
  <c r="B6785" i="106"/>
  <c r="D6785" i="106" s="1"/>
  <c r="B6410" i="106"/>
  <c r="D6410" i="106" s="1"/>
  <c r="B4375" i="106"/>
  <c r="D4375" i="106" s="1"/>
  <c r="B4792" i="106"/>
  <c r="D4792" i="106" s="1"/>
  <c r="B5199" i="106"/>
  <c r="D5199" i="106" s="1"/>
  <c r="B4312" i="106"/>
  <c r="D4312" i="106" s="1"/>
  <c r="B6365" i="106"/>
  <c r="D6365" i="106" s="1"/>
  <c r="B5139" i="106"/>
  <c r="D5139" i="106" s="1"/>
  <c r="B5098" i="106"/>
  <c r="D5098" i="106" s="1"/>
  <c r="B5089" i="106"/>
  <c r="D5089" i="106" s="1"/>
  <c r="B4189" i="106"/>
  <c r="D4189" i="106" s="1"/>
  <c r="B6769" i="106"/>
  <c r="D6769" i="106" s="1"/>
  <c r="B4317" i="106"/>
  <c r="D4317" i="106" s="1"/>
  <c r="B5194" i="106"/>
  <c r="D5194" i="106" s="1"/>
  <c r="B5123" i="106"/>
  <c r="D5123" i="106" s="1"/>
  <c r="B5095" i="106"/>
  <c r="D5095" i="106" s="1"/>
  <c r="B5280" i="106"/>
  <c r="D5280" i="106" s="1"/>
  <c r="B6777" i="106"/>
  <c r="D6777" i="106" s="1"/>
  <c r="B4418" i="106"/>
  <c r="D4418" i="106" s="1"/>
  <c r="B6761" i="106"/>
  <c r="D6761" i="106" s="1"/>
  <c r="B6696" i="106"/>
  <c r="D6696" i="106" s="1"/>
  <c r="B6642" i="106"/>
  <c r="D6642" i="106" s="1"/>
  <c r="B4336" i="106"/>
  <c r="D4336" i="106" s="1"/>
  <c r="B4235" i="106"/>
  <c r="D4235" i="106" s="1"/>
  <c r="B4801" i="106"/>
  <c r="D4801" i="106" s="1"/>
  <c r="B6388" i="106"/>
  <c r="D6388" i="106" s="1"/>
  <c r="B5187" i="106"/>
  <c r="D5187" i="106" s="1"/>
  <c r="B5153" i="106"/>
  <c r="D5153" i="106" s="1"/>
  <c r="B5094" i="106"/>
  <c r="D5094" i="106" s="1"/>
  <c r="F101" i="34"/>
  <c r="B5317" i="106"/>
  <c r="D5317" i="106" s="1"/>
  <c r="B6694" i="106"/>
  <c r="D6694" i="106" s="1"/>
  <c r="B6634" i="106"/>
  <c r="D6634" i="106" s="1"/>
  <c r="B4407" i="106"/>
  <c r="D4407" i="106" s="1"/>
  <c r="B4915" i="106"/>
  <c r="D4915" i="106" s="1"/>
  <c r="B5152" i="106"/>
  <c r="D5152" i="106" s="1"/>
  <c r="B5093" i="106"/>
  <c r="D5093" i="106" s="1"/>
  <c r="B5116" i="106"/>
  <c r="D5116" i="106" s="1"/>
  <c r="B5242" i="106"/>
  <c r="D5242" i="106" s="1"/>
  <c r="B6745" i="106"/>
  <c r="D6745" i="106" s="1"/>
  <c r="B6690" i="106"/>
  <c r="D6690" i="106" s="1"/>
  <c r="B6626" i="106"/>
  <c r="D6626" i="106" s="1"/>
  <c r="B6385" i="106"/>
  <c r="D6385" i="106" s="1"/>
  <c r="B4314" i="106"/>
  <c r="D4314" i="106" s="1"/>
  <c r="B5164" i="106"/>
  <c r="D5164" i="106" s="1"/>
  <c r="B4882" i="106"/>
  <c r="D4882" i="106" s="1"/>
  <c r="B5101" i="106"/>
  <c r="D5101" i="106" s="1"/>
  <c r="B5092" i="106"/>
  <c r="D5092" i="106" s="1"/>
  <c r="B5105" i="106"/>
  <c r="D5105" i="106" s="1"/>
  <c r="B6801" i="106"/>
  <c r="D6801" i="106" s="1"/>
  <c r="B6737" i="106"/>
  <c r="D6737" i="106" s="1"/>
  <c r="B6682" i="106"/>
  <c r="D6682" i="106" s="1"/>
  <c r="B4332" i="106"/>
  <c r="D4332" i="106" s="1"/>
  <c r="B4944" i="106"/>
  <c r="D4944" i="106" s="1"/>
  <c r="B5127" i="106"/>
  <c r="D5127" i="106" s="1"/>
  <c r="B5279" i="106"/>
  <c r="D5279" i="106" s="1"/>
  <c r="B6729" i="106"/>
  <c r="D6729" i="106" s="1"/>
  <c r="B6674" i="106"/>
  <c r="D6674" i="106" s="1"/>
  <c r="B5255" i="106"/>
  <c r="D5255" i="106" s="1"/>
  <c r="B4379" i="106"/>
  <c r="D4379" i="106" s="1"/>
  <c r="B5200" i="106"/>
  <c r="D5200" i="106" s="1"/>
  <c r="B4227" i="106"/>
  <c r="D4227" i="106" s="1"/>
  <c r="B5142" i="106"/>
  <c r="D5142" i="106" s="1"/>
  <c r="B4874" i="106"/>
  <c r="D4874" i="106" s="1"/>
  <c r="B4761" i="106"/>
  <c r="D4761" i="106" s="1"/>
  <c r="B7687" i="106"/>
  <c r="D7687" i="106" s="1"/>
  <c r="B5119" i="106"/>
  <c r="D5119" i="106" s="1"/>
  <c r="B4415" i="106"/>
  <c r="D4415" i="106" s="1"/>
  <c r="B4852" i="106"/>
  <c r="D4852" i="106" s="1"/>
  <c r="B1354" i="106"/>
  <c r="D1354" i="106" s="1"/>
  <c r="B6113" i="106"/>
  <c r="D6113" i="106" s="1"/>
  <c r="B2757" i="106"/>
  <c r="D2757" i="106" s="1"/>
  <c r="B3084" i="106"/>
  <c r="D3084" i="106" s="1"/>
  <c r="B2840" i="106"/>
  <c r="D2840" i="106" s="1"/>
  <c r="B1360" i="106"/>
  <c r="D1360" i="106" s="1"/>
  <c r="B145" i="106"/>
  <c r="D145" i="106" s="1"/>
  <c r="B6150" i="106"/>
  <c r="D6150" i="106" s="1"/>
  <c r="B6087" i="106"/>
  <c r="D6087" i="106" s="1"/>
  <c r="B3589" i="106"/>
  <c r="D3589" i="106" s="1"/>
  <c r="B3562" i="106"/>
  <c r="D3562" i="106" s="1"/>
  <c r="B1645" i="106"/>
  <c r="D1645" i="106" s="1"/>
  <c r="B6264" i="106"/>
  <c r="D6264" i="106" s="1"/>
  <c r="B3321" i="106"/>
  <c r="D3321" i="106" s="1"/>
  <c r="B1687" i="106"/>
  <c r="D1687" i="106" s="1"/>
  <c r="B1673" i="106"/>
  <c r="D1673" i="106" s="1"/>
  <c r="B1659" i="106"/>
  <c r="D1659" i="106" s="1"/>
  <c r="B1631" i="106"/>
  <c r="D1631" i="106" s="1"/>
  <c r="G65" i="29" l="1"/>
  <c r="B977" i="106" s="1"/>
  <c r="D977" i="106" s="1"/>
  <c r="E35" i="108"/>
  <c r="C129" i="29"/>
  <c r="L352" i="29"/>
  <c r="L279" i="29"/>
  <c r="L184" i="29"/>
  <c r="L210" i="29" s="1"/>
  <c r="G39" i="108"/>
  <c r="G129" i="29"/>
  <c r="G38" i="108"/>
  <c r="H129" i="29"/>
  <c r="E39" i="108"/>
  <c r="E38" i="108"/>
  <c r="D129" i="29"/>
  <c r="H33" i="29"/>
  <c r="B1010" i="106" s="1"/>
  <c r="D1010" i="106" s="1"/>
  <c r="H65" i="29"/>
  <c r="B1035" i="106" s="1"/>
  <c r="D1035" i="106" s="1"/>
  <c r="E28" i="108"/>
  <c r="K64" i="29"/>
  <c r="B14" i="7"/>
  <c r="D14" i="7" s="1"/>
  <c r="B1770" i="106" s="1"/>
  <c r="D1770" i="106" s="1"/>
  <c r="L367" i="29"/>
  <c r="L295" i="29"/>
  <c r="F37" i="108"/>
  <c r="F28" i="108"/>
  <c r="J129" i="29"/>
  <c r="E129" i="29"/>
  <c r="L65" i="29"/>
  <c r="B18" i="7"/>
  <c r="B4103" i="106" s="1"/>
  <c r="D4103" i="106" s="1"/>
  <c r="E12" i="5"/>
  <c r="B5513" i="106" s="1"/>
  <c r="D5513" i="106" s="1"/>
  <c r="F129" i="29"/>
  <c r="F151" i="29" s="1"/>
  <c r="B1250" i="106" s="1"/>
  <c r="D1250" i="106" s="1"/>
  <c r="B5148" i="106"/>
  <c r="D5148" i="106" s="1"/>
  <c r="C140" i="5"/>
  <c r="B5161" i="106" s="1"/>
  <c r="D5161" i="106" s="1"/>
  <c r="F153" i="34"/>
  <c r="F169" i="34"/>
  <c r="F122" i="34"/>
  <c r="F157" i="34"/>
  <c r="H112" i="29"/>
  <c r="B7018" i="106" s="1"/>
  <c r="D7018" i="106" s="1"/>
  <c r="B1053" i="106"/>
  <c r="D1053" i="106" s="1"/>
  <c r="C144" i="5"/>
  <c r="B5165" i="106" s="1"/>
  <c r="D5165" i="106" s="1"/>
  <c r="F46" i="34"/>
  <c r="B6891" i="106"/>
  <c r="D6891" i="106" s="1"/>
  <c r="K92" i="29"/>
  <c r="B2089" i="106" s="1"/>
  <c r="D2089" i="106" s="1"/>
  <c r="B6995" i="106"/>
  <c r="D6995" i="106" s="1"/>
  <c r="B6883" i="106"/>
  <c r="D6883" i="106" s="1"/>
  <c r="F42" i="34"/>
  <c r="L47" i="29"/>
  <c r="J74" i="29"/>
  <c r="B6978" i="106" s="1"/>
  <c r="D6978" i="106" s="1"/>
  <c r="B6917" i="106"/>
  <c r="D6917" i="106" s="1"/>
  <c r="B5224" i="106"/>
  <c r="D5224" i="106" s="1"/>
  <c r="C178" i="5"/>
  <c r="B5106" i="106"/>
  <c r="D5106" i="106" s="1"/>
  <c r="F97" i="34"/>
  <c r="C224" i="5"/>
  <c r="B5286" i="106" s="1"/>
  <c r="D5286" i="106" s="1"/>
  <c r="B5274" i="106"/>
  <c r="D5274" i="106" s="1"/>
  <c r="F139" i="34"/>
  <c r="F154" i="34"/>
  <c r="F166" i="34"/>
  <c r="B727" i="106"/>
  <c r="D727" i="106" s="1"/>
  <c r="C74" i="29"/>
  <c r="B755" i="106" s="1"/>
  <c r="D755" i="106" s="1"/>
  <c r="B2724" i="106"/>
  <c r="D2724" i="106" s="1"/>
  <c r="E13" i="145"/>
  <c r="G13" i="145" s="1"/>
  <c r="B1126" i="106"/>
  <c r="D1126" i="106" s="1"/>
  <c r="K65" i="29"/>
  <c r="B1133" i="106" s="1"/>
  <c r="D1133" i="106" s="1"/>
  <c r="E15" i="145"/>
  <c r="B6889" i="106"/>
  <c r="D6889" i="106" s="1"/>
  <c r="F45" i="34"/>
  <c r="B843" i="106"/>
  <c r="D843" i="106" s="1"/>
  <c r="E74" i="29"/>
  <c r="B871" i="106" s="1"/>
  <c r="D871" i="106" s="1"/>
  <c r="B720" i="106"/>
  <c r="D720" i="106" s="1"/>
  <c r="G74" i="29"/>
  <c r="B987" i="106" s="1"/>
  <c r="D987" i="106" s="1"/>
  <c r="B959" i="106"/>
  <c r="D959" i="106" s="1"/>
  <c r="F41" i="34"/>
  <c r="B6881" i="106"/>
  <c r="D6881" i="106" s="1"/>
  <c r="F116" i="34"/>
  <c r="F149" i="34"/>
  <c r="F29" i="34" s="1"/>
  <c r="F123" i="34"/>
  <c r="B901" i="106"/>
  <c r="D901" i="106" s="1"/>
  <c r="F74" i="29"/>
  <c r="B929" i="106" s="1"/>
  <c r="D929" i="106" s="1"/>
  <c r="B778" i="106"/>
  <c r="D778" i="106" s="1"/>
  <c r="L42" i="29"/>
  <c r="C67" i="5"/>
  <c r="B5090" i="106" s="1"/>
  <c r="D5090" i="106" s="1"/>
  <c r="L33" i="29"/>
  <c r="C93" i="5"/>
  <c r="B5112" i="106" s="1"/>
  <c r="D5112" i="106" s="1"/>
  <c r="B5103" i="106"/>
  <c r="D5103" i="106" s="1"/>
  <c r="F96" i="34"/>
  <c r="B5111" i="106"/>
  <c r="D5111" i="106" s="1"/>
  <c r="F100" i="34"/>
  <c r="F138" i="34"/>
  <c r="F170" i="34"/>
  <c r="F152" i="34"/>
  <c r="F165" i="34"/>
  <c r="F118" i="34"/>
  <c r="F174" i="34"/>
  <c r="B785" i="106"/>
  <c r="D785" i="106" s="1"/>
  <c r="D74" i="29"/>
  <c r="B813" i="106" s="1"/>
  <c r="D813" i="106" s="1"/>
  <c r="F34" i="34"/>
  <c r="B6848" i="106"/>
  <c r="D6848" i="106" s="1"/>
  <c r="B6858" i="106"/>
  <c r="D6858" i="106" s="1"/>
  <c r="F36" i="34"/>
  <c r="B1107" i="106"/>
  <c r="D1107" i="106" s="1"/>
  <c r="F38" i="34"/>
  <c r="K19" i="29"/>
  <c r="B3381" i="106" s="1"/>
  <c r="D3381" i="106" s="1"/>
  <c r="C44" i="4"/>
  <c r="F49" i="34"/>
  <c r="B6897" i="106"/>
  <c r="D6897" i="106" s="1"/>
  <c r="B6899" i="106"/>
  <c r="D6899" i="106" s="1"/>
  <c r="F50" i="34"/>
  <c r="L53" i="29"/>
  <c r="C259" i="5"/>
  <c r="B6833" i="106" s="1"/>
  <c r="D6833" i="106" s="1"/>
  <c r="B6614" i="106"/>
  <c r="D6614" i="106" s="1"/>
  <c r="C184" i="5"/>
  <c r="B5232" i="106" s="1"/>
  <c r="D5232" i="106" s="1"/>
  <c r="B5230" i="106"/>
  <c r="D5230" i="106" s="1"/>
  <c r="F126" i="34"/>
  <c r="B5133" i="106"/>
  <c r="D5133" i="106" s="1"/>
  <c r="C131" i="5"/>
  <c r="B5113" i="106"/>
  <c r="D5113" i="106" s="1"/>
  <c r="C108" i="5"/>
  <c r="B5120" i="106" s="1"/>
  <c r="D5120" i="106" s="1"/>
  <c r="B5126" i="106"/>
  <c r="D5126" i="106" s="1"/>
  <c r="C121" i="5"/>
  <c r="F103" i="34"/>
  <c r="F144" i="34"/>
  <c r="B1131" i="106"/>
  <c r="D1131" i="106" s="1"/>
  <c r="E16" i="145"/>
  <c r="G16" i="145" s="1"/>
  <c r="F52" i="34"/>
  <c r="C14" i="4"/>
  <c r="B2558" i="106" s="1"/>
  <c r="D2558" i="106" s="1"/>
  <c r="B1144" i="106"/>
  <c r="D1144" i="106" s="1"/>
  <c r="B5064" i="106"/>
  <c r="D5064" i="106" s="1"/>
  <c r="B17" i="7"/>
  <c r="B6879" i="106"/>
  <c r="D6879" i="106" s="1"/>
  <c r="F40" i="34"/>
  <c r="B6916" i="106"/>
  <c r="D6916" i="106" s="1"/>
  <c r="I74" i="29"/>
  <c r="B6977" i="106" s="1"/>
  <c r="D6977" i="106" s="1"/>
  <c r="B6885" i="106"/>
  <c r="D6885" i="106" s="1"/>
  <c r="F43" i="34"/>
  <c r="B5247" i="106"/>
  <c r="D5247" i="106" s="1"/>
  <c r="C211" i="5"/>
  <c r="B5260" i="106" s="1"/>
  <c r="D5260" i="106" s="1"/>
  <c r="B5097" i="106"/>
  <c r="D5097" i="106" s="1"/>
  <c r="C82" i="5"/>
  <c r="B5102" i="106" s="1"/>
  <c r="D5102" i="106" s="1"/>
  <c r="F125" i="34"/>
  <c r="F133" i="34"/>
  <c r="F146" i="34"/>
  <c r="B6887" i="106"/>
  <c r="D6887" i="106" s="1"/>
  <c r="F44" i="34"/>
  <c r="K47" i="29"/>
  <c r="B1119" i="106" s="1"/>
  <c r="D1119" i="106" s="1"/>
  <c r="B1116" i="106"/>
  <c r="D1116" i="106" s="1"/>
  <c r="B1120" i="106"/>
  <c r="D1120" i="106" s="1"/>
  <c r="K53" i="29"/>
  <c r="B1122" i="106" s="1"/>
  <c r="D1122" i="106" s="1"/>
  <c r="K57" i="29"/>
  <c r="B1125" i="106" s="1"/>
  <c r="D1125" i="106" s="1"/>
  <c r="B1123" i="106"/>
  <c r="D1123" i="106" s="1"/>
  <c r="C75" i="5"/>
  <c r="B6903" i="106"/>
  <c r="D6903" i="106" s="1"/>
  <c r="J114" i="29"/>
  <c r="B7021" i="106" s="1"/>
  <c r="D7021" i="106" s="1"/>
  <c r="B91" i="106"/>
  <c r="D91" i="106" s="1"/>
  <c r="B1104" i="106"/>
  <c r="D1104" i="106" s="1"/>
  <c r="F37" i="34"/>
  <c r="F39" i="34"/>
  <c r="B6877" i="106"/>
  <c r="D6877" i="106" s="1"/>
  <c r="B6997" i="106"/>
  <c r="D6997" i="106" s="1"/>
  <c r="K100" i="29"/>
  <c r="B7013" i="106" s="1"/>
  <c r="D7013" i="106" s="1"/>
  <c r="B1017" i="106"/>
  <c r="D1017" i="106" s="1"/>
  <c r="H74" i="29"/>
  <c r="B1045" i="106" s="1"/>
  <c r="D1045" i="106" s="1"/>
  <c r="C216" i="5"/>
  <c r="B4411" i="106" s="1"/>
  <c r="D4411" i="106" s="1"/>
  <c r="B5256" i="106"/>
  <c r="D5256" i="106" s="1"/>
  <c r="B6401" i="106"/>
  <c r="D6401" i="106" s="1"/>
  <c r="C201" i="5"/>
  <c r="B5246" i="106" s="1"/>
  <c r="D5246" i="106" s="1"/>
  <c r="B5167" i="106"/>
  <c r="D5167" i="106" s="1"/>
  <c r="F108" i="34"/>
  <c r="C114" i="5"/>
  <c r="B5122" i="106"/>
  <c r="D5122" i="106" s="1"/>
  <c r="D12" i="171"/>
  <c r="F140" i="34"/>
  <c r="F134" i="34"/>
  <c r="F145" i="34"/>
  <c r="F121" i="34"/>
  <c r="F113" i="34"/>
  <c r="F150" i="34"/>
  <c r="F114" i="34"/>
  <c r="B5066" i="106"/>
  <c r="D5066" i="106" s="1"/>
  <c r="E12" i="145"/>
  <c r="B1121" i="106"/>
  <c r="D1121" i="106" s="1"/>
  <c r="B1134" i="106"/>
  <c r="D1134" i="106" s="1"/>
  <c r="E17" i="145"/>
  <c r="G17" i="145" s="1"/>
  <c r="B2973" i="106"/>
  <c r="D2973" i="106" s="1"/>
  <c r="K84" i="29"/>
  <c r="B6895" i="106"/>
  <c r="D6895" i="106" s="1"/>
  <c r="F48" i="34"/>
  <c r="B894" i="106"/>
  <c r="D894" i="106" s="1"/>
  <c r="F114" i="29"/>
  <c r="B931" i="106" s="1"/>
  <c r="D931" i="106" s="1"/>
  <c r="L84" i="29"/>
  <c r="L102" i="29" s="1"/>
  <c r="B6901" i="106"/>
  <c r="D6901" i="106" s="1"/>
  <c r="F51" i="34"/>
  <c r="K5" i="29"/>
  <c r="B937" i="106"/>
  <c r="D937" i="106" s="1"/>
  <c r="G33" i="29"/>
  <c r="B5175" i="106"/>
  <c r="D5175" i="106" s="1"/>
  <c r="C154" i="5"/>
  <c r="B5178" i="106" s="1"/>
  <c r="D5178" i="106" s="1"/>
  <c r="B5181" i="106"/>
  <c r="D5181" i="106" s="1"/>
  <c r="F112" i="34"/>
  <c r="C191" i="5"/>
  <c r="B5233" i="106"/>
  <c r="D5233" i="106" s="1"/>
  <c r="C228" i="5"/>
  <c r="B5304" i="106" s="1"/>
  <c r="D5304" i="106" s="1"/>
  <c r="B5301" i="106"/>
  <c r="D5301" i="106" s="1"/>
  <c r="F115" i="34"/>
  <c r="F171" i="34"/>
  <c r="D4" i="7"/>
  <c r="B1760" i="106" s="1"/>
  <c r="D1760" i="106" s="1"/>
  <c r="B1744" i="106"/>
  <c r="D1744" i="106" s="1"/>
  <c r="B1109" i="106"/>
  <c r="D1109" i="106" s="1"/>
  <c r="K42" i="29"/>
  <c r="E14" i="145"/>
  <c r="G14" i="145" s="1"/>
  <c r="B1124" i="106"/>
  <c r="D1124" i="106" s="1"/>
  <c r="K72" i="29"/>
  <c r="B1141" i="106" s="1"/>
  <c r="D1141" i="106" s="1"/>
  <c r="B1139" i="106"/>
  <c r="D1139" i="106" s="1"/>
  <c r="E102" i="29"/>
  <c r="B2790" i="106" s="1"/>
  <c r="D2790" i="106" s="1"/>
  <c r="B2789" i="106"/>
  <c r="D2789" i="106" s="1"/>
  <c r="I33" i="29"/>
  <c r="B2081" i="106"/>
  <c r="D2081" i="106" s="1"/>
  <c r="H102" i="29"/>
  <c r="B1047" i="106" s="1"/>
  <c r="D1047" i="106" s="1"/>
  <c r="B6853" i="106"/>
  <c r="D6853" i="106" s="1"/>
  <c r="F35" i="34"/>
  <c r="B6893" i="106"/>
  <c r="D6893" i="106" s="1"/>
  <c r="F47" i="34"/>
  <c r="B836" i="106"/>
  <c r="D836" i="106" s="1"/>
  <c r="B1146" i="106"/>
  <c r="D1146" i="106" s="1"/>
  <c r="K110" i="29"/>
  <c r="L57" i="29"/>
  <c r="L72" i="29"/>
  <c r="C13" i="3"/>
  <c r="D34" i="36"/>
  <c r="B3411" i="106"/>
  <c r="D3411" i="106" s="1"/>
  <c r="B5367" i="106"/>
  <c r="D5367" i="106" s="1"/>
  <c r="B2805" i="106"/>
  <c r="D2805" i="106" s="1"/>
  <c r="F56" i="34"/>
  <c r="D14" i="4"/>
  <c r="B2570" i="106" s="1"/>
  <c r="D2570" i="106" s="1"/>
  <c r="B5" i="7"/>
  <c r="B5328" i="106"/>
  <c r="D5328" i="106" s="1"/>
  <c r="D12" i="5"/>
  <c r="B7038" i="106"/>
  <c r="D7038" i="106" s="1"/>
  <c r="J151" i="29"/>
  <c r="B7052" i="106" s="1"/>
  <c r="D7052" i="106" s="1"/>
  <c r="K147" i="29"/>
  <c r="B1283" i="106"/>
  <c r="D1283" i="106" s="1"/>
  <c r="B5423" i="106"/>
  <c r="D5423" i="106" s="1"/>
  <c r="I129" i="29"/>
  <c r="E26" i="108"/>
  <c r="K127" i="29"/>
  <c r="B1279" i="106" s="1"/>
  <c r="D1279" i="106" s="1"/>
  <c r="B1274" i="106"/>
  <c r="D1274" i="106" s="1"/>
  <c r="G26" i="108"/>
  <c r="F15" i="145"/>
  <c r="H149" i="29"/>
  <c r="B1272" i="106" s="1"/>
  <c r="D1272" i="106" s="1"/>
  <c r="B7047" i="106"/>
  <c r="D7047" i="106" s="1"/>
  <c r="B1241" i="106"/>
  <c r="D1241" i="106" s="1"/>
  <c r="B4202" i="106"/>
  <c r="D4202" i="106" s="1"/>
  <c r="E139" i="29"/>
  <c r="B4203" i="106" s="1"/>
  <c r="D4203" i="106" s="1"/>
  <c r="D13" i="7"/>
  <c r="B3726" i="106" s="1"/>
  <c r="D3726" i="106" s="1"/>
  <c r="B3725" i="106"/>
  <c r="D3725" i="106" s="1"/>
  <c r="B4396" i="106"/>
  <c r="D4396" i="106" s="1"/>
  <c r="D273" i="5"/>
  <c r="B5501" i="106" s="1"/>
  <c r="D5501" i="106" s="1"/>
  <c r="B2986" i="106"/>
  <c r="D2986" i="106" s="1"/>
  <c r="K137" i="29"/>
  <c r="D67" i="5"/>
  <c r="B5342" i="106" s="1"/>
  <c r="D5342" i="106" s="1"/>
  <c r="B5340" i="106"/>
  <c r="D5340" i="106" s="1"/>
  <c r="B109" i="106"/>
  <c r="D109" i="106" s="1"/>
  <c r="B1233" i="106"/>
  <c r="D1233" i="106" s="1"/>
  <c r="D151" i="29"/>
  <c r="B1234" i="106" s="1"/>
  <c r="D1234" i="106" s="1"/>
  <c r="D34" i="3"/>
  <c r="B6126" i="106"/>
  <c r="D6126" i="106" s="1"/>
  <c r="G151" i="29"/>
  <c r="B1258" i="106"/>
  <c r="D1258" i="106" s="1"/>
  <c r="B1266" i="106"/>
  <c r="D1266" i="106" s="1"/>
  <c r="C151" i="29"/>
  <c r="B1226" i="106" s="1"/>
  <c r="D1226" i="106" s="1"/>
  <c r="B1225" i="106"/>
  <c r="D1225" i="106" s="1"/>
  <c r="L127" i="29"/>
  <c r="L129" i="29" s="1"/>
  <c r="L151" i="29" s="1"/>
  <c r="B3235" i="106"/>
  <c r="D3235" i="106" s="1"/>
  <c r="D77" i="4"/>
  <c r="B3238" i="106" s="1"/>
  <c r="D3238" i="106" s="1"/>
  <c r="B4080" i="106"/>
  <c r="D4080" i="106" s="1"/>
  <c r="B5348" i="106"/>
  <c r="D5348" i="106" s="1"/>
  <c r="B5369" i="106"/>
  <c r="D5369" i="106" s="1"/>
  <c r="D172" i="5"/>
  <c r="B5412" i="106" s="1"/>
  <c r="D5412" i="106" s="1"/>
  <c r="D5" i="4"/>
  <c r="B3406" i="106" s="1"/>
  <c r="D3406" i="106" s="1"/>
  <c r="B5360" i="106"/>
  <c r="D5360" i="106" s="1"/>
  <c r="B2091" i="106"/>
  <c r="D2091" i="106" s="1"/>
  <c r="H139" i="29"/>
  <c r="B1267" i="106" s="1"/>
  <c r="D1267" i="106" s="1"/>
  <c r="B7778" i="106"/>
  <c r="D7778" i="106" s="1"/>
  <c r="K160" i="29"/>
  <c r="B1308" i="106"/>
  <c r="D1308" i="106" s="1"/>
  <c r="E174" i="29"/>
  <c r="B1309" i="106" s="1"/>
  <c r="D1309" i="106" s="1"/>
  <c r="D6" i="7"/>
  <c r="B1762" i="106" s="1"/>
  <c r="D1762" i="106" s="1"/>
  <c r="B1746" i="106"/>
  <c r="D1746" i="106" s="1"/>
  <c r="B131" i="106"/>
  <c r="D131" i="106" s="1"/>
  <c r="E67" i="5"/>
  <c r="B5521" i="106" s="1"/>
  <c r="D5521" i="106" s="1"/>
  <c r="B5519" i="106"/>
  <c r="D5519" i="106" s="1"/>
  <c r="B5534" i="106"/>
  <c r="D5534" i="106" s="1"/>
  <c r="E173" i="5"/>
  <c r="F61" i="34"/>
  <c r="B1329" i="106"/>
  <c r="D1329" i="106" s="1"/>
  <c r="K168" i="29"/>
  <c r="B1324" i="106"/>
  <c r="D1324" i="106" s="1"/>
  <c r="B1756" i="106"/>
  <c r="D1756" i="106" s="1"/>
  <c r="D15" i="7"/>
  <c r="B1772" i="106" s="1"/>
  <c r="D1772" i="106" s="1"/>
  <c r="B1314" i="106"/>
  <c r="D1314" i="106" s="1"/>
  <c r="H172" i="29"/>
  <c r="B1317" i="106" s="1"/>
  <c r="D1317" i="106" s="1"/>
  <c r="B4372" i="106"/>
  <c r="D4372" i="106" s="1"/>
  <c r="B6835" i="106"/>
  <c r="D6835" i="106" s="1"/>
  <c r="E273" i="5"/>
  <c r="B7747" i="106" s="1"/>
  <c r="D7747" i="106" s="1"/>
  <c r="B139" i="106"/>
  <c r="D139" i="106" s="1"/>
  <c r="B5592" i="106"/>
  <c r="D5592" i="106" s="1"/>
  <c r="F5" i="4"/>
  <c r="B3408" i="106" s="1"/>
  <c r="D3408" i="106" s="1"/>
  <c r="F14" i="4"/>
  <c r="B2597" i="106" s="1"/>
  <c r="D2597" i="106" s="1"/>
  <c r="F62" i="34"/>
  <c r="B2836" i="106"/>
  <c r="D2836" i="106" s="1"/>
  <c r="D210" i="29"/>
  <c r="B1346" i="106" s="1"/>
  <c r="D1346" i="106" s="1"/>
  <c r="B1345" i="106"/>
  <c r="D1345" i="106" s="1"/>
  <c r="B4156" i="106"/>
  <c r="D4156" i="106" s="1"/>
  <c r="H208" i="29"/>
  <c r="B1375" i="106" s="1"/>
  <c r="D1375" i="106" s="1"/>
  <c r="F34" i="3"/>
  <c r="B6128" i="106"/>
  <c r="D6128" i="106" s="1"/>
  <c r="F76" i="4"/>
  <c r="B3254" i="106" s="1"/>
  <c r="D3254" i="106" s="1"/>
  <c r="B2828" i="106"/>
  <c r="D2828" i="106" s="1"/>
  <c r="H196" i="29"/>
  <c r="B2830" i="106" s="1"/>
  <c r="D2830" i="106" s="1"/>
  <c r="K204" i="29"/>
  <c r="B1383" i="106"/>
  <c r="D1383" i="106" s="1"/>
  <c r="B3007" i="106"/>
  <c r="D3007" i="106" s="1"/>
  <c r="K194" i="29"/>
  <c r="B1351" i="106"/>
  <c r="D1351" i="106" s="1"/>
  <c r="B2823" i="106"/>
  <c r="D2823" i="106" s="1"/>
  <c r="E196" i="29"/>
  <c r="B1352" i="106" s="1"/>
  <c r="D1352" i="106" s="1"/>
  <c r="F105" i="34"/>
  <c r="F172" i="5"/>
  <c r="B5644" i="106" s="1"/>
  <c r="D5644" i="106" s="1"/>
  <c r="B5614" i="106"/>
  <c r="D5614" i="106" s="1"/>
  <c r="K182" i="29"/>
  <c r="B5599" i="106"/>
  <c r="D5599" i="106" s="1"/>
  <c r="F12" i="5"/>
  <c r="F44" i="4"/>
  <c r="B4086" i="106"/>
  <c r="D4086" i="106" s="1"/>
  <c r="H184" i="29"/>
  <c r="F67" i="5"/>
  <c r="B5582" i="106" s="1"/>
  <c r="D5582" i="106" s="1"/>
  <c r="B7064" i="106"/>
  <c r="D7064" i="106" s="1"/>
  <c r="J210" i="29"/>
  <c r="B7072" i="106" s="1"/>
  <c r="D7072" i="106" s="1"/>
  <c r="B3419" i="106"/>
  <c r="D3419" i="106" s="1"/>
  <c r="F13" i="3"/>
  <c r="D37" i="36"/>
  <c r="B4397" i="106"/>
  <c r="D4397" i="106" s="1"/>
  <c r="F273" i="5"/>
  <c r="B5713" i="106" s="1"/>
  <c r="D5713" i="106" s="1"/>
  <c r="B1747" i="106"/>
  <c r="D1747" i="106" s="1"/>
  <c r="D7" i="7"/>
  <c r="B1763" i="106" s="1"/>
  <c r="D1763" i="106" s="1"/>
  <c r="I184" i="29"/>
  <c r="B7057" i="106"/>
  <c r="D7057" i="106" s="1"/>
  <c r="B5655" i="106"/>
  <c r="D5655" i="106" s="1"/>
  <c r="F274" i="5"/>
  <c r="K180" i="29"/>
  <c r="C184" i="29"/>
  <c r="B4081" i="106"/>
  <c r="D4081" i="106" s="1"/>
  <c r="F184" i="29"/>
  <c r="G184" i="29"/>
  <c r="B4211" i="106"/>
  <c r="D4211" i="106" s="1"/>
  <c r="F64" i="34"/>
  <c r="D72" i="36"/>
  <c r="B1410" i="106"/>
  <c r="D1410" i="106" s="1"/>
  <c r="B5784" i="106"/>
  <c r="D5784" i="106" s="1"/>
  <c r="F127" i="34"/>
  <c r="B1417" i="106"/>
  <c r="D1417" i="106" s="1"/>
  <c r="D279" i="29"/>
  <c r="B1446" i="106" s="1"/>
  <c r="D1446" i="106" s="1"/>
  <c r="G67" i="5"/>
  <c r="B5733" i="106" s="1"/>
  <c r="D5733" i="106" s="1"/>
  <c r="B1470" i="106"/>
  <c r="D1470" i="106" s="1"/>
  <c r="F70" i="34"/>
  <c r="B3723" i="106"/>
  <c r="D3723" i="106" s="1"/>
  <c r="K285" i="29"/>
  <c r="K243" i="29"/>
  <c r="B1485" i="106" s="1"/>
  <c r="D1485" i="106" s="1"/>
  <c r="B1482" i="106"/>
  <c r="D1482" i="106" s="1"/>
  <c r="F136" i="34"/>
  <c r="B5847" i="106"/>
  <c r="D5847" i="106" s="1"/>
  <c r="B3390" i="106"/>
  <c r="D3390" i="106" s="1"/>
  <c r="K229" i="29"/>
  <c r="G12" i="5"/>
  <c r="B16" i="7"/>
  <c r="B5723" i="106"/>
  <c r="D5723" i="106" s="1"/>
  <c r="B1486" i="106"/>
  <c r="D1486" i="106" s="1"/>
  <c r="K257" i="29"/>
  <c r="B1488" i="106" s="1"/>
  <c r="D1488" i="106" s="1"/>
  <c r="B5752" i="106"/>
  <c r="D5752" i="106" s="1"/>
  <c r="G172" i="5"/>
  <c r="B5770" i="106" s="1"/>
  <c r="D5770" i="106" s="1"/>
  <c r="B5780" i="106"/>
  <c r="D5780" i="106" s="1"/>
  <c r="F68" i="34"/>
  <c r="B7076" i="106"/>
  <c r="D7076" i="106" s="1"/>
  <c r="B1489" i="106"/>
  <c r="D1489" i="106" s="1"/>
  <c r="K261" i="29"/>
  <c r="B1491" i="106" s="1"/>
  <c r="D1491" i="106" s="1"/>
  <c r="B1421" i="106"/>
  <c r="D1421" i="106" s="1"/>
  <c r="B1501" i="106"/>
  <c r="D1501" i="106" s="1"/>
  <c r="K277" i="29"/>
  <c r="B1508" i="106" s="1"/>
  <c r="D1508" i="106" s="1"/>
  <c r="B7078" i="106"/>
  <c r="D7078" i="106" s="1"/>
  <c r="F69" i="34"/>
  <c r="B5748" i="106"/>
  <c r="D5748" i="106" s="1"/>
  <c r="F67" i="34"/>
  <c r="B7074" i="106"/>
  <c r="D7074" i="106" s="1"/>
  <c r="B1511" i="106"/>
  <c r="D1511" i="106" s="1"/>
  <c r="F72" i="34"/>
  <c r="G14" i="4"/>
  <c r="B2609" i="106" s="1"/>
  <c r="D2609" i="106" s="1"/>
  <c r="B5721" i="106"/>
  <c r="D5721" i="106" s="1"/>
  <c r="B8" i="7"/>
  <c r="B5803" i="106"/>
  <c r="D5803" i="106" s="1"/>
  <c r="G24" i="108"/>
  <c r="B1427" i="106"/>
  <c r="D1427" i="106" s="1"/>
  <c r="B3258" i="106"/>
  <c r="D3258" i="106" s="1"/>
  <c r="G77" i="4"/>
  <c r="B3261" i="106" s="1"/>
  <c r="D3261" i="106" s="1"/>
  <c r="B1452" i="106"/>
  <c r="D1452" i="106" s="1"/>
  <c r="H295" i="29"/>
  <c r="B1454" i="106" s="1"/>
  <c r="D1454" i="106" s="1"/>
  <c r="F128" i="34"/>
  <c r="B4398" i="106"/>
  <c r="D4398" i="106" s="1"/>
  <c r="G273" i="5"/>
  <c r="B5863" i="106" s="1"/>
  <c r="D5863" i="106" s="1"/>
  <c r="B5756" i="106"/>
  <c r="D5756" i="106" s="1"/>
  <c r="F107" i="34"/>
  <c r="B1492" i="106"/>
  <c r="D1492" i="106" s="1"/>
  <c r="K270" i="29"/>
  <c r="B1500" i="106" s="1"/>
  <c r="D1500" i="106" s="1"/>
  <c r="B4357" i="106"/>
  <c r="D4357" i="106" s="1"/>
  <c r="B188" i="106"/>
  <c r="D188" i="106" s="1"/>
  <c r="D38" i="36"/>
  <c r="B3422" i="106"/>
  <c r="D3422" i="106" s="1"/>
  <c r="G13" i="3"/>
  <c r="B1473" i="106"/>
  <c r="D1473" i="106" s="1"/>
  <c r="F71" i="34"/>
  <c r="B1475" i="106"/>
  <c r="D1475" i="106" s="1"/>
  <c r="K238" i="29"/>
  <c r="G5" i="4"/>
  <c r="B3409" i="106" s="1"/>
  <c r="D3409" i="106" s="1"/>
  <c r="B5741" i="106"/>
  <c r="D5741" i="106" s="1"/>
  <c r="B4414" i="106"/>
  <c r="D4414" i="106" s="1"/>
  <c r="K293" i="29"/>
  <c r="B1512" i="106"/>
  <c r="D1512" i="106" s="1"/>
  <c r="B6409" i="106"/>
  <c r="D6409" i="106" s="1"/>
  <c r="D39" i="36"/>
  <c r="B3425" i="106"/>
  <c r="D3425" i="106" s="1"/>
  <c r="H13" i="3"/>
  <c r="B203" i="106" s="1"/>
  <c r="D203" i="106" s="1"/>
  <c r="B7104" i="106"/>
  <c r="D7104" i="106" s="1"/>
  <c r="J312" i="29"/>
  <c r="B7117" i="106" s="1"/>
  <c r="D7117" i="106" s="1"/>
  <c r="D9" i="7"/>
  <c r="B1767" i="106" s="1"/>
  <c r="D1767" i="106" s="1"/>
  <c r="B1751" i="106"/>
  <c r="D1751" i="106" s="1"/>
  <c r="B5879" i="106"/>
  <c r="D5879" i="106" s="1"/>
  <c r="H67" i="5"/>
  <c r="B5881" i="106" s="1"/>
  <c r="D5881" i="106" s="1"/>
  <c r="B1541" i="106"/>
  <c r="D1541" i="106" s="1"/>
  <c r="F312" i="29"/>
  <c r="B1542" i="106" s="1"/>
  <c r="D1542" i="106" s="1"/>
  <c r="B6838" i="106"/>
  <c r="D6838" i="106" s="1"/>
  <c r="H273" i="5"/>
  <c r="B4441" i="106" s="1"/>
  <c r="D4441" i="106" s="1"/>
  <c r="I312" i="29"/>
  <c r="B7116" i="106" s="1"/>
  <c r="D7116" i="106" s="1"/>
  <c r="B7103" i="106"/>
  <c r="D7103" i="106" s="1"/>
  <c r="B1535" i="106"/>
  <c r="D1535" i="106" s="1"/>
  <c r="E312" i="29"/>
  <c r="B1536" i="106" s="1"/>
  <c r="D1536" i="106" s="1"/>
  <c r="B1547" i="106"/>
  <c r="D1547" i="106" s="1"/>
  <c r="G312" i="29"/>
  <c r="B1548" i="106" s="1"/>
  <c r="D1548" i="106" s="1"/>
  <c r="B7107" i="106"/>
  <c r="D7107" i="106" s="1"/>
  <c r="K310" i="29"/>
  <c r="B1553" i="106"/>
  <c r="D1553" i="106" s="1"/>
  <c r="H312" i="29"/>
  <c r="B1554" i="106" s="1"/>
  <c r="D1554" i="106" s="1"/>
  <c r="B4950" i="106"/>
  <c r="D4950" i="106" s="1"/>
  <c r="K303" i="29"/>
  <c r="B1555" i="106"/>
  <c r="D1555" i="106" s="1"/>
  <c r="B1529" i="106"/>
  <c r="D1529" i="106" s="1"/>
  <c r="D312" i="29"/>
  <c r="B1530" i="106" s="1"/>
  <c r="D1530" i="106" s="1"/>
  <c r="B1523" i="106"/>
  <c r="D1523" i="106" s="1"/>
  <c r="C312" i="29"/>
  <c r="B1524" i="106" s="1"/>
  <c r="D1524" i="106" s="1"/>
  <c r="B5893" i="106"/>
  <c r="D5893" i="106" s="1"/>
  <c r="H173" i="5"/>
  <c r="B6285" i="106"/>
  <c r="D6285" i="106" s="1"/>
  <c r="E44" i="4"/>
  <c r="L312" i="29"/>
  <c r="H12" i="5"/>
  <c r="B2910" i="106"/>
  <c r="D2910" i="106" s="1"/>
  <c r="I12" i="5"/>
  <c r="B3427" i="106"/>
  <c r="D3427" i="106" s="1"/>
  <c r="D40" i="36"/>
  <c r="H24" i="118"/>
  <c r="I13" i="3"/>
  <c r="B1749" i="106"/>
  <c r="D1749" i="106" s="1"/>
  <c r="D10" i="7"/>
  <c r="B1765" i="106" s="1"/>
  <c r="D1765" i="106" s="1"/>
  <c r="B4363" i="106"/>
  <c r="D4363" i="106" s="1"/>
  <c r="I173" i="5"/>
  <c r="B5924" i="106"/>
  <c r="D5924" i="106" s="1"/>
  <c r="I67" i="5"/>
  <c r="B5926" i="106" s="1"/>
  <c r="D5926" i="106" s="1"/>
  <c r="B6217" i="106"/>
  <c r="D6217" i="106" s="1"/>
  <c r="J13" i="3"/>
  <c r="D41" i="36"/>
  <c r="J274" i="5"/>
  <c r="B6400" i="106"/>
  <c r="D6400" i="106" s="1"/>
  <c r="J67" i="5"/>
  <c r="B6318" i="106" s="1"/>
  <c r="D6318" i="106" s="1"/>
  <c r="B6316" i="106"/>
  <c r="D6316" i="106" s="1"/>
  <c r="J12" i="5"/>
  <c r="B6298" i="106"/>
  <c r="D6298" i="106" s="1"/>
  <c r="B11" i="7"/>
  <c r="B6357" i="106"/>
  <c r="D6357" i="106" s="1"/>
  <c r="J173" i="5"/>
  <c r="B7201" i="106"/>
  <c r="D7201" i="106" s="1"/>
  <c r="E342" i="29"/>
  <c r="B7218" i="106" s="1"/>
  <c r="D7218" i="106" s="1"/>
  <c r="J77" i="4"/>
  <c r="B6262" i="106" s="1"/>
  <c r="D6262" i="106" s="1"/>
  <c r="B6238" i="106"/>
  <c r="D6238" i="106" s="1"/>
  <c r="B7126" i="106"/>
  <c r="D7126" i="106" s="1"/>
  <c r="K330" i="29"/>
  <c r="I342" i="29"/>
  <c r="B7222" i="106" s="1"/>
  <c r="D7222" i="106" s="1"/>
  <c r="B7205" i="106"/>
  <c r="D7205" i="106" s="1"/>
  <c r="J342" i="29"/>
  <c r="B7223" i="106" s="1"/>
  <c r="D7223" i="106" s="1"/>
  <c r="B7206" i="106"/>
  <c r="D7206" i="106" s="1"/>
  <c r="D342" i="29"/>
  <c r="B7217" i="106" s="1"/>
  <c r="D7217" i="106" s="1"/>
  <c r="B7200" i="106"/>
  <c r="D7200" i="106" s="1"/>
  <c r="C342" i="29"/>
  <c r="B7216" i="106" s="1"/>
  <c r="D7216" i="106" s="1"/>
  <c r="B7199" i="106"/>
  <c r="D7199" i="106" s="1"/>
  <c r="B6191" i="106"/>
  <c r="D6191" i="106" s="1"/>
  <c r="B7202" i="106"/>
  <c r="D7202" i="106" s="1"/>
  <c r="F342" i="29"/>
  <c r="B7219" i="106" s="1"/>
  <c r="D7219" i="106" s="1"/>
  <c r="L330" i="29"/>
  <c r="L342" i="29" s="1"/>
  <c r="B7203" i="106"/>
  <c r="D7203" i="106" s="1"/>
  <c r="G342" i="29"/>
  <c r="B7220" i="106" s="1"/>
  <c r="D7220" i="106" s="1"/>
  <c r="B7204" i="106"/>
  <c r="D7204" i="106" s="1"/>
  <c r="H342" i="29"/>
  <c r="B7221" i="106" s="1"/>
  <c r="D7221" i="106" s="1"/>
  <c r="K340" i="29"/>
  <c r="B7209" i="106"/>
  <c r="D7209" i="106" s="1"/>
  <c r="J352" i="29"/>
  <c r="B7231" i="106"/>
  <c r="D7231" i="106" s="1"/>
  <c r="E352" i="29"/>
  <c r="B3633" i="106"/>
  <c r="D3633" i="106" s="1"/>
  <c r="H352" i="29"/>
  <c r="B3654" i="106"/>
  <c r="D3654" i="106" s="1"/>
  <c r="B7230" i="106"/>
  <c r="D7230" i="106" s="1"/>
  <c r="I352" i="29"/>
  <c r="B3658" i="106"/>
  <c r="D3658" i="106" s="1"/>
  <c r="H365" i="29"/>
  <c r="B7242" i="106" s="1"/>
  <c r="D7242" i="106" s="1"/>
  <c r="B3647" i="106"/>
  <c r="D3647" i="106" s="1"/>
  <c r="G352" i="29"/>
  <c r="B3619" i="106"/>
  <c r="D3619" i="106" s="1"/>
  <c r="C352" i="29"/>
  <c r="K34" i="3"/>
  <c r="B3584" i="106"/>
  <c r="D3584" i="106" s="1"/>
  <c r="K77" i="4"/>
  <c r="B3587" i="106" s="1"/>
  <c r="D3587" i="106" s="1"/>
  <c r="B4951" i="106"/>
  <c r="D4951" i="106" s="1"/>
  <c r="K274" i="5"/>
  <c r="K67" i="5"/>
  <c r="B5995" i="106" s="1"/>
  <c r="D5995" i="106" s="1"/>
  <c r="K350" i="29"/>
  <c r="B3668" i="106"/>
  <c r="D3668" i="106" s="1"/>
  <c r="B3626" i="106"/>
  <c r="D3626" i="106" s="1"/>
  <c r="D352" i="29"/>
  <c r="B1753" i="106"/>
  <c r="D1753" i="106" s="1"/>
  <c r="D12" i="7"/>
  <c r="B3675" i="106"/>
  <c r="D3675" i="106" s="1"/>
  <c r="K362" i="29"/>
  <c r="B5987" i="106"/>
  <c r="D5987" i="106" s="1"/>
  <c r="B3552" i="106"/>
  <c r="D3552" i="106" s="1"/>
  <c r="B6006" i="106"/>
  <c r="D6006" i="106" s="1"/>
  <c r="K173" i="5"/>
  <c r="F352" i="29"/>
  <c r="B3640" i="106"/>
  <c r="D3640" i="106" s="1"/>
  <c r="B3296" i="106"/>
  <c r="D3296" i="106" s="1"/>
  <c r="H77" i="4"/>
  <c r="B2105" i="106"/>
  <c r="D2105" i="106" s="1"/>
  <c r="I76" i="4"/>
  <c r="B1617" i="106"/>
  <c r="D1617" i="106" s="1"/>
  <c r="E21" i="108" l="1"/>
  <c r="E22" i="108"/>
  <c r="F130" i="34"/>
  <c r="G22" i="108"/>
  <c r="F106" i="34"/>
  <c r="B1754" i="106"/>
  <c r="D1754" i="106" s="1"/>
  <c r="F129" i="34"/>
  <c r="K109" i="5"/>
  <c r="K4" i="4" s="1"/>
  <c r="D18" i="7"/>
  <c r="B4105" i="106" s="1"/>
  <c r="D4105" i="106" s="1"/>
  <c r="B1249" i="106"/>
  <c r="D1249" i="106" s="1"/>
  <c r="G173" i="5"/>
  <c r="F161" i="34"/>
  <c r="D31" i="108"/>
  <c r="D41" i="108" s="1"/>
  <c r="E43" i="108" s="1"/>
  <c r="F31" i="108"/>
  <c r="F41" i="108" s="1"/>
  <c r="G43" i="108" s="1"/>
  <c r="G21" i="108"/>
  <c r="F173" i="5"/>
  <c r="F6" i="4" s="1"/>
  <c r="B2593" i="106" s="1"/>
  <c r="D2593" i="106" s="1"/>
  <c r="E109" i="5"/>
  <c r="E4" i="4" s="1"/>
  <c r="F111" i="34"/>
  <c r="E24" i="108"/>
  <c r="K129" i="29"/>
  <c r="D13" i="4" s="1"/>
  <c r="F131" i="34"/>
  <c r="E151" i="29"/>
  <c r="B1242" i="106" s="1"/>
  <c r="D1242" i="106" s="1"/>
  <c r="B19" i="7"/>
  <c r="B1759" i="106" s="1"/>
  <c r="D1759" i="106" s="1"/>
  <c r="F95" i="34"/>
  <c r="E114" i="29"/>
  <c r="B873" i="106" s="1"/>
  <c r="D873" i="106" s="1"/>
  <c r="B1115" i="106"/>
  <c r="D1115" i="106" s="1"/>
  <c r="K74" i="29"/>
  <c r="B1093" i="106"/>
  <c r="D1093" i="106" s="1"/>
  <c r="K33" i="29"/>
  <c r="B2088" i="106"/>
  <c r="D2088" i="106" s="1"/>
  <c r="K102" i="29"/>
  <c r="B6902" i="106"/>
  <c r="D6902" i="106" s="1"/>
  <c r="I114" i="29"/>
  <c r="B4395" i="106"/>
  <c r="D4395" i="106" s="1"/>
  <c r="C273" i="5"/>
  <c r="B5320" i="106" s="1"/>
  <c r="D5320" i="106" s="1"/>
  <c r="C5" i="4"/>
  <c r="B3405" i="106" s="1"/>
  <c r="D3405" i="106" s="1"/>
  <c r="B5125" i="106"/>
  <c r="D5125" i="106" s="1"/>
  <c r="B4102" i="106"/>
  <c r="D4102" i="106" s="1"/>
  <c r="D17" i="7"/>
  <c r="B4104" i="106" s="1"/>
  <c r="D4104" i="106" s="1"/>
  <c r="L74" i="29"/>
  <c r="L114" i="29" s="1"/>
  <c r="B5132" i="106"/>
  <c r="D5132" i="106" s="1"/>
  <c r="C77" i="4"/>
  <c r="B3232" i="106" s="1"/>
  <c r="D3232" i="106" s="1"/>
  <c r="B3229" i="106"/>
  <c r="D3229" i="106" s="1"/>
  <c r="D114" i="29"/>
  <c r="B815" i="106" s="1"/>
  <c r="D815" i="106" s="1"/>
  <c r="H114" i="29"/>
  <c r="B1054" i="106" s="1"/>
  <c r="D1054" i="106" s="1"/>
  <c r="B77" i="106"/>
  <c r="D77" i="106" s="1"/>
  <c r="B5096" i="106"/>
  <c r="D5096" i="106" s="1"/>
  <c r="F94" i="34"/>
  <c r="B5225" i="106"/>
  <c r="D5225" i="106" s="1"/>
  <c r="E19" i="145"/>
  <c r="G12" i="145"/>
  <c r="B952" i="106"/>
  <c r="D952" i="106" s="1"/>
  <c r="G114" i="29"/>
  <c r="B1151" i="106"/>
  <c r="D1151" i="106" s="1"/>
  <c r="K112" i="29"/>
  <c r="C109" i="5"/>
  <c r="B5147" i="106"/>
  <c r="D5147" i="106" s="1"/>
  <c r="C172" i="5"/>
  <c r="B5214" i="106" s="1"/>
  <c r="D5214" i="106" s="1"/>
  <c r="C114" i="29"/>
  <c r="B757" i="106" s="1"/>
  <c r="D757" i="106" s="1"/>
  <c r="B7037" i="106"/>
  <c r="D7037" i="106" s="1"/>
  <c r="I151" i="29"/>
  <c r="K139" i="29"/>
  <c r="B2093" i="106"/>
  <c r="D2093" i="106" s="1"/>
  <c r="H151" i="29"/>
  <c r="B1273" i="106" s="1"/>
  <c r="D1273" i="106" s="1"/>
  <c r="D274" i="5"/>
  <c r="B1745" i="106"/>
  <c r="D1745" i="106" s="1"/>
  <c r="D5" i="7"/>
  <c r="B1761" i="106" s="1"/>
  <c r="D1761" i="106" s="1"/>
  <c r="F19" i="145"/>
  <c r="G15" i="145"/>
  <c r="B5334" i="106"/>
  <c r="D5334" i="106" s="1"/>
  <c r="D109" i="5"/>
  <c r="F58" i="34"/>
  <c r="B1259" i="106"/>
  <c r="D1259" i="106" s="1"/>
  <c r="B7048" i="106"/>
  <c r="D7048" i="106" s="1"/>
  <c r="K149" i="29"/>
  <c r="D173" i="5"/>
  <c r="B122" i="106"/>
  <c r="D122" i="106" s="1"/>
  <c r="E274" i="5"/>
  <c r="E275" i="5" s="1"/>
  <c r="B5544" i="106"/>
  <c r="D5544" i="106" s="1"/>
  <c r="E6" i="4"/>
  <c r="B2631" i="106" s="1"/>
  <c r="D2631" i="106" s="1"/>
  <c r="F60" i="34"/>
  <c r="E15" i="4"/>
  <c r="H174" i="29"/>
  <c r="B1318" i="106" s="1"/>
  <c r="D1318" i="106" s="1"/>
  <c r="B1328" i="106"/>
  <c r="D1328" i="106" s="1"/>
  <c r="K172" i="29"/>
  <c r="K184" i="29"/>
  <c r="B4087" i="106"/>
  <c r="D4087" i="106" s="1"/>
  <c r="B4157" i="106"/>
  <c r="D4157" i="106" s="1"/>
  <c r="K208" i="29"/>
  <c r="F7" i="4"/>
  <c r="B2594" i="106" s="1"/>
  <c r="D2594" i="106" s="1"/>
  <c r="B5719" i="106"/>
  <c r="D5719" i="106" s="1"/>
  <c r="F77" i="4"/>
  <c r="B3255" i="106" s="1"/>
  <c r="D3255" i="106" s="1"/>
  <c r="B3252" i="106"/>
  <c r="D3252" i="106" s="1"/>
  <c r="B157" i="106"/>
  <c r="D157" i="106" s="1"/>
  <c r="F109" i="5"/>
  <c r="B5557" i="106"/>
  <c r="D5557" i="106" s="1"/>
  <c r="E210" i="29"/>
  <c r="B1353" i="106" s="1"/>
  <c r="D1353" i="106" s="1"/>
  <c r="B1364" i="106"/>
  <c r="D1364" i="106" s="1"/>
  <c r="G210" i="29"/>
  <c r="B7063" i="106"/>
  <c r="D7063" i="106" s="1"/>
  <c r="I210" i="29"/>
  <c r="B1358" i="106"/>
  <c r="D1358" i="106" s="1"/>
  <c r="F210" i="29"/>
  <c r="B1359" i="106" s="1"/>
  <c r="D1359" i="106" s="1"/>
  <c r="B1377" i="106"/>
  <c r="D1377" i="106" s="1"/>
  <c r="G29" i="108"/>
  <c r="E29" i="108"/>
  <c r="B2837" i="106"/>
  <c r="D2837" i="106" s="1"/>
  <c r="K196" i="29"/>
  <c r="B169" i="106"/>
  <c r="D169" i="106" s="1"/>
  <c r="B1339" i="106"/>
  <c r="D1339" i="106" s="1"/>
  <c r="C210" i="29"/>
  <c r="B1340" i="106" s="1"/>
  <c r="D1340" i="106" s="1"/>
  <c r="B1370" i="106"/>
  <c r="D1370" i="106" s="1"/>
  <c r="H210" i="29"/>
  <c r="B1376" i="106" s="1"/>
  <c r="D1376" i="106" s="1"/>
  <c r="B180" i="106"/>
  <c r="D180" i="106" s="1"/>
  <c r="D8" i="7"/>
  <c r="B1764" i="106" s="1"/>
  <c r="D1764" i="106" s="1"/>
  <c r="B1748" i="106"/>
  <c r="D1748" i="106" s="1"/>
  <c r="B5725" i="106"/>
  <c r="D5725" i="106" s="1"/>
  <c r="G109" i="5"/>
  <c r="B3724" i="106"/>
  <c r="D3724" i="106" s="1"/>
  <c r="F73" i="34"/>
  <c r="G15" i="4"/>
  <c r="B6032" i="106" s="1"/>
  <c r="D6032" i="106" s="1"/>
  <c r="B5778" i="106"/>
  <c r="D5778" i="106" s="1"/>
  <c r="G6" i="4"/>
  <c r="B2604" i="106" s="1"/>
  <c r="D2604" i="106" s="1"/>
  <c r="G12" i="4"/>
  <c r="B1474" i="106"/>
  <c r="D1474" i="106" s="1"/>
  <c r="D295" i="29"/>
  <c r="B1448" i="106" s="1"/>
  <c r="D1448" i="106" s="1"/>
  <c r="B3446" i="106"/>
  <c r="D3446" i="106" s="1"/>
  <c r="D16" i="7"/>
  <c r="B3447" i="106" s="1"/>
  <c r="D3447" i="106" s="1"/>
  <c r="B1481" i="106"/>
  <c r="D1481" i="106" s="1"/>
  <c r="K279" i="29"/>
  <c r="G274" i="5"/>
  <c r="B1515" i="106"/>
  <c r="D1515" i="106" s="1"/>
  <c r="G16" i="4"/>
  <c r="B2611" i="106" s="1"/>
  <c r="D2611" i="106" s="1"/>
  <c r="B5873" i="106"/>
  <c r="D5873" i="106" s="1"/>
  <c r="H109" i="5"/>
  <c r="E77" i="4"/>
  <c r="B3274" i="106"/>
  <c r="D3274" i="106" s="1"/>
  <c r="H15" i="4"/>
  <c r="B2660" i="106" s="1"/>
  <c r="D2660" i="106" s="1"/>
  <c r="B2102" i="106"/>
  <c r="D2102" i="106" s="1"/>
  <c r="K312" i="29"/>
  <c r="B1560" i="106" s="1"/>
  <c r="D1560" i="106" s="1"/>
  <c r="B1559" i="106"/>
  <c r="D1559" i="106" s="1"/>
  <c r="H13" i="4"/>
  <c r="B5906" i="106"/>
  <c r="D5906" i="106" s="1"/>
  <c r="H6" i="4"/>
  <c r="B2656" i="106" s="1"/>
  <c r="D2656" i="106" s="1"/>
  <c r="H274" i="5"/>
  <c r="B2888" i="106"/>
  <c r="D2888" i="106" s="1"/>
  <c r="B4216" i="106"/>
  <c r="D4216" i="106" s="1"/>
  <c r="I6" i="4"/>
  <c r="B5011" i="106" s="1"/>
  <c r="D5011" i="106" s="1"/>
  <c r="I109" i="5"/>
  <c r="B5918" i="106"/>
  <c r="D5918" i="106" s="1"/>
  <c r="G23" i="108"/>
  <c r="J13" i="4"/>
  <c r="K342" i="29"/>
  <c r="E23" i="108"/>
  <c r="B7207" i="106"/>
  <c r="D7207" i="106" s="1"/>
  <c r="J6" i="4"/>
  <c r="B6221" i="106" s="1"/>
  <c r="D6221" i="106" s="1"/>
  <c r="B6397" i="106"/>
  <c r="D6397" i="106" s="1"/>
  <c r="J7" i="4"/>
  <c r="B6222" i="106" s="1"/>
  <c r="D6222" i="106" s="1"/>
  <c r="B7054" i="106"/>
  <c r="D7054" i="106" s="1"/>
  <c r="B7215" i="106"/>
  <c r="D7215" i="106" s="1"/>
  <c r="J16" i="4"/>
  <c r="B6226" i="106" s="1"/>
  <c r="D6226" i="106" s="1"/>
  <c r="B6301" i="106"/>
  <c r="D6301" i="106" s="1"/>
  <c r="J109" i="5"/>
  <c r="B1752" i="106"/>
  <c r="D1752" i="106" s="1"/>
  <c r="D11" i="7"/>
  <c r="B1768" i="106" s="1"/>
  <c r="D1768" i="106" s="1"/>
  <c r="B6124" i="106"/>
  <c r="D6124" i="106" s="1"/>
  <c r="K365" i="29"/>
  <c r="B3676" i="106"/>
  <c r="D3676" i="106" s="1"/>
  <c r="B3670" i="106"/>
  <c r="D3670" i="106" s="1"/>
  <c r="K352" i="29"/>
  <c r="H367" i="29"/>
  <c r="B3660" i="106" s="1"/>
  <c r="D3660" i="106" s="1"/>
  <c r="B3656" i="106"/>
  <c r="D3656" i="106" s="1"/>
  <c r="B3642" i="106"/>
  <c r="D3642" i="106" s="1"/>
  <c r="F367" i="29"/>
  <c r="B3643" i="106" s="1"/>
  <c r="D3643" i="106" s="1"/>
  <c r="B3649" i="106"/>
  <c r="D3649" i="106" s="1"/>
  <c r="G367" i="29"/>
  <c r="B3650" i="106" s="1"/>
  <c r="D3650" i="106" s="1"/>
  <c r="B3621" i="106"/>
  <c r="D3621" i="106" s="1"/>
  <c r="C367" i="29"/>
  <c r="B3622" i="106" s="1"/>
  <c r="D3622" i="106" s="1"/>
  <c r="K6" i="4"/>
  <c r="B3570" i="106" s="1"/>
  <c r="D3570" i="106" s="1"/>
  <c r="B6014" i="106"/>
  <c r="D6014" i="106" s="1"/>
  <c r="B6022" i="106"/>
  <c r="D6022" i="106" s="1"/>
  <c r="K7" i="4"/>
  <c r="B3635" i="106"/>
  <c r="D3635" i="106" s="1"/>
  <c r="E367" i="29"/>
  <c r="B3636" i="106" s="1"/>
  <c r="D3636" i="106" s="1"/>
  <c r="B1769" i="106"/>
  <c r="D1769" i="106" s="1"/>
  <c r="D367" i="29"/>
  <c r="B3629" i="106" s="1"/>
  <c r="D3629" i="106" s="1"/>
  <c r="B3628" i="106"/>
  <c r="D3628" i="106" s="1"/>
  <c r="I367" i="29"/>
  <c r="B7234" i="106"/>
  <c r="D7234" i="106" s="1"/>
  <c r="K275" i="5"/>
  <c r="B3565" i="106"/>
  <c r="D3565" i="106" s="1"/>
  <c r="B7235" i="106"/>
  <c r="D7235" i="106" s="1"/>
  <c r="J367" i="29"/>
  <c r="B7245" i="106" s="1"/>
  <c r="D7245" i="106" s="1"/>
  <c r="B3318" i="106"/>
  <c r="D3318" i="106" s="1"/>
  <c r="I77" i="4"/>
  <c r="B3299" i="106"/>
  <c r="D3299" i="106" s="1"/>
  <c r="B5653" i="106" l="1"/>
  <c r="D5653" i="106" s="1"/>
  <c r="B6028" i="106"/>
  <c r="D6028" i="106" s="1"/>
  <c r="F178" i="34"/>
  <c r="B1281" i="106"/>
  <c r="D1281" i="106" s="1"/>
  <c r="G19" i="145"/>
  <c r="J20" i="145" s="1"/>
  <c r="B5527" i="106"/>
  <c r="D5527" i="106" s="1"/>
  <c r="B989" i="106"/>
  <c r="D989" i="106" s="1"/>
  <c r="F54" i="34"/>
  <c r="B1145" i="106"/>
  <c r="D1145" i="106" s="1"/>
  <c r="C15" i="4"/>
  <c r="B2559" i="106" s="1"/>
  <c r="D2559" i="106" s="1"/>
  <c r="F53" i="34"/>
  <c r="C274" i="5"/>
  <c r="B1108" i="106"/>
  <c r="D1108" i="106" s="1"/>
  <c r="C12" i="4"/>
  <c r="K114" i="29"/>
  <c r="G19" i="108"/>
  <c r="E19" i="108"/>
  <c r="E41" i="108" s="1"/>
  <c r="E44" i="108" s="1"/>
  <c r="E45" i="108" s="1"/>
  <c r="C4" i="4"/>
  <c r="B5121" i="106"/>
  <c r="D5121" i="106" s="1"/>
  <c r="C16" i="4"/>
  <c r="B2560" i="106" s="1"/>
  <c r="D2560" i="106" s="1"/>
  <c r="B7019" i="106"/>
  <c r="D7019" i="106" s="1"/>
  <c r="C173" i="5"/>
  <c r="C13" i="4"/>
  <c r="B2557" i="106" s="1"/>
  <c r="D2557" i="106" s="1"/>
  <c r="B1143" i="106"/>
  <c r="D1143" i="106" s="1"/>
  <c r="F55" i="34"/>
  <c r="B7020" i="106"/>
  <c r="D7020" i="106" s="1"/>
  <c r="D6" i="4"/>
  <c r="B2566" i="106" s="1"/>
  <c r="D2566" i="106" s="1"/>
  <c r="B5421" i="106"/>
  <c r="D5421" i="106" s="1"/>
  <c r="D7" i="4"/>
  <c r="B2567" i="106" s="1"/>
  <c r="D2567" i="106" s="1"/>
  <c r="B5507" i="106"/>
  <c r="D5507" i="106" s="1"/>
  <c r="D16" i="4"/>
  <c r="B2572" i="106" s="1"/>
  <c r="D2572" i="106" s="1"/>
  <c r="B1287" i="106"/>
  <c r="D1287" i="106" s="1"/>
  <c r="K151" i="29"/>
  <c r="B2569" i="106"/>
  <c r="D2569" i="106" s="1"/>
  <c r="D15" i="4"/>
  <c r="B2571" i="106" s="1"/>
  <c r="D2571" i="106" s="1"/>
  <c r="F57" i="34"/>
  <c r="B1282" i="106"/>
  <c r="D1282" i="106" s="1"/>
  <c r="B5356" i="106"/>
  <c r="D5356" i="106" s="1"/>
  <c r="D275" i="5"/>
  <c r="D4" i="4"/>
  <c r="B7051" i="106"/>
  <c r="D7051" i="106" s="1"/>
  <c r="F59" i="34"/>
  <c r="B2633" i="106"/>
  <c r="D2633" i="106" s="1"/>
  <c r="B5552" i="106"/>
  <c r="D5552" i="106" s="1"/>
  <c r="B1331" i="106"/>
  <c r="D1331" i="106" s="1"/>
  <c r="E16" i="4"/>
  <c r="B2634" i="106" s="1"/>
  <c r="D2634" i="106" s="1"/>
  <c r="B2630" i="106"/>
  <c r="D2630" i="106" s="1"/>
  <c r="K174" i="29"/>
  <c r="K175" i="29" s="1"/>
  <c r="B1333" i="106" s="1"/>
  <c r="D1333" i="106" s="1"/>
  <c r="E7" i="4"/>
  <c r="B4443" i="106" s="1"/>
  <c r="D4443" i="106" s="1"/>
  <c r="B4434" i="106"/>
  <c r="D4434" i="106" s="1"/>
  <c r="F16" i="4"/>
  <c r="B2599" i="106" s="1"/>
  <c r="D2599" i="106" s="1"/>
  <c r="B1387" i="106"/>
  <c r="D1387" i="106" s="1"/>
  <c r="F66" i="34"/>
  <c r="B7071" i="106"/>
  <c r="D7071" i="106" s="1"/>
  <c r="F4" i="4"/>
  <c r="B5588" i="106"/>
  <c r="D5588" i="106" s="1"/>
  <c r="F275" i="5"/>
  <c r="B5720" i="106" s="1"/>
  <c r="D5720" i="106" s="1"/>
  <c r="F63" i="34"/>
  <c r="F15" i="4"/>
  <c r="B2598" i="106" s="1"/>
  <c r="D2598" i="106" s="1"/>
  <c r="B1382" i="106"/>
  <c r="D1382" i="106" s="1"/>
  <c r="G41" i="108"/>
  <c r="G44" i="108" s="1"/>
  <c r="G45" i="108" s="1"/>
  <c r="B1365" i="106"/>
  <c r="D1365" i="106" s="1"/>
  <c r="F65" i="34"/>
  <c r="B1381" i="106"/>
  <c r="D1381" i="106" s="1"/>
  <c r="F13" i="4"/>
  <c r="K210" i="29"/>
  <c r="D19" i="7"/>
  <c r="B1775" i="106" s="1"/>
  <c r="D1775" i="106" s="1"/>
  <c r="G7" i="4"/>
  <c r="B2605" i="106" s="1"/>
  <c r="D2605" i="106" s="1"/>
  <c r="B5869" i="106"/>
  <c r="D5869" i="106" s="1"/>
  <c r="G275" i="5"/>
  <c r="G4" i="4"/>
  <c r="B6024" i="106"/>
  <c r="D6024" i="106" s="1"/>
  <c r="G13" i="4"/>
  <c r="B2608" i="106" s="1"/>
  <c r="D2608" i="106" s="1"/>
  <c r="B1510" i="106"/>
  <c r="D1510" i="106" s="1"/>
  <c r="K295" i="29"/>
  <c r="B2607" i="106"/>
  <c r="D2607" i="106" s="1"/>
  <c r="B5914" i="106"/>
  <c r="D5914" i="106" s="1"/>
  <c r="H7" i="4"/>
  <c r="B2657" i="106" s="1"/>
  <c r="D2657" i="106" s="1"/>
  <c r="B3277" i="106"/>
  <c r="D3277" i="106" s="1"/>
  <c r="H275" i="5"/>
  <c r="B6025" i="106"/>
  <c r="D6025" i="106" s="1"/>
  <c r="H4" i="4"/>
  <c r="B2659" i="106"/>
  <c r="D2659" i="106" s="1"/>
  <c r="H17" i="4"/>
  <c r="I275" i="5"/>
  <c r="B5946" i="106" s="1"/>
  <c r="D5946" i="106" s="1"/>
  <c r="B6026" i="106"/>
  <c r="D6026" i="106" s="1"/>
  <c r="I4" i="4"/>
  <c r="J4" i="4"/>
  <c r="J275" i="5"/>
  <c r="B6352" i="106"/>
  <c r="D6352" i="106" s="1"/>
  <c r="F13" i="34"/>
  <c r="B7224" i="106"/>
  <c r="D7224" i="106" s="1"/>
  <c r="B7042" i="106"/>
  <c r="D7042" i="106" s="1"/>
  <c r="J17" i="4"/>
  <c r="B3718" i="106"/>
  <c r="D3718" i="106" s="1"/>
  <c r="B7244" i="106"/>
  <c r="D7244" i="106" s="1"/>
  <c r="F17" i="11"/>
  <c r="K367" i="29"/>
  <c r="B3678" i="106" s="1"/>
  <c r="D3678" i="106" s="1"/>
  <c r="B3672" i="106"/>
  <c r="D3672" i="106" s="1"/>
  <c r="K13" i="4"/>
  <c r="B3569" i="106"/>
  <c r="D3569" i="106" s="1"/>
  <c r="K8" i="4"/>
  <c r="B6023" i="106"/>
  <c r="D6023" i="106" s="1"/>
  <c r="B7243" i="106"/>
  <c r="D7243" i="106" s="1"/>
  <c r="K16" i="4"/>
  <c r="B3574" i="106" s="1"/>
  <c r="D3574" i="106" s="1"/>
  <c r="B3319" i="106"/>
  <c r="D3319" i="106" s="1"/>
  <c r="C275" i="5" l="1"/>
  <c r="G17" i="4"/>
  <c r="F76" i="34"/>
  <c r="D17" i="4"/>
  <c r="B2573" i="106" s="1"/>
  <c r="D2573" i="106" s="1"/>
  <c r="K368" i="29"/>
  <c r="B3681" i="106" s="1"/>
  <c r="D3681" i="106" s="1"/>
  <c r="E8" i="4"/>
  <c r="E10" i="4" s="1"/>
  <c r="B4124" i="106" s="1"/>
  <c r="D4124" i="106" s="1"/>
  <c r="B2556" i="106"/>
  <c r="D2556" i="106" s="1"/>
  <c r="C17" i="4"/>
  <c r="B5327" i="106"/>
  <c r="D5327" i="106" s="1"/>
  <c r="K115" i="29"/>
  <c r="B1153" i="106" s="1"/>
  <c r="D1153" i="106" s="1"/>
  <c r="B5326" i="106"/>
  <c r="D5326" i="106" s="1"/>
  <c r="C7" i="4"/>
  <c r="B2551" i="106"/>
  <c r="D2551" i="106" s="1"/>
  <c r="C6" i="4"/>
  <c r="B2553" i="106" s="1"/>
  <c r="D2553" i="106" s="1"/>
  <c r="B5223" i="106"/>
  <c r="D5223" i="106" s="1"/>
  <c r="F8" i="34"/>
  <c r="B1152" i="106"/>
  <c r="D1152" i="106" s="1"/>
  <c r="D8" i="4"/>
  <c r="B2564" i="106"/>
  <c r="D2564" i="106" s="1"/>
  <c r="B5508" i="106"/>
  <c r="D5508" i="106" s="1"/>
  <c r="K152" i="29"/>
  <c r="B1289" i="106" s="1"/>
  <c r="D1289" i="106" s="1"/>
  <c r="F9" i="34"/>
  <c r="B1288" i="106"/>
  <c r="D1288" i="106" s="1"/>
  <c r="D19" i="4"/>
  <c r="B4137" i="106" s="1"/>
  <c r="D4137" i="106" s="1"/>
  <c r="B2632" i="106"/>
  <c r="D2632" i="106" s="1"/>
  <c r="B140" i="106"/>
  <c r="D140" i="106" s="1"/>
  <c r="E41" i="3"/>
  <c r="E17" i="4"/>
  <c r="B1332" i="106"/>
  <c r="D1332" i="106" s="1"/>
  <c r="F10" i="34"/>
  <c r="B2596" i="106"/>
  <c r="D2596" i="106" s="1"/>
  <c r="F17" i="4"/>
  <c r="B2591" i="106"/>
  <c r="D2591" i="106" s="1"/>
  <c r="F8" i="4"/>
  <c r="K211" i="29"/>
  <c r="B1389" i="106" s="1"/>
  <c r="D1389" i="106" s="1"/>
  <c r="F11" i="34"/>
  <c r="B1388" i="106"/>
  <c r="D1388" i="106" s="1"/>
  <c r="G8" i="4"/>
  <c r="B2603" i="106"/>
  <c r="D2603" i="106" s="1"/>
  <c r="B5870" i="106"/>
  <c r="D5870" i="106" s="1"/>
  <c r="K296" i="29"/>
  <c r="B1518" i="106" s="1"/>
  <c r="D1518" i="106" s="1"/>
  <c r="B2612" i="106"/>
  <c r="D2612" i="106" s="1"/>
  <c r="G19" i="4"/>
  <c r="B4140" i="106" s="1"/>
  <c r="D4140" i="106" s="1"/>
  <c r="F12" i="34"/>
  <c r="B1517" i="106"/>
  <c r="D1517" i="106" s="1"/>
  <c r="H8" i="4"/>
  <c r="B2655" i="106"/>
  <c r="D2655" i="106" s="1"/>
  <c r="B5915" i="106"/>
  <c r="D5915" i="106" s="1"/>
  <c r="K313" i="29"/>
  <c r="B1561" i="106" s="1"/>
  <c r="D1561" i="106" s="1"/>
  <c r="B2661" i="106"/>
  <c r="D2661" i="106" s="1"/>
  <c r="H19" i="4"/>
  <c r="B4141" i="106" s="1"/>
  <c r="D4141" i="106" s="1"/>
  <c r="B3225" i="106"/>
  <c r="D3225" i="106" s="1"/>
  <c r="I8" i="4"/>
  <c r="B2912" i="106"/>
  <c r="D2912" i="106" s="1"/>
  <c r="I41" i="3"/>
  <c r="B6215" i="106"/>
  <c r="D6215" i="106" s="1"/>
  <c r="J41" i="3"/>
  <c r="J19" i="4"/>
  <c r="B6229" i="106" s="1"/>
  <c r="D6229" i="106" s="1"/>
  <c r="B6227" i="106"/>
  <c r="D6227" i="106" s="1"/>
  <c r="B7055" i="106"/>
  <c r="D7055" i="106" s="1"/>
  <c r="K343" i="29"/>
  <c r="B7225" i="106" s="1"/>
  <c r="D7225" i="106" s="1"/>
  <c r="B6220" i="106"/>
  <c r="D6220" i="106" s="1"/>
  <c r="J8" i="4"/>
  <c r="B3572" i="106"/>
  <c r="D3572" i="106" s="1"/>
  <c r="K17" i="4"/>
  <c r="K20" i="4" s="1"/>
  <c r="B7624" i="106"/>
  <c r="D7624" i="106" s="1"/>
  <c r="I17" i="11"/>
  <c r="K10" i="4"/>
  <c r="B4130" i="106" s="1"/>
  <c r="D4130" i="106" s="1"/>
  <c r="B3571" i="106"/>
  <c r="D3571" i="106" s="1"/>
  <c r="C9" i="146" l="1"/>
  <c r="F14" i="34"/>
  <c r="F77" i="34" s="1"/>
  <c r="F179" i="34" s="1"/>
  <c r="B2554" i="106"/>
  <c r="D2554" i="106" s="1"/>
  <c r="D10" i="171"/>
  <c r="D19" i="171" s="1"/>
  <c r="D32" i="171" s="1"/>
  <c r="D49" i="171" s="1"/>
  <c r="C19" i="4"/>
  <c r="B4136" i="106" s="1"/>
  <c r="D4136" i="106" s="1"/>
  <c r="B2561" i="106"/>
  <c r="D2561" i="106" s="1"/>
  <c r="B9" i="146"/>
  <c r="C8" i="4"/>
  <c r="D16" i="37" s="1"/>
  <c r="C8" i="146"/>
  <c r="C10" i="146" s="1"/>
  <c r="B2568" i="106"/>
  <c r="D2568" i="106" s="1"/>
  <c r="D10" i="4"/>
  <c r="B4123" i="106" s="1"/>
  <c r="D4123" i="106" s="1"/>
  <c r="D20" i="4"/>
  <c r="E19" i="4"/>
  <c r="B4138" i="106" s="1"/>
  <c r="D4138" i="106" s="1"/>
  <c r="B2635" i="106"/>
  <c r="D2635" i="106" s="1"/>
  <c r="B141" i="106"/>
  <c r="D141" i="106" s="1"/>
  <c r="D46" i="36"/>
  <c r="E20" i="4"/>
  <c r="F20" i="4"/>
  <c r="D8" i="146"/>
  <c r="F10" i="4"/>
  <c r="B4125" i="106" s="1"/>
  <c r="D4125" i="106" s="1"/>
  <c r="B2595" i="106"/>
  <c r="D2595" i="106" s="1"/>
  <c r="D9" i="146"/>
  <c r="F9" i="146" s="1"/>
  <c r="F19" i="4"/>
  <c r="B4139" i="106" s="1"/>
  <c r="D4139" i="106" s="1"/>
  <c r="F16" i="37"/>
  <c r="B2600" i="106"/>
  <c r="D2600" i="106" s="1"/>
  <c r="H17" i="118"/>
  <c r="H25" i="118" s="1"/>
  <c r="K24" i="118" s="1"/>
  <c r="O23" i="118" s="1"/>
  <c r="O25" i="118" s="1"/>
  <c r="B189" i="106"/>
  <c r="D189" i="106" s="1"/>
  <c r="G41" i="3"/>
  <c r="G20" i="4"/>
  <c r="B2606" i="106"/>
  <c r="D2606" i="106" s="1"/>
  <c r="G10" i="4"/>
  <c r="B4126" i="106" s="1"/>
  <c r="D4126" i="106" s="1"/>
  <c r="B2658" i="106"/>
  <c r="D2658" i="106" s="1"/>
  <c r="H20" i="4"/>
  <c r="H10" i="4"/>
  <c r="B4127" i="106" s="1"/>
  <c r="D4127" i="106" s="1"/>
  <c r="B2913" i="106"/>
  <c r="D2913" i="106" s="1"/>
  <c r="D50" i="36"/>
  <c r="B3226" i="106"/>
  <c r="D3226" i="106" s="1"/>
  <c r="I20" i="4"/>
  <c r="E8" i="146"/>
  <c r="I10" i="4"/>
  <c r="B4128" i="106" s="1"/>
  <c r="D4128" i="106" s="1"/>
  <c r="J10" i="4"/>
  <c r="B6225" i="106" s="1"/>
  <c r="D6225" i="106" s="1"/>
  <c r="B6223" i="106"/>
  <c r="D6223" i="106" s="1"/>
  <c r="J20" i="4"/>
  <c r="B6216" i="106"/>
  <c r="D6216" i="106" s="1"/>
  <c r="D51" i="36"/>
  <c r="B3576" i="106"/>
  <c r="D3576" i="106" s="1"/>
  <c r="K78" i="4"/>
  <c r="I18" i="11"/>
  <c r="B7625" i="106"/>
  <c r="D7625" i="106" s="1"/>
  <c r="K19" i="4"/>
  <c r="B4144" i="106" s="1"/>
  <c r="D4144" i="106" s="1"/>
  <c r="B3575" i="106"/>
  <c r="D3575" i="106" s="1"/>
  <c r="F79" i="34" l="1"/>
  <c r="H18" i="118"/>
  <c r="K17" i="118" s="1"/>
  <c r="O16" i="118" s="1"/>
  <c r="C10" i="4"/>
  <c r="B4122" i="106" s="1"/>
  <c r="D4122" i="106" s="1"/>
  <c r="B2555" i="106"/>
  <c r="D2555" i="106" s="1"/>
  <c r="B8" i="146"/>
  <c r="B10" i="146" s="1"/>
  <c r="C20" i="4"/>
  <c r="H13" i="118"/>
  <c r="B2574" i="106"/>
  <c r="D2574" i="106" s="1"/>
  <c r="D78" i="4"/>
  <c r="B123" i="106"/>
  <c r="D123" i="106" s="1"/>
  <c r="D41" i="3"/>
  <c r="B2636" i="106"/>
  <c r="D2636" i="106" s="1"/>
  <c r="E78" i="4"/>
  <c r="N23" i="3"/>
  <c r="B282" i="106"/>
  <c r="D282" i="106" s="1"/>
  <c r="H16" i="37"/>
  <c r="D10" i="146"/>
  <c r="B2601" i="106"/>
  <c r="D2601" i="106" s="1"/>
  <c r="F78" i="4"/>
  <c r="B190" i="106"/>
  <c r="D190" i="106" s="1"/>
  <c r="D48" i="36"/>
  <c r="B2613" i="106"/>
  <c r="D2613" i="106" s="1"/>
  <c r="G78" i="4"/>
  <c r="B2662" i="106"/>
  <c r="D2662" i="106" s="1"/>
  <c r="H78" i="4"/>
  <c r="E10" i="146"/>
  <c r="B3227" i="106"/>
  <c r="D3227" i="106" s="1"/>
  <c r="I78" i="4"/>
  <c r="K20" i="118"/>
  <c r="J20" i="118"/>
  <c r="B6230" i="106"/>
  <c r="D6230" i="106" s="1"/>
  <c r="J78" i="4"/>
  <c r="B3567" i="106"/>
  <c r="D3567" i="106" s="1"/>
  <c r="K41" i="3"/>
  <c r="B7631" i="106"/>
  <c r="D7631" i="106" s="1"/>
  <c r="F180" i="34"/>
  <c r="F181" i="34" s="1"/>
  <c r="F183" i="34" s="1"/>
  <c r="B3588" i="106"/>
  <c r="D3588" i="106" s="1"/>
  <c r="K81" i="4"/>
  <c r="B212" i="106"/>
  <c r="D212" i="106" s="1"/>
  <c r="H41" i="3"/>
  <c r="B2562" i="106" l="1"/>
  <c r="D2562" i="106" s="1"/>
  <c r="C78" i="4"/>
  <c r="B92" i="106"/>
  <c r="D92" i="106" s="1"/>
  <c r="C41" i="3"/>
  <c r="D76" i="36"/>
  <c r="F8" i="146"/>
  <c r="F10" i="146" s="1"/>
  <c r="B124" i="106"/>
  <c r="D124" i="106" s="1"/>
  <c r="D45" i="36"/>
  <c r="O17" i="118"/>
  <c r="O20" i="118" s="1"/>
  <c r="D81" i="4"/>
  <c r="B3239" i="106"/>
  <c r="D3239" i="106" s="1"/>
  <c r="B284" i="106"/>
  <c r="D284" i="106" s="1"/>
  <c r="D55" i="36"/>
  <c r="E81" i="4"/>
  <c r="B3278" i="106"/>
  <c r="D3278" i="106" s="1"/>
  <c r="B3256" i="106"/>
  <c r="D3256" i="106" s="1"/>
  <c r="F81" i="4"/>
  <c r="D60" i="36" s="1"/>
  <c r="B170" i="106"/>
  <c r="D170" i="106" s="1"/>
  <c r="F41" i="3"/>
  <c r="B3262" i="106"/>
  <c r="D3262" i="106" s="1"/>
  <c r="G81" i="4"/>
  <c r="H81" i="4"/>
  <c r="B3300" i="106"/>
  <c r="D3300" i="106" s="1"/>
  <c r="I81" i="4"/>
  <c r="B3320" i="106"/>
  <c r="D3320" i="106" s="1"/>
  <c r="B6263" i="106"/>
  <c r="D6263" i="106" s="1"/>
  <c r="J81" i="4"/>
  <c r="K82" i="4"/>
  <c r="B3591" i="106"/>
  <c r="D3591" i="106" s="1"/>
  <c r="D65" i="36"/>
  <c r="B3568" i="106"/>
  <c r="D3568" i="106" s="1"/>
  <c r="D52" i="36"/>
  <c r="D49" i="36"/>
  <c r="B213" i="106"/>
  <c r="D213" i="106" s="1"/>
  <c r="B93" i="106" l="1"/>
  <c r="D93" i="106" s="1"/>
  <c r="D44" i="36"/>
  <c r="B3233" i="106"/>
  <c r="D3233" i="106" s="1"/>
  <c r="C81" i="4"/>
  <c r="B1644" i="106"/>
  <c r="D1644" i="106" s="1"/>
  <c r="D82" i="4"/>
  <c r="C11" i="146"/>
  <c r="D58" i="36"/>
  <c r="D59" i="36"/>
  <c r="E82" i="4"/>
  <c r="B1658" i="106"/>
  <c r="D1658" i="106" s="1"/>
  <c r="B171" i="106"/>
  <c r="D171" i="106" s="1"/>
  <c r="D47" i="36"/>
  <c r="F82" i="4"/>
  <c r="D11" i="146"/>
  <c r="B1672" i="106"/>
  <c r="D1672" i="106" s="1"/>
  <c r="G82" i="4"/>
  <c r="B1686" i="106"/>
  <c r="D1686" i="106" s="1"/>
  <c r="D61" i="36"/>
  <c r="H82" i="4"/>
  <c r="B1700" i="106"/>
  <c r="D1700" i="106" s="1"/>
  <c r="D62" i="36"/>
  <c r="E11" i="146"/>
  <c r="D63" i="36"/>
  <c r="I82" i="4"/>
  <c r="J16" i="37"/>
  <c r="B4269" i="106" s="1"/>
  <c r="D4269" i="106" s="1"/>
  <c r="B3323" i="106"/>
  <c r="D3323" i="106" s="1"/>
  <c r="B6266" i="106"/>
  <c r="D6266" i="106" s="1"/>
  <c r="J82" i="4"/>
  <c r="D64" i="36"/>
  <c r="H12" i="118"/>
  <c r="K12" i="118" s="1"/>
  <c r="O11" i="118" s="1"/>
  <c r="O13" i="118" s="1"/>
  <c r="O35" i="118" s="1"/>
  <c r="O37" i="118" s="1"/>
  <c r="K83" i="4"/>
  <c r="B6284" i="106" s="1"/>
  <c r="D6284" i="106" s="1"/>
  <c r="B6275" i="106"/>
  <c r="D6275" i="106" s="1"/>
  <c r="C82" i="4" l="1"/>
  <c r="B11" i="146"/>
  <c r="F11" i="146" s="1"/>
  <c r="B1630" i="106"/>
  <c r="D1630" i="106" s="1"/>
  <c r="D57" i="36"/>
  <c r="B6268" i="106"/>
  <c r="D6268" i="106" s="1"/>
  <c r="D83" i="4"/>
  <c r="B6277" i="106" s="1"/>
  <c r="D6277" i="106" s="1"/>
  <c r="B6269" i="106"/>
  <c r="D6269" i="106" s="1"/>
  <c r="E83" i="4"/>
  <c r="B6278" i="106" s="1"/>
  <c r="D6278" i="106" s="1"/>
  <c r="B6270" i="106"/>
  <c r="D6270" i="106" s="1"/>
  <c r="F83" i="4"/>
  <c r="B6279" i="106" s="1"/>
  <c r="D6279" i="106" s="1"/>
  <c r="B6271" i="106"/>
  <c r="D6271" i="106" s="1"/>
  <c r="G83" i="4"/>
  <c r="B6280" i="106" s="1"/>
  <c r="D6280" i="106" s="1"/>
  <c r="B6272" i="106"/>
  <c r="D6272" i="106" s="1"/>
  <c r="H83" i="4"/>
  <c r="B6281" i="106" s="1"/>
  <c r="D6281" i="106" s="1"/>
  <c r="I83" i="4"/>
  <c r="B6282" i="106" s="1"/>
  <c r="D6282" i="106" s="1"/>
  <c r="B6273" i="106"/>
  <c r="D6273" i="106" s="1"/>
  <c r="B6274" i="106"/>
  <c r="D6274" i="106" s="1"/>
  <c r="J83" i="4"/>
  <c r="B6283" i="106" s="1"/>
  <c r="D6283" i="106" s="1"/>
  <c r="D29" i="36" l="1"/>
  <c r="J24" i="24" s="1"/>
  <c r="C12" i="146"/>
  <c r="B6267" i="106"/>
  <c r="D6267" i="106" s="1"/>
  <c r="C83" i="4"/>
  <c r="B6276" i="106" s="1"/>
  <c r="D6276" i="106" s="1"/>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<sst xmlns="http://schemas.openxmlformats.org/spreadsheetml/2006/main" count="5766" uniqueCount="2342">
  <si>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</si>
  <si>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</si>
  <si>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</si>
  <si>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</si>
  <si>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</si>
  <si>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</si>
  <si>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</si>
  <si>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</si>
  <si>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</si>
  <si>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</si>
  <si>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</si>
  <si>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</si>
  <si>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</si>
  <si>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</si>
  <si>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</si>
  <si>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</si>
  <si>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</si>
  <si>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</si>
  <si>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</si>
  <si>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</si>
  <si>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</si>
  <si>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</si>
  <si>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</si>
  <si>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</si>
  <si>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</si>
  <si>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</si>
  <si>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</si>
  <si>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</si>
  <si>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</si>
  <si>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</si>
  <si>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</si>
  <si>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</si>
  <si>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</si>
  <si>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</si>
  <si>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</si>
  <si>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</si>
  <si>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</si>
  <si>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</si>
  <si>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</si>
  <si>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</si>
  <si>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</si>
  <si>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</si>
  <si>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</si>
  <si>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</si>
  <si>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</si>
  <si>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</si>
  <si>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</si>
  <si>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</si>
  <si>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</si>
  <si>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</si>
  <si>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</si>
  <si>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</si>
  <si>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</si>
  <si>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</si>
  <si>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</si>
  <si>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</si>
  <si>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</si>
  <si>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</si>
  <si>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</si>
  <si>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</si>
  <si>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</si>
  <si>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</si>
  <si>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</si>
  <si>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</si>
  <si>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</si>
  <si>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</si>
  <si>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</si>
  <si>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</si>
  <si>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</si>
  <si>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</si>
  <si>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</si>
  <si>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</si>
  <si>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</si>
  <si>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</si>
  <si>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</si>
  <si>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</si>
  <si>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</si>
  <si>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</si>
  <si>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</si>
  <si>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</si>
  <si>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</si>
  <si>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</si>
  <si>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</si>
  <si>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</si>
  <si>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</si>
  <si>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</si>
  <si>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</si>
  <si>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</si>
  <si>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</si>
  <si>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</si>
  <si>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</si>
  <si>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</si>
  <si>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</si>
  <si>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</si>
  <si>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</si>
  <si>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</si>
  <si>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</si>
  <si>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</si>
  <si>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</si>
  <si>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</si>
  <si>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</si>
  <si>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</si>
  <si>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</si>
  <si>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</si>
  <si>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</si>
  <si>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</si>
  <si>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</si>
  <si>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</si>
  <si>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</si>
  <si>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</si>
  <si>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</si>
  <si>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</si>
  <si>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</si>
  <si>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</si>
  <si>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</si>
  <si>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</si>
  <si>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</si>
  <si>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</si>
  <si>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</si>
  <si>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</si>
  <si>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</si>
  <si>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</si>
  <si>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</si>
  <si>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</si>
  <si>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</si>
  <si>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</si>
  <si>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</si>
  <si>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</si>
  <si>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</si>
  <si>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</si>
  <si>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</si>
  <si>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</si>
  <si>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</si>
  <si>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</si>
  <si>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</si>
  <si>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</si>
  <si>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</si>
  <si>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</si>
  <si>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</si>
  <si>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</si>
  <si>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</si>
  <si>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</si>
  <si>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</si>
  <si>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</si>
  <si>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</si>
  <si>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</si>
  <si>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</si>
  <si>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</si>
  <si>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</si>
  <si>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</si>
  <si>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</si>
  <si>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</si>
  <si>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</si>
  <si>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</si>
  <si>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</si>
  <si>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</si>
  <si>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</si>
  <si>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</si>
  <si>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</si>
  <si>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</si>
  <si>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</si>
  <si>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</si>
  <si>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</si>
  <si>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</si>
  <si>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</si>
  <si>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</si>
  <si>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</si>
  <si>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</si>
  <si>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</si>
  <si>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</si>
  <si>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</si>
  <si>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</si>
  <si>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</si>
  <si>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</si>
  <si>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</si>
  <si>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</si>
  <si>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</si>
  <si>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</si>
  <si>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</si>
  <si>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</si>
  <si>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</si>
  <si>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</si>
  <si>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</si>
  <si>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</si>
  <si>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</si>
  <si>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</si>
  <si>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</si>
  <si>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</si>
  <si>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</si>
  <si>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</si>
  <si>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</si>
  <si>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</si>
  <si>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</si>
  <si>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</si>
  <si>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</si>
  <si>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</si>
  <si>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</si>
  <si>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</si>
  <si>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</si>
  <si>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</si>
  <si>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</si>
  <si>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</si>
  <si>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</si>
  <si>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</si>
  <si>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</si>
  <si>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</si>
  <si>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</si>
  <si>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</si>
  <si>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</si>
  <si>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</si>
  <si>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</si>
  <si>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</si>
  <si>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</si>
  <si>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</si>
  <si>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</si>
  <si>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</si>
  <si>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</si>
  <si>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</si>
  <si>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</si>
  <si>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</si>
  <si>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</si>
  <si>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</si>
  <si>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</si>
  <si>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</si>
  <si>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</si>
  <si>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</si>
  <si>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</si>
  <si>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</si>
  <si>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</si>
  <si>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</si>
  <si>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</si>
  <si>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</si>
  <si>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</si>
  <si>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</si>
  <si>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</si>
  <si>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</si>
  <si>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</si>
  <si>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</si>
  <si>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</si>
  <si>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</si>
  <si>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</si>
  <si>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</si>
  <si>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</si>
  <si>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</si>
  <si>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</si>
  <si>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</si>
  <si>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</si>
  <si>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</si>
  <si>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</si>
  <si>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</si>
  <si>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</si>
  <si>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</si>
  <si>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</si>
  <si>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</si>
  <si>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</si>
  <si>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</si>
  <si>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</si>
  <si>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</si>
  <si>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</si>
  <si>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</si>
  <si>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</si>
  <si>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</si>
  <si>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</si>
  <si>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</si>
  <si>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</si>
  <si>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</si>
  <si>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</si>
  <si>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</si>
  <si>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</si>
  <si>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</si>
  <si>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</si>
  <si>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</si>
  <si>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</si>
  <si>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</si>
  <si>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</si>
  <si>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</si>
  <si>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</si>
  <si>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</si>
  <si>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</si>
  <si>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</si>
  <si>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</si>
  <si>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</si>
  <si>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</si>
  <si>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</si>
  <si>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</si>
  <si>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</si>
  <si>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</si>
  <si>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</si>
  <si>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</si>
  <si>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</si>
  <si>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</si>
  <si>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</si>
  <si>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</si>
  <si>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</si>
  <si>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</si>
  <si>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</si>
  <si>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</si>
  <si>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</si>
  <si>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</si>
  <si>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</si>
  <si>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</si>
  <si>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</si>
  <si>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</si>
  <si>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</si>
  <si>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</si>
  <si>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</si>
  <si>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</si>
  <si>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</si>
  <si>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</si>
  <si>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</si>
  <si>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</si>
  <si>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</si>
  <si>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</si>
  <si>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</si>
  <si>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</si>
  <si>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</si>
  <si>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</si>
  <si>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</si>
  <si>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</si>
  <si>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</si>
  <si>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</si>
  <si>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</si>
  <si>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</si>
  <si>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</si>
  <si>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</si>
  <si>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</si>
  <si>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</si>
  <si>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</si>
  <si>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</si>
  <si>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</si>
  <si>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</si>
  <si>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</si>
  <si>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</si>
  <si>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</si>
  <si>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</si>
  <si>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</si>
  <si>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</si>
  <si>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</si>
  <si>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</si>
  <si>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</si>
  <si>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</si>
  <si>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</si>
  <si>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</si>
  <si>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</si>
  <si>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</si>
  <si>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</si>
  <si>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</si>
  <si>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</si>
  <si>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</si>
  <si>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</si>
  <si>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</si>
  <si>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</si>
  <si>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</si>
  <si>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</si>
  <si>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</si>
  <si>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</si>
  <si>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</si>
  <si>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</si>
  <si>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</si>
  <si>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</si>
  <si>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</si>
  <si>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</si>
  <si>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</si>
  <si>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</si>
  <si>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</si>
  <si>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</si>
  <si>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</si>
  <si>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</si>
  <si>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</si>
  <si>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</si>
  <si>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</si>
  <si>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</si>
  <si>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</si>
  <si>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</si>
  <si>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</si>
  <si>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</si>
  <si>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</si>
  <si>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</si>
  <si>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</si>
  <si>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</si>
  <si>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</si>
  <si>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</si>
  <si>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</si>
  <si>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</si>
  <si>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</si>
  <si>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</si>
  <si>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</si>
  <si>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</si>
  <si>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</si>
  <si>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</si>
  <si>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</si>
  <si>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</si>
  <si>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</si>
  <si>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</si>
  <si>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</si>
  <si>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</si>
  <si>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</si>
  <si>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</si>
  <si>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</si>
  <si>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</si>
  <si>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</si>
  <si>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</si>
  <si>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</si>
  <si>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</si>
  <si>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</si>
  <si>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</si>
  <si>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</si>
  <si>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</si>
  <si>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</si>
  <si>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</si>
  <si>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</si>
  <si>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</si>
  <si>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</si>
  <si>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</si>
  <si>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</si>
  <si>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</si>
  <si>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</si>
  <si>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</si>
  <si>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</si>
  <si>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</si>
  <si>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</si>
  <si>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</si>
  <si>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</si>
  <si>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</si>
  <si>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</si>
  <si>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</si>
  <si>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</si>
  <si>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</si>
  <si>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</si>
  <si>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</si>
  <si>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</si>
  <si>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</si>
  <si>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</si>
  <si>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</si>
  <si>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</si>
  <si>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</si>
  <si>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</si>
  <si>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</si>
  <si>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</si>
  <si>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</si>
  <si>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</si>
  <si>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</si>
  <si>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</si>
  <si>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</si>
  <si>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</si>
  <si>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</si>
  <si>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</si>
  <si>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</si>
  <si>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</si>
  <si>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</si>
  <si>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</si>
  <si>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</si>
  <si>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</si>
  <si>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</si>
  <si>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</si>
  <si>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</si>
  <si>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</si>
  <si>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</si>
  <si>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</si>
  <si>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</si>
  <si>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</si>
  <si>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</si>
  <si>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</si>
  <si>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</si>
  <si>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</si>
  <si>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</si>
  <si>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</si>
  <si>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</si>
  <si>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</si>
  <si>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</si>
  <si>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</si>
  <si>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</si>
  <si>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</si>
  <si>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</si>
  <si>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</si>
  <si>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</si>
  <si>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</si>
  <si>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</si>
  <si>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</si>
  <si>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</si>
  <si>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</si>
  <si>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</si>
  <si>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</si>
  <si>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</si>
  <si>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</si>
  <si>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</si>
  <si>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</si>
  <si>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</si>
  <si>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</si>
  <si>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</si>
  <si>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</si>
  <si>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</si>
  <si>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</si>
  <si>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</si>
  <si>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</si>
  <si>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</si>
  <si>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</si>
  <si>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</si>
  <si>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</si>
  <si>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</si>
  <si>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</si>
  <si>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</si>
  <si>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</si>
  <si>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</si>
  <si>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</si>
  <si>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</si>
  <si>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</si>
  <si>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</si>
  <si>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</si>
  <si>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</si>
  <si>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</si>
  <si>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</si>
  <si>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</si>
  <si>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</si>
  <si>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</si>
  <si>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</si>
  <si>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</si>
  <si>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</si>
  <si>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</si>
  <si>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</si>
  <si>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</si>
  <si>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</si>
  <si>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</si>
  <si>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</si>
  <si>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</si>
  <si>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</si>
  <si>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</si>
  <si>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</si>
  <si>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</si>
  <si>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</si>
  <si>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</si>
  <si>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</si>
  <si>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</si>
  <si>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</si>
  <si>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</si>
  <si>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</si>
  <si>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</si>
  <si>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</si>
  <si>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</si>
  <si>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</si>
  <si>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</si>
  <si>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</si>
  <si>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</si>
  <si>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</si>
  <si>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</si>
  <si>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</si>
  <si>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</si>
  <si>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</si>
  <si>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</si>
  <si>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</si>
  <si>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</si>
  <si>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</si>
  <si>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</si>
  <si>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</si>
  <si>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</si>
  <si>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</si>
  <si>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</si>
  <si>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</si>
  <si>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</si>
  <si>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</si>
  <si>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</si>
  <si>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</si>
  <si>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</si>
  <si>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</si>
  <si>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</si>
  <si>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</si>
  <si>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</si>
  <si>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</si>
  <si>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</si>
  <si>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</si>
  <si>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</si>
  <si>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</si>
  <si>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</si>
  <si>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</si>
  <si>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</si>
  <si>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</si>
  <si>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</si>
  <si>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</si>
  <si>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</si>
  <si>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</si>
  <si>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</si>
  <si>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</si>
  <si>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</si>
  <si>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</si>
  <si>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</si>
  <si>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</si>
  <si>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</si>
  <si>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</si>
  <si>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</si>
  <si>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</si>
  <si>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</si>
  <si>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</si>
  <si>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</si>
  <si>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</si>
  <si>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</si>
  <si>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</si>
  <si>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</si>
  <si>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</si>
  <si>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</si>
  <si>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</si>
  <si>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</si>
  <si>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</si>
  <si>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</si>
  <si>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</si>
  <si>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</si>
  <si>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</si>
  <si>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</si>
  <si>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</si>
  <si>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</si>
  <si>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</si>
  <si>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</si>
  <si>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</si>
  <si>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</si>
  <si>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</si>
  <si>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</si>
  <si>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</si>
  <si>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</si>
  <si>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</si>
  <si>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</si>
  <si>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</si>
  <si>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</si>
  <si>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</si>
  <si>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</si>
  <si>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</si>
  <si>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</si>
  <si>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</si>
  <si>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</si>
  <si>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</si>
  <si>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</si>
  <si>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</si>
  <si>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</si>
  <si>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</si>
  <si>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</si>
  <si>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</si>
  <si>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</si>
  <si>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</si>
  <si>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</si>
  <si>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</si>
  <si>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</si>
  <si>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</si>
  <si>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</si>
  <si>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</si>
  <si>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</si>
  <si>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</si>
  <si>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</si>
  <si>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</si>
  <si>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</si>
  <si>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</si>
  <si>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</si>
  <si>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</si>
  <si>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</si>
  <si>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</si>
  <si>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</si>
  <si>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</si>
  <si>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</si>
  <si>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</si>
  <si>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</si>
  <si>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</si>
  <si>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</si>
  <si>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</si>
  <si>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</si>
  <si>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</si>
  <si>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</si>
  <si>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</si>
  <si>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</si>
  <si>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</si>
  <si>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</si>
  <si>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</si>
  <si>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</si>
  <si>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</si>
  <si>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</si>
  <si>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</si>
  <si>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</si>
  <si>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</si>
  <si>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</si>
  <si>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</si>
  <si>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</si>
  <si>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</si>
  <si>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</si>
  <si>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</si>
  <si>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</si>
  <si>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</si>
  <si>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</si>
  <si>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</si>
  <si>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</si>
  <si>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</si>
  <si>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</si>
  <si>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</si>
  <si>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</si>
  <si>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</si>
  <si>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</si>
  <si>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</si>
  <si>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</si>
  <si>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</si>
  <si>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</si>
  <si>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</si>
  <si>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</si>
  <si>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</si>
  <si>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</si>
  <si>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</si>
  <si>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</si>
  <si>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</si>
  <si>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</si>
  <si>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</si>
  <si>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</si>
  <si>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</si>
  <si>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</si>
  <si>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</si>
  <si>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</si>
  <si>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</si>
  <si>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</si>
  <si>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</si>
  <si>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</si>
  <si>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</si>
  <si>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</si>
  <si>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</si>
  <si>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</si>
  <si>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</si>
  <si>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</si>
  <si>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</si>
  <si>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</si>
  <si>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</si>
  <si>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</si>
  <si>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</si>
  <si>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</si>
  <si>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</si>
  <si>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</si>
  <si>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</si>
  <si>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</si>
  <si>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</si>
  <si>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</si>
  <si>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</si>
  <si>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</si>
  <si>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</si>
  <si>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</si>
  <si>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</si>
  <si>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</si>
  <si>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</si>
  <si>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</si>
  <si>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</si>
  <si>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</si>
  <si>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</si>
  <si>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</si>
  <si>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</si>
  <si>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</si>
  <si>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</si>
  <si>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</si>
  <si>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</si>
  <si>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</si>
  <si>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</si>
  <si>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</si>
  <si>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</si>
  <si>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</si>
  <si>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</si>
  <si>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</si>
  <si>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</si>
  <si>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</si>
  <si>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</si>
  <si>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</si>
  <si>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</si>
  <si>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</si>
  <si>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</si>
  <si>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</si>
  <si>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</si>
  <si>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</si>
  <si>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</si>
  <si>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</si>
  <si>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</si>
  <si>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</si>
  <si>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</si>
  <si>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</si>
  <si>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</si>
  <si>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</si>
  <si>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</si>
  <si>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</si>
  <si>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</si>
  <si>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</si>
  <si>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</si>
  <si>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</si>
  <si>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</si>
  <si>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</si>
  <si>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</si>
  <si>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</si>
  <si>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</si>
  <si>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</si>
  <si>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</si>
  <si>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</si>
  <si>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</si>
  <si>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</si>
  <si>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</si>
  <si>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</si>
  <si>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</si>
  <si>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</si>
  <si>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</si>
  <si>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</si>
  <si>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</si>
  <si>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</si>
  <si>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</si>
  <si>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</si>
  <si>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</si>
  <si>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</si>
  <si>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</si>
  <si>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</si>
  <si>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</si>
  <si>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</si>
  <si>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</si>
  <si>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</si>
  <si>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</si>
  <si>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</si>
  <si>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</si>
  <si>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</si>
  <si>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</si>
  <si>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</si>
  <si>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</si>
  <si>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</si>
  <si>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</si>
  <si>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</si>
  <si>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</si>
  <si>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</si>
  <si>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</si>
  <si>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</si>
  <si>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</si>
  <si>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</si>
  <si>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</si>
  <si>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</si>
  <si>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</si>
  <si>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</si>
  <si>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</si>
  <si>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</si>
  <si>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</si>
  <si>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</si>
  <si>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</si>
  <si>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</si>
  <si>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</si>
  <si>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</si>
  <si>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</si>
  <si>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</si>
  <si>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</si>
  <si>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</si>
  <si>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</si>
  <si>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</si>
  <si>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</si>
  <si>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</si>
  <si>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</si>
  <si>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</si>
  <si>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</si>
  <si>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</si>
  <si>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</si>
  <si>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</si>
  <si>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</si>
  <si>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</si>
  <si>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</si>
  <si>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</si>
  <si>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</si>
  <si>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</si>
  <si>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</si>
  <si>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</si>
  <si>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</si>
  <si>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</si>
  <si>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</si>
  <si>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</si>
  <si>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</si>
  <si>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</si>
  <si>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</si>
  <si>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</si>
  <si>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</si>
  <si>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</si>
  <si>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</si>
  <si>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</si>
  <si>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</si>
  <si>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</si>
  <si>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</si>
  <si>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</si>
  <si>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</si>
  <si>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</si>
  <si>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</si>
  <si>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</si>
  <si>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</si>
  <si>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</si>
  <si>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</si>
  <si>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</si>
  <si>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</si>
  <si>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</si>
  <si>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</si>
  <si>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</si>
  <si>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</si>
  <si>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</si>
  <si>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</si>
  <si>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</si>
  <si>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</si>
  <si>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</si>
  <si>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</si>
  <si>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</si>
  <si>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</si>
  <si>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</si>
  <si>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</si>
  <si>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</si>
  <si>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</si>
  <si>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</si>
  <si>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</si>
  <si>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</si>
  <si>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</si>
  <si>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</si>
  <si>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</si>
  <si>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</si>
  <si>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</si>
  <si>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</si>
  <si>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</si>
  <si>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</si>
  <si>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</si>
  <si>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</si>
  <si>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</si>
  <si>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</si>
  <si>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</si>
  <si>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</si>
  <si>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</si>
  <si>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</si>
  <si>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</si>
  <si>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</si>
  <si>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</si>
  <si>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</si>
  <si>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</si>
  <si>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</si>
  <si>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</si>
  <si>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</si>
  <si>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</si>
  <si>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</si>
  <si>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</si>
  <si>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</si>
  <si>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</si>
  <si>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</si>
  <si>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</si>
  <si>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</si>
  <si>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</si>
  <si>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</si>
  <si>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</si>
  <si>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</si>
  <si>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</si>
  <si>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</si>
  <si>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</si>
  <si>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</si>
  <si>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</si>
  <si>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</si>
  <si>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</si>
  <si>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</si>
  <si>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</si>
  <si>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</si>
  <si>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</si>
  <si>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</si>
  <si>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</si>
  <si>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</si>
  <si>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</si>
  <si>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</si>
  <si>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</si>
  <si>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</si>
  <si>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</si>
  <si>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</si>
  <si>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</si>
  <si>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</si>
  <si>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</si>
  <si>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</si>
  <si>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</si>
  <si>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</si>
  <si>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</si>
  <si>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</si>
  <si>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</si>
  <si>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</si>
  <si>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</si>
  <si>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</si>
  <si>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</si>
  <si>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</si>
  <si>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</si>
  <si>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</si>
  <si>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</si>
  <si>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</si>
  <si>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</si>
  <si>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</si>
  <si>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</si>
  <si>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</si>
  <si>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</si>
  <si>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</si>
  <si>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</si>
  <si>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</si>
  <si>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</si>
  <si>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</si>
  <si>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</si>
  <si>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</si>
  <si>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</si>
  <si>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</si>
  <si>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</si>
  <si>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</si>
  <si>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</si>
  <si>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</si>
  <si>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</si>
  <si>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</si>
  <si>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</si>
  <si>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</si>
  <si>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</si>
  <si>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</si>
  <si>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</si>
  <si>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</si>
  <si>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</si>
  <si>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</si>
  <si>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</si>
  <si>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</si>
  <si>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</si>
  <si>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</si>
  <si>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</si>
  <si>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</si>
  <si>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</si>
  <si>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</si>
  <si>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</si>
  <si>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</si>
  <si>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</si>
  <si>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</si>
  <si>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</si>
  <si>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</si>
  <si>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</si>
  <si>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</si>
  <si>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</si>
  <si>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</si>
  <si>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</si>
  <si>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</si>
  <si>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</si>
  <si>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</si>
  <si>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</si>
  <si>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</si>
  <si>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</si>
  <si>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</si>
  <si>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</si>
  <si>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</si>
  <si>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</si>
  <si>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</si>
  <si>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</si>
  <si>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</si>
  <si>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</si>
  <si>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</si>
  <si>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</si>
  <si>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</si>
  <si>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</si>
  <si>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</si>
  <si>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</si>
  <si>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</si>
  <si>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</si>
  <si>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</si>
  <si>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</si>
  <si>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</si>
  <si>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</si>
  <si>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</si>
  <si>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</si>
  <si>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</si>
  <si>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</si>
  <si>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</si>
  <si>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</si>
  <si>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</si>
  <si>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</si>
  <si>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</si>
  <si>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</si>
  <si>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</si>
  <si>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</si>
  <si>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</si>
  <si>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</si>
  <si>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</si>
  <si>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</si>
  <si>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</si>
  <si>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</si>
  <si>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</si>
  <si>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</si>
  <si>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</si>
  <si>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</si>
  <si>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</si>
  <si>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</si>
  <si>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</si>
  <si>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</si>
  <si>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</si>
  <si>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</si>
  <si>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</si>
  <si>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</si>
  <si>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</si>
  <si>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</si>
  <si>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</si>
  <si>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</si>
  <si>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</si>
  <si>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</si>
  <si>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</si>
  <si>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</si>
  <si>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</si>
  <si>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</si>
  <si>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</si>
  <si>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</si>
  <si>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</si>
  <si>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</si>
  <si>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</si>
  <si>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</si>
  <si>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</si>
  <si>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</si>
  <si>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</si>
  <si>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</si>
  <si>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</si>
  <si>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</si>
  <si>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</si>
  <si>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</si>
  <si>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</si>
  <si>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</si>
  <si>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</si>
  <si>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</si>
  <si>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</si>
  <si>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</si>
  <si>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</si>
  <si>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</si>
  <si>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</si>
  <si>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</si>
  <si>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</si>
  <si>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</si>
  <si>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</si>
  <si>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</si>
  <si>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</si>
  <si>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</si>
  <si>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</si>
  <si>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</si>
  <si>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</si>
  <si>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</si>
  <si>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</si>
  <si>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</si>
  <si>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</si>
  <si>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</si>
  <si>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</si>
  <si>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</si>
  <si>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</si>
  <si>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</si>
  <si>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</si>
  <si>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</si>
  <si>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</si>
  <si>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</si>
  <si>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</si>
  <si>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</si>
  <si>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</si>
  <si>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</si>
  <si>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</si>
  <si>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</si>
  <si>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</si>
  <si>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</si>
  <si>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</si>
  <si>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</si>
  <si>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</si>
  <si>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</si>
  <si>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</si>
  <si>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</si>
  <si>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</si>
  <si>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</si>
  <si>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</si>
  <si>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</si>
  <si>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</si>
  <si>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</si>
  <si>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</si>
  <si>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</si>
  <si>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</si>
  <si>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</si>
  <si>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</si>
  <si>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</si>
  <si>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</si>
  <si>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</si>
  <si>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</si>
  <si>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</si>
  <si>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</si>
  <si>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</si>
  <si>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</si>
  <si>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</si>
  <si>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</si>
  <si>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</si>
  <si>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</si>
  <si>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</si>
  <si>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</si>
  <si>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</si>
  <si>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</si>
  <si>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</si>
  <si>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</si>
  <si>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</si>
  <si>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</si>
  <si>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</si>
  <si>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</si>
  <si>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</si>
  <si>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</si>
  <si>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</si>
  <si>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</si>
  <si>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</si>
  <si>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</si>
  <si>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</si>
  <si>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</si>
  <si>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</si>
  <si>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</si>
  <si>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</si>
  <si>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</si>
  <si>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</si>
  <si>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</si>
  <si>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</si>
  <si>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</si>
  <si>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</si>
  <si>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</si>
  <si>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</si>
  <si>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</si>
  <si>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</si>
  <si>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</si>
  <si>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</si>
  <si>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</si>
  <si>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</si>
  <si>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</si>
  <si>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</si>
  <si>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</si>
  <si>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</si>
  <si>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</si>
  <si>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</si>
  <si>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</si>
  <si>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</si>
  <si>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</si>
  <si>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</si>
  <si>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</si>
  <si>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</si>
  <si>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</si>
  <si>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</si>
  <si>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</si>
  <si>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</si>
  <si>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</si>
  <si>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</si>
  <si>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</si>
  <si>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</si>
  <si>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</si>
  <si>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</si>
  <si>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</si>
  <si>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</si>
  <si>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</si>
  <si>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</si>
  <si>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</si>
  <si>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</si>
  <si>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</si>
  <si>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</si>
  <si>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</si>
  <si>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</si>
  <si>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</si>
  <si>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</si>
  <si>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</si>
  <si>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</si>
  <si>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</si>
  <si>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</si>
  <si>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</si>
  <si>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</si>
  <si>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</si>
  <si>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</si>
  <si>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</si>
  <si>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</si>
  <si>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</si>
  <si>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</si>
  <si>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</si>
  <si>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</si>
  <si>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</si>
  <si>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</si>
  <si>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</si>
  <si>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</si>
  <si>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</si>
  <si>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</si>
  <si>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</si>
  <si>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</si>
  <si>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</si>
  <si>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</si>
  <si>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</si>
  <si>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</si>
  <si>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</si>
  <si>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</si>
  <si>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</si>
  <si>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</si>
  <si>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</si>
  <si>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</si>
  <si>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</si>
  <si>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</si>
  <si>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</si>
  <si>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</si>
  <si>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</si>
  <si>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</si>
  <si>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</si>
  <si>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</si>
  <si>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</si>
  <si>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</si>
  <si>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</si>
  <si>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</si>
  <si>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</si>
  <si>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</si>
  <si>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</si>
  <si>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</si>
  <si>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</si>
  <si>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</si>
  <si>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</si>
  <si>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</si>
  <si>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</si>
  <si>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</si>
  <si>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</si>
  <si>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</si>
  <si>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</si>
  <si>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</si>
  <si>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</si>
  <si>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</si>
  <si>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</si>
  <si>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</si>
  <si>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</si>
  <si>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</si>
  <si>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</si>
  <si>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</si>
  <si>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</si>
  <si>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</si>
  <si>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</si>
  <si>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</si>
  <si>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</si>
  <si>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</si>
  <si>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</si>
  <si>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</si>
  <si>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</si>
  <si>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</si>
  <si>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</si>
  <si>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</si>
  <si>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</si>
  <si>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</si>
  <si>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</si>
  <si>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</si>
  <si>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</si>
  <si>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</si>
  <si>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</si>
  <si>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</si>
  <si>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</si>
  <si>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</si>
  <si>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</si>
  <si>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</si>
  <si>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</si>
  <si>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</si>
  <si>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</si>
  <si>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</si>
  <si>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</si>
  <si>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</si>
  <si>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</si>
  <si>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</si>
  <si>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</si>
  <si>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</si>
  <si>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</si>
  <si>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</si>
  <si>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</si>
  <si>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</si>
  <si>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</si>
  <si>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</si>
  <si>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</si>
  <si>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</si>
  <si>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</si>
  <si>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</si>
  <si>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</si>
  <si>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</si>
  <si>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</si>
  <si>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</si>
  <si>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</si>
  <si>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</si>
  <si>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</si>
  <si>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</si>
  <si>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</si>
  <si>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</si>
  <si>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</si>
  <si>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</si>
  <si>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</si>
  <si>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</si>
  <si>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</si>
  <si>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</si>
  <si>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</si>
  <si>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</si>
  <si>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</si>
  <si>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</si>
  <si>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</si>
  <si>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</si>
  <si>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</si>
  <si>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</si>
  <si>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</si>
  <si>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</si>
  <si>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</si>
  <si>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</si>
  <si>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</si>
  <si>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</si>
  <si>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</si>
  <si>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</si>
  <si>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</si>
  <si>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</si>
  <si>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</si>
  <si>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</si>
  <si>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</si>
  <si>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</si>
  <si>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</si>
  <si>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</si>
  <si>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</si>
  <si>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</si>
  <si>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</si>
  <si>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</si>
  <si>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</si>
  <si>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</si>
  <si>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</si>
  <si>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</si>
  <si>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</si>
  <si>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</si>
  <si>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</si>
  <si>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</si>
  <si>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</si>
  <si>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</si>
  <si>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</si>
  <si>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</si>
  <si>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</si>
  <si>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</si>
  <si>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</si>
  <si>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</si>
  <si>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</si>
  <si>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</si>
  <si>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</si>
  <si>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</si>
  <si>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</si>
  <si>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</si>
  <si>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</si>
  <si>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</si>
  <si>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</si>
  <si>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</si>
  <si>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</si>
  <si>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</si>
  <si>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</si>
  <si>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</si>
  <si>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</si>
  <si>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</si>
  <si>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</si>
  <si>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</si>
  <si>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</si>
  <si>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</si>
  <si>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</si>
  <si>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</si>
  <si>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</si>
  <si>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</si>
  <si>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</si>
  <si>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</si>
  <si>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</si>
  <si>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</si>
  <si>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</si>
  <si>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</si>
  <si>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</si>
  <si>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</si>
  <si>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</si>
  <si>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</si>
  <si>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</si>
  <si>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</si>
  <si>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</si>
  <si>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</si>
  <si>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</si>
  <si>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</si>
  <si>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</si>
  <si>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</si>
  <si>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</si>
  <si>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</si>
  <si>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</si>
  <si>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</si>
  <si>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</si>
  <si>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</si>
  <si>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</si>
  <si>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</si>
  <si>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</si>
  <si>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</si>
  <si>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</si>
  <si>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</si>
  <si>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</si>
  <si>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</si>
  <si>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</si>
  <si>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</si>
  <si>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</si>
  <si>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</si>
  <si>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</si>
  <si>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</si>
  <si>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</si>
  <si>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</si>
  <si>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</si>
  <si>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</si>
  <si>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</si>
  <si>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</si>
  <si>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</si>
  <si>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</si>
  <si>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</si>
  <si>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</si>
  <si>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</si>
  <si>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</si>
  <si>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</si>
  <si>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</si>
  <si>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</si>
  <si>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</si>
  <si>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</si>
  <si>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</si>
  <si>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</si>
  <si>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</si>
  <si>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</si>
  <si>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</si>
  <si>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</si>
  <si>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</si>
  <si>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</si>
  <si>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</si>
  <si>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</si>
  <si>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</si>
  <si>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</si>
  <si>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</si>
  <si>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</si>
  <si>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</si>
  <si>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</si>
  <si>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</si>
  <si>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</si>
  <si>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</si>
  <si>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</si>
  <si>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</si>
  <si>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</si>
  <si>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</si>
  <si>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</si>
  <si>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</si>
  <si>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</si>
  <si>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</si>
  <si>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</si>
  <si>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</si>
  <si>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</si>
  <si>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</si>
  <si>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</si>
  <si>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</si>
  <si>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</si>
  <si>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</si>
  <si>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</si>
  <si>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</si>
  <si>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</si>
  <si>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</si>
  <si>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</si>
  <si>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</si>
  <si>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</si>
  <si>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</si>
  <si>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</si>
  <si>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</si>
  <si>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</si>
  <si>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</si>
  <si>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</si>
  <si>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</si>
  <si>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</si>
  <si>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</si>
  <si>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</si>
  <si>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</si>
  <si>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</si>
  <si>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</si>
  <si>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</si>
  <si>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</si>
  <si>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</si>
  <si>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</si>
  <si>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</si>
  <si>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</si>
  <si>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</si>
  <si>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</si>
  <si>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</si>
  <si>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</si>
  <si>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</si>
  <si>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</si>
  <si>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</si>
  <si>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</si>
  <si>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</si>
  <si>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</si>
  <si>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</si>
  <si>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</si>
  <si>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</si>
  <si>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</si>
  <si>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</si>
  <si>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</si>
  <si>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</si>
  <si>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</si>
  <si>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</si>
  <si>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</si>
  <si>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</si>
  <si>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</si>
  <si>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</si>
  <si>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</si>
  <si>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</si>
  <si>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</si>
  <si>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</si>
  <si>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</si>
  <si>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</si>
  <si>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</si>
  <si>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</si>
  <si>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</si>
  <si>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</si>
  <si>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</si>
  <si>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</si>
  <si>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</si>
  <si>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</si>
  <si>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</si>
  <si>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</si>
  <si>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</si>
  <si>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</si>
  <si>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</si>
  <si>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</si>
  <si>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</si>
  <si>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</si>
  <si>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</si>
  <si>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</si>
  <si>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</si>
  <si>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</si>
  <si>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</si>
  <si>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</si>
  <si>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</si>
  <si>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</si>
  <si>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</si>
  <si>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</si>
  <si>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</si>
  <si>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</si>
  <si>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</si>
  <si>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</si>
  <si>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</si>
  <si>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</si>
  <si>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</si>
  <si>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</si>
  <si>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</si>
  <si>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</si>
  <si>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</si>
  <si>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</si>
  <si>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</si>
  <si>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</si>
  <si>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</si>
  <si>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</si>
  <si>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</si>
  <si>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</si>
  <si>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</si>
  <si>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</si>
  <si>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</si>
  <si>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</si>
  <si>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</si>
  <si>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</si>
  <si>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</si>
  <si>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</si>
  <si>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</si>
  <si>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</si>
  <si>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</si>
  <si>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</si>
  <si>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</si>
  <si>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</si>
  <si>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</si>
  <si>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</si>
  <si>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</si>
  <si>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</si>
  <si>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</si>
  <si>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</si>
  <si>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</si>
  <si>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</si>
  <si>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</si>
  <si>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</si>
  <si>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</si>
  <si>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</si>
  <si>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</si>
  <si>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</si>
  <si>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</si>
  <si>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</si>
  <si>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</si>
  <si>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</si>
  <si>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</si>
  <si>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</si>
  <si>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</si>
  <si>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</si>
  <si>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</si>
  <si>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</si>
  <si>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</si>
  <si>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</si>
  <si>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</si>
  <si>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</si>
  <si>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</si>
  <si>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</si>
  <si>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</si>
  <si>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</si>
  <si>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</si>
  <si>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</si>
  <si>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</si>
  <si>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</si>
  <si>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</si>
  <si>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</si>
  <si>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</si>
  <si>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</si>
  <si>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</si>
  <si>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</si>
  <si>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</si>
  <si>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</si>
  <si>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</si>
  <si>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</si>
  <si>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</si>
  <si>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</si>
  <si>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</si>
  <si>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</si>
  <si>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</si>
  <si>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</si>
  <si>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</si>
  <si>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</si>
  <si>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</si>
  <si>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</si>
  <si>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</si>
  <si>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</si>
  <si>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</si>
  <si>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</si>
  <si>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</si>
  <si>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</si>
  <si>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</si>
  <si>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</si>
  <si>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</si>
  <si>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</si>
  <si>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</si>
  <si>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</si>
  <si>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</si>
  <si>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</si>
  <si>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</si>
  <si>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</si>
  <si>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</si>
  <si>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</si>
  <si>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</si>
  <si>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</si>
  <si>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</si>
  <si>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</si>
  <si>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</si>
  <si>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</si>
  <si>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</si>
  <si>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</si>
  <si>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</si>
  <si>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</si>
  <si>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</si>
  <si>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</si>
  <si>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</si>
  <si>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</si>
  <si>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</si>
  <si>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</si>
  <si>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</si>
  <si>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</si>
  <si>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</si>
  <si>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</si>
  <si>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</si>
  <si>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</si>
  <si>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</si>
  <si>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</si>
  <si>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</si>
  <si>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</si>
  <si>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</si>
  <si>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</si>
  <si>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</si>
  <si>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</si>
  <si>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</si>
  <si>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</si>
  <si>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</si>
  <si>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</si>
  <si>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</si>
  <si>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</si>
  <si>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</si>
  <si>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</si>
  <si>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</si>
  <si>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</si>
  <si>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</si>
  <si>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</si>
  <si>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</si>
  <si>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</si>
  <si>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</si>
  <si>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</si>
  <si>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</si>
  <si>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</si>
  <si>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</si>
  <si>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</si>
  <si>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</si>
  <si>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</si>
  <si>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</si>
  <si>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</si>
  <si>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</si>
  <si>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</si>
  <si>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</si>
  <si>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</si>
  <si>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</si>
  <si>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</si>
  <si>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</si>
  <si>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</si>
  <si>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</si>
  <si>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</si>
  <si>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</si>
  <si>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</si>
  <si>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</si>
  <si>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</si>
  <si>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</si>
  <si>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</si>
  <si>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</si>
  <si>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</si>
  <si>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</si>
  <si>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</si>
  <si>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</si>
  <si>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</si>
  <si>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</si>
  <si>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</si>
  <si>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</si>
  <si>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</si>
  <si>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</si>
  <si>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</si>
  <si>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</si>
  <si>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</si>
  <si>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</si>
  <si>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</si>
  <si>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</si>
  <si>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</si>
  <si>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</si>
  <si>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</si>
  <si>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</si>
  <si>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</si>
  <si>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</si>
  <si>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</si>
  <si>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</si>
  <si>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</si>
  <si>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</si>
  <si>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</si>
  <si>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</si>
  <si>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</si>
  <si>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</si>
  <si>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</si>
  <si>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</si>
  <si>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</si>
  <si>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</si>
  <si>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</si>
  <si>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</si>
  <si>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</si>
  <si>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</si>
  <si>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</si>
  <si>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</si>
  <si>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</si>
  <si>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</si>
  <si>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</si>
  <si>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</si>
  <si>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</si>
  <si>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</si>
  <si>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</si>
  <si>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</si>
  <si>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</si>
  <si>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</si>
  <si>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</si>
  <si>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</si>
  <si>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</si>
  <si>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</si>
  <si>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</si>
  <si>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</si>
  <si>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</si>
  <si>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</si>
  <si>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</si>
  <si>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</si>
  <si>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</si>
  <si>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</si>
  <si>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</si>
  <si>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</si>
  <si>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</si>
  <si>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</si>
  <si>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</si>
  <si>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</si>
  <si>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</si>
  <si>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</si>
  <si>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</si>
  <si>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</si>
  <si>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</si>
  <si>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</si>
  <si>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</si>
  <si>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</si>
  <si>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</si>
  <si>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</si>
  <si>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</si>
  <si>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</si>
  <si>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</si>
  <si>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</si>
  <si>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</si>
  <si>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</si>
  <si>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</si>
  <si>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</si>
  <si>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</si>
  <si>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</si>
  <si>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</si>
  <si>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</si>
  <si>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</si>
  <si>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</si>
  <si>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</si>
  <si>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</si>
  <si>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</si>
  <si>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</si>
  <si>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</si>
  <si>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</si>
  <si>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</si>
  <si>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</si>
  <si>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</si>
  <si>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</si>
  <si>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</si>
  <si>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</si>
  <si>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</si>
  <si>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</si>
  <si>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</si>
  <si>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</si>
  <si>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</si>
  <si>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</si>
  <si>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</si>
  <si>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</si>
  <si>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</si>
  <si>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</si>
  <si>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</si>
  <si>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</si>
  <si>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</si>
  <si>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</si>
  <si>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</si>
  <si>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</si>
  <si>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</si>
  <si>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</si>
  <si>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</si>
  <si>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</si>
  <si>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</si>
  <si>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</si>
  <si>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</si>
  <si>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</si>
  <si>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</si>
  <si>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</si>
  <si>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</si>
  <si>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</si>
  <si>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</si>
  <si>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</si>
  <si>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</si>
  <si>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</si>
  <si>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</si>
  <si>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</si>
  <si>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</si>
  <si>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</si>
  <si>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</si>
  <si>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</si>
  <si>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</si>
  <si>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</si>
  <si>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</si>
  <si>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</si>
  <si>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</si>
  <si>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</si>
  <si>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</si>
  <si>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</si>
  <si>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</si>
  <si>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</si>
  <si>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</si>
  <si>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</si>
  <si>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</si>
  <si>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</si>
  <si>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</si>
  <si>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</si>
  <si>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</si>
  <si>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</si>
  <si>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</si>
  <si>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</si>
  <si>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</si>
  <si>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</si>
  <si>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</si>
  <si>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</si>
  <si>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</si>
  <si>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</si>
  <si>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</si>
  <si>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</si>
  <si>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</si>
  <si>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</si>
  <si>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</si>
  <si>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</si>
  <si>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</si>
  <si>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</si>
  <si>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</si>
  <si>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</si>
  <si>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</si>
  <si>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</si>
  <si>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</si>
  <si>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</si>
  <si>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</si>
  <si>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</si>
  <si>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</si>
  <si>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</si>
  <si>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</si>
  <si>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</si>
  <si>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</si>
  <si>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</si>
  <si>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</si>
  <si>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</si>
  <si>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</si>
  <si>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</si>
  <si>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</si>
  <si>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</si>
  <si>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</si>
  <si>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</si>
  <si>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</si>
  <si>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</si>
  <si>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</si>
  <si>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</si>
  <si>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</si>
  <si>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</si>
  <si>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</si>
  <si>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</si>
  <si>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</si>
  <si>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</si>
  <si>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</si>
  <si>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</si>
  <si>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</si>
  <si>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</si>
  <si>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</si>
  <si>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</si>
  <si>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</si>
  <si>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</si>
  <si>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</si>
  <si>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</si>
  <si>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</si>
  <si>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</si>
  <si>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</si>
  <si>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</si>
  <si>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</si>
  <si>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</si>
  <si>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</si>
  <si>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</si>
  <si>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</si>
  <si>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</si>
  <si>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</si>
  <si>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</si>
  <si>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</si>
  <si>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</si>
  <si>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</si>
  <si>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</si>
  <si>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</si>
  <si>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</si>
  <si>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</si>
  <si>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</si>
  <si>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</si>
  <si>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</si>
  <si>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</si>
  <si>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</si>
  <si>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</si>
  <si>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</si>
  <si>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</si>
  <si>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</si>
  <si>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</si>
  <si>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</si>
  <si>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</si>
  <si>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</si>
  <si>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</si>
  <si>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</si>
  <si>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</si>
  <si>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</si>
  <si>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</si>
  <si>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</si>
  <si>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</si>
  <si>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</si>
  <si>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</si>
  <si>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</si>
  <si>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</si>
  <si>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</si>
  <si>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</si>
  <si>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</si>
  <si>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</si>
  <si>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</si>
  <si>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</si>
  <si>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</si>
  <si>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</si>
  <si>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</si>
  <si>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</si>
  <si>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</si>
  <si>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</si>
  <si>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</si>
  <si>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</si>
  <si>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</si>
  <si>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</si>
  <si>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</si>
  <si>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</si>
  <si>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</si>
  <si>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</si>
  <si>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</si>
  <si>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</si>
  <si>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</si>
  <si>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</si>
  <si>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</si>
  <si>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</si>
  <si>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</si>
  <si>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</si>
  <si>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</si>
  <si>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</si>
  <si>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</si>
  <si>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</si>
  <si>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Gorenz and Associates, Ltd.</t>
  </si>
  <si>
    <t>4200 N Knoxville Ave</t>
  </si>
  <si>
    <t>Peoria</t>
  </si>
  <si>
    <t>IL</t>
  </si>
  <si>
    <t>309-685-7621</t>
  </si>
  <si>
    <t>309-685-4758</t>
  </si>
  <si>
    <t>GORENZ AND ASSOCIATES, LTD.</t>
  </si>
  <si>
    <t>SEE SEFA18 TAB</t>
  </si>
  <si>
    <t>Winnebago</t>
  </si>
  <si>
    <t>Hononegah Community High School District No. 207</t>
  </si>
  <si>
    <t>307 Salem Street</t>
  </si>
  <si>
    <t>Rockton</t>
  </si>
  <si>
    <t>Russell J. Rumbold II, CPA</t>
  </si>
  <si>
    <t>rrumbold@gorenzcpa.com</t>
  </si>
  <si>
    <t>815-624-5010</t>
  </si>
  <si>
    <t>815-624-5029</t>
  </si>
  <si>
    <t>General Obligation Refunding Bonds, 2012</t>
  </si>
  <si>
    <t>General Obligation Limited Bonds, Series 2014A</t>
  </si>
  <si>
    <t>General Obligation Limited Bonds, Series 2014B</t>
  </si>
  <si>
    <t>04-101-2070-16</t>
  </si>
  <si>
    <t>2017-001</t>
  </si>
  <si>
    <t>Lack of Segregation of Duties</t>
  </si>
  <si>
    <t>Michael Dugan</t>
  </si>
  <si>
    <t>mdugan@hononegah.org</t>
  </si>
  <si>
    <t>066-005027</t>
  </si>
  <si>
    <t>x</t>
  </si>
  <si>
    <t>Winnebago County Special Education Cooperative</t>
  </si>
  <si>
    <t>Career Education Associates of North Central Illinois</t>
  </si>
  <si>
    <t>AU-C 265 has prescribed definitions for significant deficiencies and material weaknesses in an entity's internal control structure.  Internal controls are designed to allow management or employees, in the normal course of performing their assigned functions, to prevent or detect misstatements and safeguard assets.  A concept in a good system of internal control is adequate segregation of duties.</t>
  </si>
  <si>
    <t>Two individuals have the primary responsibility for performing most of the accounting and financial duties, including key functions of recording, reconciling, and reporting cash transactions.   This structure reduces certain aspects of the internal control system which rely on adequate segregation of duties.  The Treasurer of the District is employed by the District as Benefits Coordinator.  Also, the Accounting Supervisor is an authorized individual on the Illinois School District Liquid Asset (ISDLAF) Account.</t>
  </si>
  <si>
    <t>The Board of Education should take steps it considers necessary to limit the risk that a lack of segregation of duties presents; such as, but not limited to, hiring additional staff, a treasurer independent of the District, and removing the Accounting Supervisor as authorized from the ISDLAF account.</t>
  </si>
  <si>
    <t>In accordance with prescribed definitions in AU-C 265, it is a strong indication of  a material weakness in internal control if an entity lacks sufficient controls over a significant account or process. The District had not reconciled the accounting records to supporting documents on a timely basis.</t>
  </si>
  <si>
    <t>The District's bank account was not reconciled to the accounting records on a monthly basis.</t>
  </si>
  <si>
    <t>Loans under 105 ILCS 5/10-22.33 are to be approved by the school board prior to the funds being transferred.</t>
  </si>
  <si>
    <t>Several funds carried a negative cash balance at times throughout the year. This negative balance was in a common checking account and covered by available monies in other funds. These loans were not authorized with a motion by the board of education.</t>
  </si>
  <si>
    <t>The District made unauthorized loans to several funds which were not formally approved by the board of education.</t>
  </si>
  <si>
    <t xml:space="preserve">The Illinois School Code  (105 ILCS 5/2-3.27 &amp; 3.28) requires that districts maintain their accounting records in accordance with the rules promulgated by the State Board of Education for Local Education Agencies.    </t>
  </si>
  <si>
    <t xml:space="preserve">Due to misclassifications, the Illinois Program Accounting Manual is not being properly followed.    </t>
  </si>
  <si>
    <t xml:space="preserve">Additional emphasis should be placed on coding expenditures by function and object to follow the Illinois Program Accounting Manual.      </t>
  </si>
  <si>
    <t>In accordance with prescribed definitions in AU-C 265, it is a strong indication of a material weakness in internal control if an entity lacks sufficient controls over the period-end financial reporting process.  The standard provides guidance regarding the extent to which the auditor may be involved in drafting an entity's financial statements.</t>
  </si>
  <si>
    <t>For year end reporting purposes, the District relies on the auditor to prepare drafts of full disclosure financial statements (including footnotes) in a format acceptable by ISBE.  The District currently lacks sufficient expertise to prepare year end, full disclosure financial statements without significant assistance from the auditor.</t>
  </si>
  <si>
    <t>Although the auditor can propose adjustments and assist in assembling or drafting the financial statements, the auditor cannot establish or maintain the District's internal controls, including monitoring ongoing activities, since doing so would impair the auditor's independence.</t>
  </si>
  <si>
    <t>Lack of sufficient expertise for full disclosure year end financial statement preparation could result in controls not being effective in preventing or detecting material misstatements.</t>
  </si>
  <si>
    <t>The District has not retained an individual to specifically monitor standards promulgated by the American Institute of Certified Public Accountants as they relate to full disclosure financial reporting.  Preparation of full disclosure year end financial statements is not an assigned function for District accounting staff.</t>
  </si>
  <si>
    <t>The District should review the additional cost it would incur to prepare the financial statements internally with the corresponding reduction of risk associated with material misstatement of the District's financial statements.</t>
  </si>
  <si>
    <t>AU-C 265 has prescribed definitions for significant deficiencies and material weaknesses in an entity's internal control structure.  Internal controls are designed to allow management or employees, in the normal course of performing their assigned functions, to prevent or detect misstatements and safeguard assets.  A concept in a good system of internal control is the use of purchase orders to aid in the prevention of unauthorized purchases.</t>
  </si>
  <si>
    <t>Purchase orders are not being consistently used to authorize spending funds.</t>
  </si>
  <si>
    <t>Unauthorized purchases can occur. The accounts payable clerk has the opportunity to approve their own purchase order, issue a check, and process the information into the accounting software.</t>
  </si>
  <si>
    <t xml:space="preserve">Management has not formalized and implemented a purchasing policy requiring purchase orders before funds are expended. </t>
  </si>
  <si>
    <t>The Illinois Compiled Statutes, 5 ILCS 420/4A 101 - 107, prescribes the requirements when persons are to file a statement of economic interest. The statutes specifically includes persons appointed to the governing board of a special district and have been employed through January 1 of the fiscal year. The statement of economic interest is to be filed by May 1 of each year, for disclosures related to the previous calendar year.</t>
  </si>
  <si>
    <t>One individual required to file statements of economic interest did not file timely.</t>
  </si>
  <si>
    <t>Individuals required to file a statement of economic interest with the Winnebago County Clerk are required to do so by May 1 each year.</t>
  </si>
  <si>
    <t>One individual did not comply with the Illinois Compiled Statutes.</t>
  </si>
  <si>
    <t>One individual required to file a statement of economic interest did not timely file with the Winnebago County Clerk.</t>
  </si>
  <si>
    <t>All persons required to file a statement of economic interest should file a statement of economic interest as soon as possible.</t>
  </si>
  <si>
    <t>The District provides the Winnebago County Clerk with a listing of individuals required to file statements of economic interest. The District will emphasize the importance of filing to those individuals required to file.</t>
  </si>
  <si>
    <t>Rockton, IL     61072</t>
  </si>
  <si>
    <t>NONE</t>
  </si>
  <si>
    <t>Note 6:  Relationship to Basic Financial Statements</t>
  </si>
  <si>
    <t>Federal awards received are reflected in the District's financial statements within the Educational Fund as receipts from federal sources. Amounts reported in the accompanying Schedule of Expenditures of Federal Awards agree with amounts reported in the Program Financial Reports for programs which have filed final reports as of June 30, 2018.</t>
  </si>
  <si>
    <t>Unmodified</t>
  </si>
  <si>
    <t>IDEA Special Education Cluster</t>
  </si>
  <si>
    <t>UNRESOLVED - See Finding 2018-001</t>
  </si>
  <si>
    <r>
      <t>CORRECTIVE ACTION PLAN FOR CURRENT YEAR AUDIT FINDINGS</t>
    </r>
    <r>
      <rPr>
        <b/>
        <vertAlign val="superscript"/>
        <sz val="9"/>
        <rFont val="Arial"/>
        <family val="2"/>
      </rPr>
      <t>21</t>
    </r>
  </si>
  <si>
    <t>Corrective Action Plan</t>
  </si>
  <si>
    <t>Finding No.:</t>
  </si>
  <si>
    <t>Condition:</t>
  </si>
  <si>
    <t>Plan:</t>
  </si>
  <si>
    <t>The District will review assigned duties, review staffing needs, and individuals authorized on District investment accounts.</t>
  </si>
  <si>
    <t>Anticipated Date of Completion:</t>
  </si>
  <si>
    <t>Name of Contact Person:</t>
  </si>
  <si>
    <t>Management Response:</t>
  </si>
  <si>
    <r>
      <t>21</t>
    </r>
    <r>
      <rPr>
        <sz val="8"/>
        <rFont val="Arial"/>
        <family val="2"/>
      </rPr>
      <t xml:space="preserve">  Must address </t>
    </r>
    <r>
      <rPr>
        <b/>
        <sz val="8"/>
        <rFont val="Arial"/>
        <family val="2"/>
      </rPr>
      <t>each</t>
    </r>
    <r>
      <rPr>
        <sz val="8"/>
        <rFont val="Arial"/>
        <family val="2"/>
      </rPr>
      <t xml:space="preserve"> audit finding  - §200.511 ( c)</t>
    </r>
  </si>
  <si>
    <t>Michael Dugan, Superintendent</t>
  </si>
  <si>
    <t>The District will review the additional cost it would incur to prepare the financial statements internally with the corresponding reduction of risk associated with material misstatement of the District's financial statements.</t>
  </si>
  <si>
    <t>The District's cash balances will be reconciled to the bank statements on a monthly basis.  Any discrepancies will be identified and any resulting entry to the accounting records will be entered on a timely basis.</t>
  </si>
  <si>
    <t>The District will monitor the cash balances and make interfund loans, transfers or accounting corrections when needed.</t>
  </si>
  <si>
    <t xml:space="preserve">Additional emphasis will be placed on coding expenditures by function and object to follow the Illinois Program Accounting Manual.      </t>
  </si>
  <si>
    <t>Properly approved purchase orders will be required before spending funds for nonrecurring items.</t>
  </si>
  <si>
    <t>Year Ended June 30, 2018</t>
  </si>
  <si>
    <t>ISBE</t>
  </si>
  <si>
    <t xml:space="preserve">          Receipts/Revenues          </t>
  </si>
  <si>
    <t xml:space="preserve">  Expenditures/Disbursements  </t>
  </si>
  <si>
    <t>Project</t>
  </si>
  <si>
    <t xml:space="preserve">Prior to </t>
  </si>
  <si>
    <t>7/01/17</t>
  </si>
  <si>
    <t>Prior to</t>
  </si>
  <si>
    <t>Final</t>
  </si>
  <si>
    <t>Federal Grantor/Pass-Through Grantor,</t>
  </si>
  <si>
    <t>Number</t>
  </si>
  <si>
    <t>6/30/17</t>
  </si>
  <si>
    <t>6/30/18</t>
  </si>
  <si>
    <t>Encumbrances</t>
  </si>
  <si>
    <t>Program Title &amp; Major Program Designation</t>
  </si>
  <si>
    <t xml:space="preserve">        (A)        </t>
  </si>
  <si>
    <t xml:space="preserve">         (B)         </t>
  </si>
  <si>
    <t xml:space="preserve">         (C)         </t>
  </si>
  <si>
    <t xml:space="preserve">         (D)         </t>
  </si>
  <si>
    <t xml:space="preserve">         (E)         </t>
  </si>
  <si>
    <t xml:space="preserve">         (F)         </t>
  </si>
  <si>
    <t xml:space="preserve">         (G)         </t>
  </si>
  <si>
    <t xml:space="preserve">         (H)         </t>
  </si>
  <si>
    <t xml:space="preserve">         (I)         </t>
  </si>
  <si>
    <t xml:space="preserve">U.S. Department of Agriculture - </t>
  </si>
  <si>
    <t xml:space="preserve">   Pass-through program from</t>
  </si>
  <si>
    <t xml:space="preserve">   Illinois State Board of Education</t>
  </si>
  <si>
    <t>17-4220-00</t>
  </si>
  <si>
    <t>N/A</t>
  </si>
  <si>
    <t xml:space="preserve">  </t>
  </si>
  <si>
    <t>18-4220-00</t>
  </si>
  <si>
    <t>(1)</t>
  </si>
  <si>
    <t>.</t>
  </si>
  <si>
    <t>17-4210-00</t>
  </si>
  <si>
    <t>18-4210-00</t>
  </si>
  <si>
    <t>Food Donation</t>
  </si>
  <si>
    <t>FY17</t>
  </si>
  <si>
    <t>FY18</t>
  </si>
  <si>
    <t>(3)</t>
  </si>
  <si>
    <t>Department of Defense - Fruits and Vegetables</t>
  </si>
  <si>
    <t>Total U.S. Department of Agriculture - Pass-through program</t>
  </si>
  <si>
    <t xml:space="preserve">U.S. Department of Education - </t>
  </si>
  <si>
    <t xml:space="preserve">                               </t>
  </si>
  <si>
    <t>17-4300-00</t>
  </si>
  <si>
    <t>18-4300-00</t>
  </si>
  <si>
    <t>18-4400-00</t>
  </si>
  <si>
    <t>(M)</t>
  </si>
  <si>
    <t>I.D.E.A. Room &amp; Board</t>
  </si>
  <si>
    <t>17-4625-00</t>
  </si>
  <si>
    <t>I.D.E.A. Room &amp; Board - Excess Costs</t>
  </si>
  <si>
    <t>13-4625-XC</t>
  </si>
  <si>
    <t>18-4625-00</t>
  </si>
  <si>
    <t>05-4625-EC</t>
  </si>
  <si>
    <t>06-4625-EC</t>
  </si>
  <si>
    <t>Technology - Enhancing Education - Formula</t>
  </si>
  <si>
    <t>10-4971-00</t>
  </si>
  <si>
    <t>17-4932-00</t>
  </si>
  <si>
    <t>18-4932-00</t>
  </si>
  <si>
    <t>ARRA - Education Jobs Fund Program</t>
  </si>
  <si>
    <t>84.410A</t>
  </si>
  <si>
    <t>12-4880-00</t>
  </si>
  <si>
    <t>Total U.S. Department of Education - Pass-through programs-ISBE</t>
  </si>
  <si>
    <t>Pass-through program from</t>
  </si>
  <si>
    <t>Kishwaukee Intermediate Delivery System</t>
  </si>
  <si>
    <t>Title I - Respro</t>
  </si>
  <si>
    <t>10-4399-00</t>
  </si>
  <si>
    <t>11-4399-00</t>
  </si>
  <si>
    <t>Total Kishwaukee Intermediate Delivery System - Pass-through programs</t>
  </si>
  <si>
    <t>Winnebago Special Education Coop</t>
  </si>
  <si>
    <t>I.D.E.A. Flow Through</t>
  </si>
  <si>
    <t>17-4620-00</t>
  </si>
  <si>
    <t>18-4620-00</t>
  </si>
  <si>
    <t>Total Winnebago Special Education Coop - Pass-through programs</t>
  </si>
  <si>
    <t>Illinois Secretary of Sate from the I</t>
  </si>
  <si>
    <t>Total Lee/Ogle Office of Education - Pass-through programs</t>
  </si>
  <si>
    <t>Total U.S. Department of Education - Pass-through programs</t>
  </si>
  <si>
    <t>National Endowment for the Humanities (NEH)</t>
  </si>
  <si>
    <t>Illinois Secretary of State - Illinois State Libarary</t>
  </si>
  <si>
    <t>Library Services and Technology Act (LSTA) Funds</t>
  </si>
  <si>
    <t>18-4999-00</t>
  </si>
  <si>
    <t>Total National Endowment for the Humanities - Pass-through programs</t>
  </si>
  <si>
    <t>U.S. Department of Education - Direct Programs</t>
  </si>
  <si>
    <t>Comprehensive Physical Ed for Today's Student</t>
  </si>
  <si>
    <t>84.215F</t>
  </si>
  <si>
    <t>S215F130283</t>
  </si>
  <si>
    <t>Total U.S. Department of Education - Direct Programs</t>
  </si>
  <si>
    <t>Total U.S. Department of Education</t>
  </si>
  <si>
    <t xml:space="preserve">U.S. Department of Health &amp; Human Services - </t>
  </si>
  <si>
    <t>Illinois Department of Healthcare and Family Services</t>
  </si>
  <si>
    <t>Medicaid Outreach</t>
  </si>
  <si>
    <t>17-4991-00</t>
  </si>
  <si>
    <t>18-4991-00</t>
  </si>
  <si>
    <t>Total U.S. Department of Health and Human Services - Pass-through programs</t>
  </si>
  <si>
    <t>U.S. Department of Education:</t>
  </si>
  <si>
    <t xml:space="preserve">   Pass-through program from the</t>
  </si>
  <si>
    <t xml:space="preserve">    Illinois Emergency Management Agency</t>
  </si>
  <si>
    <t>Total Federal Awards</t>
  </si>
  <si>
    <t>Total Federal Awards Passed Through Illinois State Board of Education</t>
  </si>
  <si>
    <t>Total Federal Awards Passed Through Other Entities</t>
  </si>
  <si>
    <t>(M) - Indicates Major Federal Financial Assistance Program.</t>
  </si>
  <si>
    <t>(1) - Project not complete as of June 30, 2018.</t>
  </si>
  <si>
    <t>(2) - Prepayment applied to FY'17 from Winnebago Special Education Coop.</t>
  </si>
  <si>
    <t>(3) - Nonmonetary assistance is reported in the schedule at the fair market value of the commodities received and disbursed.</t>
  </si>
  <si>
    <t xml:space="preserve">
Adverse due to the use of the Regulatory Basis of Accounting.</t>
  </si>
  <si>
    <t>General Obligation School Bonds, Series 2017A</t>
  </si>
  <si>
    <t>General Obligation School Bonds, Series 2017B</t>
  </si>
  <si>
    <t>General Obligation School Bonds, Series 2018A</t>
  </si>
  <si>
    <t>General Obligation School Bonds, Series 2018B</t>
  </si>
  <si>
    <t>Transportation - Pupil Transportation - Purchase Services</t>
  </si>
  <si>
    <t>40-2550-300</t>
  </si>
  <si>
    <t>First Student</t>
  </si>
  <si>
    <t>Two individuals have the primary responsibility for performing most of the accounting and financial duties, including key functions of recording, reconciling, and reporting cash transactions.   This structure reduces certain aspects of the internal control system which rely on adequate segregation of duties.  The District Treasurer is also employed by the District as the Payroll, Benefits, and Accounts Payable Coordinator.  Also, the Director of Finance is an authorized individual on the Illinois School District Liquid Asset (ISDLAF) Account.</t>
  </si>
  <si>
    <t>Most of the District accounting and financial records are maintained by two individuals, the Treasurer of the District is not independent, and the Director of Finance is an authorized person for the District's ISDLAF account, which weakens internal controls.</t>
  </si>
  <si>
    <t>The Board of Education has determined that two individuals is sufficient to perform the required duties and the benefits outweigh any additional risks of having the Treasurer on-site.  The Director of Finance is also authorized for the District's ISDLAF account.</t>
  </si>
  <si>
    <t>Certain individuals have the ability to complete and record accounting functions, which ideally would be segregated.  The internal control benefits of an independent Treasurer are diminished when the Treasurer is also employed by the District in an area directly related to the accounting functions.  The Director of Finance being an authorized individual on the ISDLAF account results in inadequate segregation of duties and weakens internal controls.</t>
  </si>
  <si>
    <t xml:space="preserve">The District's bank and investment accounts were not reconciled to the accounting records on a timely basis. Material adjustments were required to reconcile the bank and investment accounts. Material cash receipts and cash disbursements were not recorded in the accounting records. </t>
  </si>
  <si>
    <t>The District accounting records were not reconciled to the financial institution's records (bank and investment statements) on a timely basis.</t>
  </si>
  <si>
    <t>The District's cash and investment balances were not reconciled to monthly statements on a timely basis and required material adjustments were not entered into the accounting records on a timely basis. The Board of Education and management are making financial decisions based on inaccurate information.</t>
  </si>
  <si>
    <t>The District did not reconcile the bank and investment accounts to include all of the existing reconciling items. The bank and investment reconciliations for January 2018 through June 2018 were not completed until December 2018.</t>
  </si>
  <si>
    <t>The District's cash and investment balances should be reconciled to the statements on a monthly basis.  Any discrepancies should be identified and any resulting entry to the accounting records should be entered on a timely basis.</t>
  </si>
  <si>
    <t>The negative balances created inter-fund loans to several funds which the board of education did not formally approve.</t>
  </si>
  <si>
    <t>The District should monitor the cash and investment balances and make interfund loans, transfers or accounting corrections when needed.</t>
  </si>
  <si>
    <t xml:space="preserve">Accounting errors and not accounting for credit card charges.    
</t>
  </si>
  <si>
    <t xml:space="preserve">Various district expenditures were misclassified by Function and Object (Salary, Benefits, Purchased Services, etc.).  </t>
  </si>
  <si>
    <t>Properly approved purchase orders should be required before a purchase is made.</t>
  </si>
  <si>
    <t>Purchase orders are not being consistently used.</t>
  </si>
  <si>
    <t>2018 -</t>
  </si>
  <si>
    <t>IDEA - Flow Through</t>
  </si>
  <si>
    <t>Illinois State Board of Education</t>
  </si>
  <si>
    <t>U.S. Department of Education</t>
  </si>
  <si>
    <t>The District is required to report grant expenditures in accordance with the Illinois State Board of Education State and Federal Grant Administration Policy and Fiscal Requirements and Procedures and the ISBE Illinois Program Accounting Manual, which is consistent with the provisions of the Uniform Guidance. Also, according to Uniform Guidance, Title 2 CFR 200.516, the District is required to maintain internal control over Federal programs that provide reasonable assurance that the Auditee is managing Federal awards in compliance with laws, regulations, and the provisions of contracts or grant agreements that could have a material effect on each of its Federal programs.</t>
  </si>
  <si>
    <t>Separate expenditures accounts or subsidiary ledger accounts for grant expenditures were not maintained.</t>
  </si>
  <si>
    <t>None</t>
  </si>
  <si>
    <t>District personnel are not utilizing separate expenditure account numbers to track grant expenditures. The District is reporting all grant and local expenditures together.</t>
  </si>
  <si>
    <t>Grant expenditures are recorded with local expenditures, which could cause the over reporting of grant expenditures.</t>
  </si>
  <si>
    <t>Separate accounts or responsibility centers are not being utilized within the accounting software to separate grant expenditures from local expenditures.</t>
  </si>
  <si>
    <t xml:space="preserve">The District should maintain separate expenditures accounts or subsidiary ledger accounts for grant expenditures based on budgeted/reported functions and objects. </t>
  </si>
  <si>
    <t>2018-4300-00</t>
  </si>
  <si>
    <t>Expenditure reports are required to be submitted to ISBE on a timely basis.</t>
  </si>
  <si>
    <t>Quarterly expenditure reports for the projects expenditures were not timely filed.</t>
  </si>
  <si>
    <t>Quarterly expenditure reports were not timely filed throughout the year.</t>
  </si>
  <si>
    <t>Projects may not be properly monitored if reports are not timely filed.</t>
  </si>
  <si>
    <t>The District should schedule the due dates of all project reports.  The District office personnel should request these reports to be submitted to them by the project directors to ensure that the reports are timely filed.</t>
  </si>
  <si>
    <t>In accordance with Illinois Unemployment Insurance Act, all employers who pay wages subject to unemployment tax must file Form UI-3/40 on a quarterly basis and report total wages paid.</t>
  </si>
  <si>
    <t xml:space="preserve">The District's first and second quarter 2018 Form UI-3/40 returns excluded certain Federal, Social Security, and Medicare wage tax sheltered items from total pay that should have been included as total wages paid on the Form UI-3/40. </t>
  </si>
  <si>
    <t xml:space="preserve">The quarterly Form UI-3/40 returns for the quarters ended March 31, 2018 and June 30, 2018 underreported total wages. The District may not have paid the correct Unemployment tax due and may be subject to fines and penalties imposed by the Illinois Department of Employment Security. </t>
  </si>
  <si>
    <t xml:space="preserve">The District's account software settings are sheltering certain wages from total wages when preparing the quarterly Unemployment returns. </t>
  </si>
  <si>
    <t>Accounting software settings related to unemployment wages should be reviewed and corrected so that wages are not sheltered.</t>
  </si>
  <si>
    <t>The quarterly Form UI-3/40 unemployment returns for the first and second quarters of 2018 underreported total wages.</t>
  </si>
  <si>
    <t xml:space="preserve">The District will maintain separate expenditures accounts or subsidiary ledger accounts for grant expenditures based on budgeted/reported functions and objects. </t>
  </si>
  <si>
    <t>The District will file grant expenditure reports in a timely manner.</t>
  </si>
  <si>
    <t>Lack of oversight, due to staff turnover.</t>
  </si>
  <si>
    <t>Title IVA Student Support &amp; Academic Enrichment</t>
  </si>
  <si>
    <t>Not entered by Meghan on 7/31</t>
  </si>
  <si>
    <t>Needs to be entered</t>
  </si>
  <si>
    <t>Value of Commodities</t>
  </si>
  <si>
    <t>Page 9, Line 17 - TIF Funds</t>
  </si>
  <si>
    <t>Page 10, Line 72 - Vending Machine Revenue</t>
  </si>
  <si>
    <t>Page 11, Line 106 - Food Service Catering Revenue</t>
  </si>
  <si>
    <t>Education Fund - Shirt Printing Revenue</t>
  </si>
  <si>
    <t xml:space="preserve">Page 11, Line 107 - </t>
  </si>
  <si>
    <t>Operations and Maintenance Fund - Metal Recycling Fund</t>
  </si>
  <si>
    <t>Page 12, Line 171 - Library Grant</t>
  </si>
  <si>
    <t>Page 14, Line 272 - Federal Library Grant</t>
  </si>
  <si>
    <t>Page 18, Line 171 - Bond Issuance Fees</t>
  </si>
  <si>
    <t>Part A - Line 1 - See Finding 2018-007
Part A - Line 9 - See Finding 2018-004
Part A - Line 12 - See Finding 2018-005
Part C - Line 20 - See Findings 2018-001, 2018-002, 2018-003, 2018-006, 2018-008, 2018-009, and 2018-010</t>
  </si>
  <si>
    <t>Page 17, Line 128 Illinois Department of Employment Security</t>
  </si>
  <si>
    <t>1&amp;6</t>
  </si>
  <si>
    <t>The accounting software settings related to unemployment wages will be reviewed and adjusted so that wages are not sheltered.</t>
  </si>
  <si>
    <t>Several funds carried a negative balance at times throughout the year. The negative balances were in common checking and investment accounts and covered by available monies in other funds. These loans were not authorized with a motion by the board of education.</t>
  </si>
  <si>
    <t>Due to the cash and investment accounts not being timely reconciled, the balances carried within a common checking and invesment accounts for several funds were allowed to carry a negative balance at times during the year.</t>
  </si>
  <si>
    <t xml:space="preserve">In reviewing the District's accounting records, misclassifications were noted. Some examples include misclassifications of supplies and District credit card expenditures. </t>
  </si>
  <si>
    <t xml:space="preserve">Purchase orders are not consistently used and have three approval levels, but can be ultimately approved by the accounts payable clerk. The purchase orders, when used, are not always printed or approved. </t>
  </si>
  <si>
    <t>Subsequent to the fiscal year end, the District has employed an independent Treasurer who is a CPA and audit partner with a local firm.  This will enable the District to add some additional controls that will offset the lack of segregation of duties.</t>
  </si>
  <si>
    <t>Subsequent to the fiscal year end, the District has employed an independent Treasurer who is a CPA and audit partner with a local firm.  The District Treasurer has the skills, knowledge and experience necessary to properly review and approve the District’s financial statements.</t>
  </si>
  <si>
    <t>The District has taken the necessary steps to reconcile the cash and investment accounts subsequent to the year end.  The District is also in the process of reconciling the subsequent months cash and investments accounts to date, which will be reviewed and approved monthly by the District treasurer.</t>
  </si>
  <si>
    <t>The District has hired an independent District Treasurer subsequent to year end.  The District Treasurer will be reviewing and approving the monthly cash and investment reconciliations going forward.  As part of this review and approval process, any interfundloans, transfers or accounting corrections will be addressed at that time and proper approval will be requested of the School Board.</t>
  </si>
  <si>
    <t>The District has reviewed the Illinois Program Accounting Manual and is making changes in the accounting system as needed to properly record the expenditures by Function and Object.</t>
  </si>
  <si>
    <t>The District will review the purchase order system and will also review the controls to determine what modifications are necessary.</t>
  </si>
  <si>
    <t>The District will attempt to follow up with the individuals to ensure the statements are all filed.</t>
  </si>
  <si>
    <t>The District will review the accounting software settings to make the necessary changes to ensure the wages are being properly reported.</t>
  </si>
  <si>
    <t>The District will review the auditor’s recommendations and determine what changes can be made to improve the grant expenditure reporting.</t>
  </si>
  <si>
    <t>The District will review procedures to determine what changes are needed to ensure timely grant expenditure reporting.</t>
  </si>
  <si>
    <t xml:space="preserve">The District will attempt to follow up with the individuals to ensure the statements are all filed.  </t>
  </si>
  <si>
    <t>The accompanying Schedule of Expenditures of Federal Awards includes the federal grant activity of Hononegah Community High School District No. 207 and is presented on the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</si>
  <si>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Of the federal expenditures presented in the schedule, Hononegah Community High School District No. 207 provided federal awards to subrecipients as follows:</t>
  </si>
  <si>
    <t>The following amounts were expended in the form of non-cash assistance by Hononegah Community High School District No. 207 and should be included in the Schedule of Expenditures of Federal Awards:</t>
  </si>
  <si>
    <t>see PDF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</si>
</sst>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 numFmtId="182" formatCode="0.000_)"/>
    <numFmt numFmtId="183" formatCode="_(* #,##0_);_(* \(#,##0\);_(* &quot; &quot;_);_(@_)"/>
    <numFmt numFmtId="184" formatCode="#,##0.000_);\(#,##0.000\)"/>
    <numFmt numFmtId="185" formatCode="#,##0.00000000000_);\(#,##0.00000000000\)"/>
  </numFmts>
  <fonts count="1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vertAlign val="superscript"/>
      <sz val="9"/>
      <name val="Arial"/>
      <family val="2"/>
    </font>
    <font>
      <b/>
      <u/>
      <sz val="8"/>
      <name val="Arial"/>
      <family val="2"/>
    </font>
    <font>
      <b/>
      <i/>
      <sz val="10"/>
      <name val="Arial"/>
      <family val="2"/>
    </font>
    <font>
      <vertAlign val="superscript"/>
      <sz val="8"/>
      <name val="Arial"/>
      <family val="2"/>
    </font>
    <font>
      <sz val="10"/>
      <name val="Courier"/>
    </font>
    <font>
      <b/>
      <sz val="12"/>
      <name val="Times New Roman"/>
      <family val="1"/>
    </font>
    <font>
      <sz val="10"/>
      <name val="Courier"/>
      <family val="3"/>
    </font>
    <font>
      <b/>
      <sz val="11"/>
      <name val="Times New Roman"/>
      <family val="1"/>
    </font>
    <font>
      <b/>
      <sz val="10"/>
      <name val="Times New Roman"/>
      <family val="1"/>
    </font>
    <font>
      <u/>
      <sz val="10"/>
      <name val="Times New Roman"/>
      <family val="1"/>
    </font>
    <font>
      <u val="singleAccounting"/>
      <sz val="10"/>
      <name val="Times New Roman"/>
      <family val="1"/>
    </font>
    <font>
      <b/>
      <u val="singleAccounting"/>
      <sz val="10"/>
      <name val="Times New Roman"/>
      <family val="1"/>
    </font>
    <font>
      <b/>
      <u val="singleAccounting"/>
      <sz val="10"/>
      <name val="Garamond"/>
      <family val="1"/>
    </font>
    <font>
      <b/>
      <sz val="10"/>
      <name val="Garamond"/>
      <family val="1"/>
    </font>
    <font>
      <b/>
      <u/>
      <sz val="10"/>
      <name val="Courier"/>
      <family val="3"/>
    </font>
    <font>
      <u val="doubleAccounting"/>
      <sz val="10"/>
      <name val="Times New Roman"/>
      <family val="1"/>
    </font>
    <font>
      <b/>
      <sz val="10"/>
      <name val="Courier"/>
      <family val="3"/>
    </font>
    <font>
      <b/>
      <sz val="10"/>
      <name val="Times New Roman"/>
      <family val="1"/>
    </font>
  </fonts>
  <fills count="30">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rgb="FFFFC000"/>
        <bgColor indexed="64"/>
      </patternFill>
    </fill>
    <fill>
      <patternFill patternType="solid">
        <fgColor rgb="FF00B0F0"/>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3">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37" fontId="140" fillId="0" borderId="0"/>
    <xf numFmtId="37" fontId="142" fillId="0" borderId="0" applyProtection="0"/>
    <xf numFmtId="43" fontId="43" fillId="0" borderId="0" applyFont="0" applyFill="0" applyBorder="0" applyAlignment="0" applyProtection="0"/>
    <xf numFmtId="9" fontId="43" fillId="0" borderId="0" applyFont="0" applyFill="0" applyBorder="0" applyAlignment="0" applyProtection="0"/>
  </cellStyleXfs>
  <cellXfs count="2710">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52" fillId="0" borderId="0" xfId="3" applyFont="1" applyAlignment="1" applyProtection="1">
      <alignment horizontal="center" vertical="center"/>
    </xf>
    <xf numFmtId="179" fontId="55" fillId="0" borderId="0" xfId="3" applyNumberFormat="1" applyFont="1" applyBorder="1" applyAlignment="1" applyProtection="1">
      <alignment horizontal="center"/>
      <protection locked="0"/>
    </xf>
    <xf numFmtId="0" fontId="55" fillId="0" borderId="0" xfId="3" applyFont="1" applyBorder="1" applyAlignment="1" applyProtection="1">
      <alignment horizontal="left" indent="4"/>
      <protection locked="0"/>
    </xf>
    <xf numFmtId="0" fontId="55" fillId="0" borderId="0" xfId="3" applyFont="1" applyBorder="1" applyAlignment="1" applyProtection="1">
      <alignment horizontal="left" indent="5"/>
      <protection locked="0"/>
    </xf>
    <xf numFmtId="49" fontId="11" fillId="0" borderId="0" xfId="3" applyNumberFormat="1" applyFont="1" applyBorder="1" applyAlignment="1" applyProtection="1">
      <alignment horizontal="center" vertical="center"/>
    </xf>
    <xf numFmtId="0" fontId="8" fillId="0" borderId="0" xfId="3" applyProtection="1"/>
    <xf numFmtId="0" fontId="11" fillId="0" borderId="0" xfId="3" applyNumberFormat="1" applyFont="1" applyBorder="1" applyAlignment="1" applyProtection="1">
      <alignment horizontal="center" vertical="center" wrapText="1"/>
    </xf>
    <xf numFmtId="166" fontId="11" fillId="0" borderId="0" xfId="3" applyNumberFormat="1" applyFont="1" applyBorder="1" applyAlignment="1" applyProtection="1">
      <alignment horizontal="center" vertical="center"/>
    </xf>
    <xf numFmtId="0" fontId="11" fillId="0" borderId="0" xfId="3" applyFont="1" applyAlignment="1" applyProtection="1">
      <alignment horizontal="center" vertical="center"/>
    </xf>
    <xf numFmtId="171" fontId="11" fillId="0" borderId="0" xfId="3" applyNumberFormat="1" applyFont="1" applyAlignment="1" applyProtection="1">
      <alignment horizontal="center" vertical="center"/>
    </xf>
    <xf numFmtId="0" fontId="8" fillId="0" borderId="0" xfId="3" applyBorder="1" applyProtection="1"/>
    <xf numFmtId="0" fontId="137" fillId="0" borderId="0" xfId="3" applyFont="1" applyBorder="1" applyAlignment="1" applyProtection="1">
      <alignment horizontal="left"/>
    </xf>
    <xf numFmtId="0" fontId="32" fillId="0" borderId="0" xfId="3" applyFont="1" applyBorder="1" applyAlignment="1" applyProtection="1">
      <alignment horizontal="left"/>
    </xf>
    <xf numFmtId="0" fontId="32" fillId="0" borderId="0" xfId="3" applyFont="1" applyBorder="1" applyProtection="1"/>
    <xf numFmtId="0" fontId="11" fillId="0" borderId="0" xfId="3" applyFont="1" applyBorder="1" applyAlignment="1" applyProtection="1">
      <alignment horizontal="left"/>
    </xf>
    <xf numFmtId="0" fontId="9" fillId="0" borderId="0" xfId="3" applyFont="1" applyBorder="1" applyProtection="1"/>
    <xf numFmtId="0" fontId="11" fillId="0" borderId="0" xfId="3" applyFont="1" applyBorder="1" applyAlignment="1" applyProtection="1">
      <alignment horizontal="center"/>
    </xf>
    <xf numFmtId="178" fontId="11" fillId="0" borderId="9" xfId="3" applyNumberFormat="1" applyFont="1" applyBorder="1" applyAlignment="1" applyProtection="1">
      <alignment horizontal="center"/>
      <protection locked="0"/>
    </xf>
    <xf numFmtId="0" fontId="138" fillId="0" borderId="0" xfId="3" applyFont="1" applyBorder="1" applyAlignment="1" applyProtection="1">
      <alignment horizontal="left"/>
    </xf>
    <xf numFmtId="14" fontId="8" fillId="0" borderId="0" xfId="3" applyNumberFormat="1" applyAlignment="1" applyProtection="1">
      <alignment horizontal="left"/>
      <protection locked="0"/>
    </xf>
    <xf numFmtId="0" fontId="8" fillId="0" borderId="0" xfId="3" applyBorder="1" applyProtection="1">
      <protection locked="0"/>
    </xf>
    <xf numFmtId="0" fontId="10" fillId="0" borderId="0" xfId="3" applyFont="1" applyProtection="1"/>
    <xf numFmtId="0" fontId="8" fillId="0" borderId="0" xfId="3" applyAlignment="1" applyProtection="1">
      <alignment horizontal="left"/>
    </xf>
    <xf numFmtId="0" fontId="8" fillId="0" borderId="78" xfId="3" applyFont="1" applyBorder="1" applyAlignment="1" applyProtection="1"/>
    <xf numFmtId="0" fontId="8" fillId="0" borderId="78" xfId="3" applyBorder="1" applyProtection="1"/>
    <xf numFmtId="0" fontId="139" fillId="0" borderId="0" xfId="3" applyFont="1" applyBorder="1" applyAlignment="1" applyProtection="1">
      <alignment horizontal="left"/>
    </xf>
    <xf numFmtId="0" fontId="9" fillId="0" borderId="0" xfId="3" applyFont="1" applyAlignment="1" applyProtection="1">
      <alignment horizontal="left"/>
    </xf>
    <xf numFmtId="0" fontId="9" fillId="0" borderId="0" xfId="3" applyFont="1" applyProtection="1"/>
    <xf numFmtId="0" fontId="34" fillId="0" borderId="0" xfId="3" applyFont="1" applyProtection="1"/>
    <xf numFmtId="0" fontId="139" fillId="0" borderId="0" xfId="3" applyFont="1" applyBorder="1" applyProtection="1"/>
    <xf numFmtId="0" fontId="139" fillId="0" borderId="0" xfId="3" applyFont="1" applyProtection="1"/>
    <xf numFmtId="37" fontId="43" fillId="0" borderId="0" xfId="19" applyFont="1"/>
    <xf numFmtId="37" fontId="140" fillId="0" borderId="0" xfId="19" applyAlignment="1">
      <alignment vertical="center"/>
    </xf>
    <xf numFmtId="37" fontId="43" fillId="21" borderId="0" xfId="20" applyFont="1" applyFill="1" applyBorder="1" applyAlignment="1">
      <alignment vertical="center"/>
    </xf>
    <xf numFmtId="37" fontId="43" fillId="0" borderId="0" xfId="19" applyFont="1" applyFill="1" applyAlignment="1">
      <alignment vertical="center"/>
    </xf>
    <xf numFmtId="37" fontId="140" fillId="0" borderId="0" xfId="19" applyFill="1" applyAlignment="1">
      <alignment vertical="center"/>
    </xf>
    <xf numFmtId="37" fontId="43" fillId="0" borderId="0" xfId="20" applyFont="1" applyFill="1" applyBorder="1" applyAlignment="1">
      <alignment vertical="center"/>
    </xf>
    <xf numFmtId="37" fontId="43" fillId="0" borderId="0" xfId="19" applyFont="1" applyFill="1" applyBorder="1" applyAlignment="1">
      <alignment vertical="center"/>
    </xf>
    <xf numFmtId="37" fontId="43" fillId="0" borderId="0" xfId="19" applyFont="1" applyAlignment="1">
      <alignment horizontal="centerContinuous"/>
    </xf>
    <xf numFmtId="37" fontId="43" fillId="0" borderId="0" xfId="19" applyFont="1" applyAlignment="1">
      <alignment horizontal="left"/>
    </xf>
    <xf numFmtId="37" fontId="43" fillId="0" borderId="0" xfId="19" applyFont="1" applyAlignment="1">
      <alignment horizontal="center"/>
    </xf>
    <xf numFmtId="37" fontId="43" fillId="0" borderId="142" xfId="19" applyFont="1" applyBorder="1" applyAlignment="1">
      <alignment horizontal="center" vertical="center"/>
    </xf>
    <xf numFmtId="37" fontId="43" fillId="0" borderId="142" xfId="19" applyFont="1" applyBorder="1" applyAlignment="1">
      <alignment horizontal="left" vertical="center"/>
    </xf>
    <xf numFmtId="37" fontId="43" fillId="0" borderId="142" xfId="19" applyFont="1" applyBorder="1" applyAlignment="1">
      <alignment vertical="center"/>
    </xf>
    <xf numFmtId="37" fontId="43" fillId="0" borderId="0" xfId="19" applyFont="1" applyAlignment="1">
      <alignment vertical="center"/>
    </xf>
    <xf numFmtId="37" fontId="43" fillId="0" borderId="0" xfId="19" applyFont="1" applyBorder="1" applyAlignment="1">
      <alignment horizontal="center" vertical="center"/>
    </xf>
    <xf numFmtId="37" fontId="43" fillId="0" borderId="0" xfId="19" applyFont="1" applyBorder="1" applyAlignment="1">
      <alignment horizontal="left" vertical="center"/>
    </xf>
    <xf numFmtId="37" fontId="43" fillId="0" borderId="0" xfId="19" applyFont="1" applyBorder="1" applyAlignment="1">
      <alignment vertical="center"/>
    </xf>
    <xf numFmtId="37" fontId="43" fillId="0" borderId="0" xfId="19" applyFont="1" applyAlignment="1">
      <alignment horizontal="center" vertical="center"/>
    </xf>
    <xf numFmtId="37" fontId="43" fillId="0" borderId="0" xfId="19" applyFont="1" applyAlignment="1">
      <alignment horizontal="left" vertical="center"/>
    </xf>
    <xf numFmtId="37" fontId="43" fillId="0" borderId="0" xfId="19" quotePrefix="1" applyFont="1" applyFill="1" applyAlignment="1">
      <alignment horizontal="center" vertical="center"/>
    </xf>
    <xf numFmtId="37" fontId="43" fillId="0" borderId="0" xfId="19" applyFont="1" applyFill="1" applyAlignment="1">
      <alignment horizontal="center" vertical="center"/>
    </xf>
    <xf numFmtId="14" fontId="43" fillId="0" borderId="0" xfId="19" quotePrefix="1" applyNumberFormat="1" applyFont="1" applyAlignment="1">
      <alignment horizontal="center" vertical="center"/>
    </xf>
    <xf numFmtId="14" fontId="43" fillId="0" borderId="0" xfId="19" quotePrefix="1" applyNumberFormat="1" applyFont="1" applyFill="1" applyAlignment="1">
      <alignment horizontal="center" vertical="center"/>
    </xf>
    <xf numFmtId="14" fontId="43" fillId="0" borderId="0" xfId="19" applyNumberFormat="1" applyFont="1" applyFill="1" applyAlignment="1">
      <alignment horizontal="center" vertical="center"/>
    </xf>
    <xf numFmtId="37" fontId="145" fillId="0" borderId="0" xfId="19" quotePrefix="1" applyFont="1" applyAlignment="1">
      <alignment horizontal="left" vertical="center"/>
    </xf>
    <xf numFmtId="37" fontId="145" fillId="0" borderId="0" xfId="19" applyFont="1" applyAlignment="1">
      <alignment horizontal="center" vertical="center"/>
    </xf>
    <xf numFmtId="37" fontId="145" fillId="0" borderId="0" xfId="19" applyNumberFormat="1" applyFont="1" applyAlignment="1" applyProtection="1">
      <alignment horizontal="center" vertical="center"/>
    </xf>
    <xf numFmtId="37" fontId="43" fillId="0" borderId="0" xfId="19" applyNumberFormat="1" applyFont="1" applyAlignment="1" applyProtection="1">
      <alignment vertical="center"/>
    </xf>
    <xf numFmtId="37" fontId="145" fillId="0" borderId="0" xfId="19" applyNumberFormat="1" applyFont="1" applyFill="1" applyAlignment="1" applyProtection="1">
      <alignment horizontal="center" vertical="center"/>
    </xf>
    <xf numFmtId="37" fontId="43" fillId="0" borderId="0" xfId="19" applyNumberFormat="1" applyFont="1" applyFill="1" applyAlignment="1" applyProtection="1">
      <alignment horizontal="center" vertical="center"/>
    </xf>
    <xf numFmtId="37" fontId="43" fillId="0" borderId="0" xfId="19" applyNumberFormat="1" applyFont="1" applyFill="1" applyAlignment="1" applyProtection="1">
      <alignment vertical="center"/>
    </xf>
    <xf numFmtId="37" fontId="43" fillId="0" borderId="0" xfId="19" applyNumberFormat="1" applyFont="1" applyAlignment="1" applyProtection="1">
      <alignment horizontal="center" vertical="center"/>
    </xf>
    <xf numFmtId="37" fontId="145" fillId="0" borderId="0" xfId="19" applyFont="1" applyAlignment="1">
      <alignment horizontal="left" vertical="center"/>
    </xf>
    <xf numFmtId="181" fontId="145" fillId="0" borderId="0" xfId="19" applyNumberFormat="1" applyFont="1" applyAlignment="1" applyProtection="1">
      <alignment horizontal="center" vertical="center"/>
    </xf>
    <xf numFmtId="37" fontId="144" fillId="0" borderId="0" xfId="19" applyFont="1" applyAlignment="1">
      <alignment horizontal="left" vertical="center"/>
    </xf>
    <xf numFmtId="43" fontId="8" fillId="0" borderId="0" xfId="21" applyFont="1" applyFill="1" applyAlignment="1" applyProtection="1">
      <alignment vertical="center"/>
    </xf>
    <xf numFmtId="37" fontId="144" fillId="0" borderId="0" xfId="19" applyFont="1" applyAlignment="1">
      <alignment vertical="center"/>
    </xf>
    <xf numFmtId="181" fontId="43" fillId="0" borderId="0" xfId="19" applyNumberFormat="1" applyFont="1" applyAlignment="1">
      <alignment vertical="center"/>
    </xf>
    <xf numFmtId="37" fontId="43" fillId="0" borderId="0" xfId="19" applyFont="1" applyAlignment="1">
      <alignment horizontal="right" vertical="center"/>
    </xf>
    <xf numFmtId="182" fontId="43" fillId="0" borderId="0" xfId="19" applyNumberFormat="1" applyFont="1" applyAlignment="1" applyProtection="1">
      <alignment horizontal="center" vertical="center"/>
    </xf>
    <xf numFmtId="183" fontId="43" fillId="0" borderId="0" xfId="19" applyNumberFormat="1" applyFont="1" applyFill="1" applyAlignment="1">
      <alignment vertical="center"/>
    </xf>
    <xf numFmtId="183" fontId="43" fillId="0" borderId="0" xfId="19" applyNumberFormat="1" applyFont="1" applyFill="1" applyAlignment="1">
      <alignment horizontal="center" vertical="center"/>
    </xf>
    <xf numFmtId="181" fontId="43" fillId="0" borderId="0" xfId="19" applyNumberFormat="1" applyFont="1" applyFill="1" applyAlignment="1">
      <alignment vertical="center"/>
    </xf>
    <xf numFmtId="183" fontId="43" fillId="0" borderId="0" xfId="19" applyNumberFormat="1" applyFont="1" applyFill="1" applyAlignment="1" applyProtection="1">
      <alignment horizontal="right" vertical="center"/>
    </xf>
    <xf numFmtId="183" fontId="43" fillId="0" borderId="0" xfId="19" quotePrefix="1" applyNumberFormat="1" applyFont="1" applyFill="1" applyAlignment="1">
      <alignment horizontal="center" vertical="center"/>
    </xf>
    <xf numFmtId="37" fontId="43" fillId="0" borderId="0" xfId="19" quotePrefix="1" applyFont="1" applyAlignment="1">
      <alignment horizontal="right" vertical="center"/>
    </xf>
    <xf numFmtId="183" fontId="43" fillId="0" borderId="0" xfId="19" quotePrefix="1" applyNumberFormat="1" applyFont="1" applyFill="1" applyAlignment="1">
      <alignment vertical="center"/>
    </xf>
    <xf numFmtId="183" fontId="145" fillId="0" borderId="0" xfId="19" applyNumberFormat="1" applyFont="1" applyFill="1" applyAlignment="1">
      <alignment vertical="center"/>
    </xf>
    <xf numFmtId="183" fontId="146" fillId="0" borderId="0" xfId="19" applyNumberFormat="1" applyFont="1" applyFill="1" applyAlignment="1">
      <alignment vertical="center"/>
    </xf>
    <xf numFmtId="181" fontId="146" fillId="0" borderId="0" xfId="19" applyNumberFormat="1" applyFont="1" applyFill="1" applyAlignment="1">
      <alignment vertical="center"/>
    </xf>
    <xf numFmtId="37" fontId="140" fillId="0" borderId="0" xfId="19" applyAlignment="1">
      <alignment horizontal="center" vertical="center"/>
    </xf>
    <xf numFmtId="37" fontId="140" fillId="0" borderId="0" xfId="19" applyFill="1" applyAlignment="1">
      <alignment horizontal="center" vertical="center"/>
    </xf>
    <xf numFmtId="181" fontId="140" fillId="0" borderId="0" xfId="19" applyNumberFormat="1" applyFill="1" applyAlignment="1">
      <alignment vertical="center"/>
    </xf>
    <xf numFmtId="181" fontId="43" fillId="0" borderId="0" xfId="19" applyNumberFormat="1" applyFont="1" applyFill="1" applyAlignment="1" applyProtection="1">
      <alignment vertical="center"/>
    </xf>
    <xf numFmtId="37" fontId="142" fillId="0" borderId="0" xfId="19" applyFont="1" applyFill="1" applyAlignment="1">
      <alignment vertical="center"/>
    </xf>
    <xf numFmtId="37" fontId="43" fillId="0" borderId="0" xfId="19" quotePrefix="1" applyFont="1" applyAlignment="1">
      <alignment horizontal="center" vertical="center"/>
    </xf>
    <xf numFmtId="37" fontId="43" fillId="0" borderId="0" xfId="19" applyFont="1" applyBorder="1" applyAlignment="1">
      <alignment horizontal="right" vertical="center"/>
    </xf>
    <xf numFmtId="37" fontId="43" fillId="0" borderId="0" xfId="19" applyFont="1" applyFill="1" applyBorder="1" applyAlignment="1">
      <alignment horizontal="left" vertical="center"/>
    </xf>
    <xf numFmtId="182" fontId="43" fillId="0" borderId="0" xfId="19" applyNumberFormat="1" applyFont="1" applyFill="1" applyBorder="1" applyAlignment="1" applyProtection="1">
      <alignment horizontal="center" vertical="center"/>
    </xf>
    <xf numFmtId="37" fontId="43" fillId="0" borderId="0" xfId="19" applyFont="1" applyFill="1" applyBorder="1" applyAlignment="1">
      <alignment horizontal="center" vertical="center"/>
    </xf>
    <xf numFmtId="37" fontId="43" fillId="0" borderId="0" xfId="19" quotePrefix="1" applyFont="1" applyFill="1" applyBorder="1" applyAlignment="1">
      <alignment horizontal="center" vertical="center"/>
    </xf>
    <xf numFmtId="183" fontId="43" fillId="0" borderId="0" xfId="19" applyNumberFormat="1" applyFont="1" applyFill="1" applyBorder="1" applyAlignment="1">
      <alignment vertical="center"/>
    </xf>
    <xf numFmtId="183" fontId="43" fillId="0" borderId="0" xfId="19" applyNumberFormat="1" applyFont="1" applyFill="1" applyBorder="1" applyAlignment="1">
      <alignment horizontal="center" vertical="center"/>
    </xf>
    <xf numFmtId="183" fontId="43" fillId="0" borderId="0" xfId="19" quotePrefix="1" applyNumberFormat="1" applyFont="1" applyFill="1" applyBorder="1" applyAlignment="1">
      <alignment horizontal="center" vertical="center"/>
    </xf>
    <xf numFmtId="181" fontId="43" fillId="0" borderId="0" xfId="19" applyNumberFormat="1" applyFont="1" applyFill="1" applyBorder="1" applyAlignment="1">
      <alignment vertical="center"/>
    </xf>
    <xf numFmtId="183" fontId="43" fillId="0" borderId="0" xfId="19" applyNumberFormat="1" applyFont="1" applyFill="1" applyBorder="1" applyAlignment="1" applyProtection="1">
      <alignment horizontal="right" vertical="center"/>
    </xf>
    <xf numFmtId="183" fontId="43" fillId="0" borderId="0" xfId="20" applyNumberFormat="1" applyFont="1" applyFill="1" applyBorder="1" applyAlignment="1">
      <alignment horizontal="center" vertical="center"/>
    </xf>
    <xf numFmtId="37" fontId="43" fillId="0" borderId="0" xfId="19" applyFont="1" applyFill="1" applyAlignment="1">
      <alignment horizontal="left" vertical="center"/>
    </xf>
    <xf numFmtId="182" fontId="43" fillId="0" borderId="0" xfId="19" applyNumberFormat="1" applyFont="1" applyFill="1" applyAlignment="1" applyProtection="1">
      <alignment horizontal="center" vertical="center"/>
    </xf>
    <xf numFmtId="184" fontId="43" fillId="0" borderId="0" xfId="19" applyNumberFormat="1" applyFont="1" applyFill="1" applyAlignment="1" applyProtection="1">
      <alignment horizontal="center" vertical="center"/>
    </xf>
    <xf numFmtId="183" fontId="43" fillId="0" borderId="0" xfId="19" applyNumberFormat="1" applyFont="1" applyFill="1" applyAlignment="1" applyProtection="1">
      <alignment vertical="center"/>
    </xf>
    <xf numFmtId="183" fontId="43" fillId="0" borderId="0" xfId="19" quotePrefix="1" applyNumberFormat="1" applyFont="1" applyFill="1" applyAlignment="1">
      <alignment horizontal="left" vertical="center"/>
    </xf>
    <xf numFmtId="183" fontId="43" fillId="0" borderId="0" xfId="19" applyNumberFormat="1" applyFont="1" applyFill="1" applyAlignment="1">
      <alignment horizontal="left" vertical="center"/>
    </xf>
    <xf numFmtId="183" fontId="43" fillId="29" borderId="0" xfId="19" applyNumberFormat="1" applyFont="1" applyFill="1" applyAlignment="1">
      <alignment vertical="center"/>
    </xf>
    <xf numFmtId="37" fontId="43" fillId="0" borderId="0" xfId="19" applyFont="1" applyFill="1" applyAlignment="1">
      <alignment horizontal="right" vertical="center"/>
    </xf>
    <xf numFmtId="183" fontId="43" fillId="0" borderId="0" xfId="19" applyNumberFormat="1" applyFont="1" applyFill="1" applyAlignment="1" applyProtection="1">
      <alignment horizontal="center" vertical="center"/>
    </xf>
    <xf numFmtId="183" fontId="146" fillId="0" borderId="0" xfId="19" quotePrefix="1" applyNumberFormat="1" applyFont="1" applyFill="1" applyAlignment="1">
      <alignment horizontal="center" vertical="center"/>
    </xf>
    <xf numFmtId="183" fontId="146" fillId="0" borderId="0" xfId="19" applyNumberFormat="1" applyFont="1" applyFill="1" applyAlignment="1">
      <alignment horizontal="center" vertical="center"/>
    </xf>
    <xf numFmtId="183" fontId="145" fillId="0" borderId="0" xfId="19" applyNumberFormat="1" applyFont="1" applyFill="1" applyAlignment="1" applyProtection="1">
      <alignment vertical="center"/>
    </xf>
    <xf numFmtId="183" fontId="146" fillId="0" borderId="0" xfId="19" applyNumberFormat="1" applyFont="1" applyFill="1" applyAlignment="1" applyProtection="1">
      <alignment vertical="center"/>
    </xf>
    <xf numFmtId="183" fontId="146" fillId="0" borderId="0" xfId="19" applyNumberFormat="1" applyFont="1" applyFill="1" applyAlignment="1" applyProtection="1">
      <alignment horizontal="right" vertical="center"/>
    </xf>
    <xf numFmtId="37" fontId="43" fillId="0" borderId="0" xfId="19" quotePrefix="1" applyFont="1" applyFill="1" applyAlignment="1">
      <alignment horizontal="left" vertical="center"/>
    </xf>
    <xf numFmtId="183" fontId="43" fillId="0" borderId="0" xfId="19" applyNumberFormat="1" applyFont="1" applyFill="1" applyAlignment="1">
      <alignment horizontal="right" vertical="center"/>
    </xf>
    <xf numFmtId="37" fontId="144" fillId="0" borderId="0" xfId="19" applyFont="1" applyFill="1" applyAlignment="1">
      <alignment horizontal="left" vertical="center"/>
    </xf>
    <xf numFmtId="184" fontId="43" fillId="0" borderId="0" xfId="19" applyNumberFormat="1" applyFont="1" applyFill="1" applyAlignment="1" applyProtection="1">
      <alignment vertical="center"/>
    </xf>
    <xf numFmtId="181" fontId="146" fillId="0" borderId="0" xfId="19" applyNumberFormat="1" applyFont="1" applyAlignment="1" applyProtection="1">
      <alignment vertical="center"/>
    </xf>
    <xf numFmtId="181" fontId="43" fillId="0" borderId="0" xfId="19" applyNumberFormat="1" applyFont="1" applyAlignment="1" applyProtection="1">
      <alignment horizontal="left" vertical="center"/>
    </xf>
    <xf numFmtId="183" fontId="43" fillId="0" borderId="0" xfId="19" quotePrefix="1" applyNumberFormat="1" applyFont="1" applyAlignment="1">
      <alignment horizontal="left" vertical="center"/>
    </xf>
    <xf numFmtId="183" fontId="43" fillId="0" borderId="0" xfId="19" applyNumberFormat="1" applyFont="1" applyAlignment="1">
      <alignment vertical="center"/>
    </xf>
    <xf numFmtId="181" fontId="146" fillId="0" borderId="0" xfId="19" applyNumberFormat="1" applyFont="1" applyAlignment="1">
      <alignment vertical="center"/>
    </xf>
    <xf numFmtId="181" fontId="43" fillId="0" borderId="0" xfId="19" quotePrefix="1" applyNumberFormat="1" applyFont="1" applyFill="1" applyAlignment="1">
      <alignment vertical="center"/>
    </xf>
    <xf numFmtId="183" fontId="43" fillId="0" borderId="0" xfId="19" applyNumberFormat="1" applyFont="1" applyAlignment="1">
      <alignment horizontal="center" vertical="center"/>
    </xf>
    <xf numFmtId="183" fontId="43" fillId="0" borderId="0" xfId="19" applyNumberFormat="1" applyFont="1" applyAlignment="1">
      <alignment horizontal="right" vertical="center"/>
    </xf>
    <xf numFmtId="37" fontId="144" fillId="0" borderId="0" xfId="19" applyFont="1" applyFill="1" applyAlignment="1">
      <alignment horizontal="left" vertical="center" indent="1"/>
    </xf>
    <xf numFmtId="183" fontId="146" fillId="0" borderId="0" xfId="19" applyNumberFormat="1" applyFont="1" applyAlignment="1">
      <alignment vertical="center"/>
    </xf>
    <xf numFmtId="37" fontId="140" fillId="0" borderId="0" xfId="19" applyAlignment="1" applyProtection="1">
      <alignment horizontal="left"/>
    </xf>
    <xf numFmtId="37" fontId="140" fillId="0" borderId="0" xfId="19" quotePrefix="1" applyFont="1" applyAlignment="1">
      <alignment horizontal="right" vertical="center"/>
    </xf>
    <xf numFmtId="185" fontId="140" fillId="0" borderId="0" xfId="19" applyNumberFormat="1" applyFill="1" applyAlignment="1">
      <alignment vertical="center"/>
    </xf>
    <xf numFmtId="37" fontId="142" fillId="0" borderId="0" xfId="19" applyFont="1" applyAlignment="1">
      <alignment vertical="center"/>
    </xf>
    <xf numFmtId="181" fontId="151" fillId="0" borderId="0" xfId="19" applyNumberFormat="1" applyFont="1" applyFill="1" applyAlignment="1">
      <alignment vertical="center"/>
    </xf>
    <xf numFmtId="181" fontId="151" fillId="0" borderId="0" xfId="19" applyNumberFormat="1" applyFont="1" applyAlignment="1">
      <alignment vertical="center"/>
    </xf>
    <xf numFmtId="37" fontId="140" fillId="0" borderId="0" xfId="19" applyProtection="1">
      <protection locked="0"/>
    </xf>
    <xf numFmtId="183" fontId="151" fillId="0" borderId="0" xfId="19" applyNumberFormat="1" applyFont="1" applyFill="1" applyAlignment="1">
      <alignment vertical="center"/>
    </xf>
    <xf numFmtId="183" fontId="151" fillId="0" borderId="0" xfId="19" applyNumberFormat="1" applyFont="1" applyAlignment="1">
      <alignment vertical="center"/>
    </xf>
    <xf numFmtId="37" fontId="144" fillId="0" borderId="0" xfId="19" quotePrefix="1" applyFont="1" applyAlignment="1">
      <alignment horizontal="left" vertical="center"/>
    </xf>
    <xf numFmtId="37" fontId="43" fillId="0" borderId="0" xfId="19" quotePrefix="1" applyFont="1" applyAlignment="1">
      <alignment horizontal="left" vertical="center"/>
    </xf>
    <xf numFmtId="182" fontId="43" fillId="0" borderId="0" xfId="19" applyNumberFormat="1" applyFont="1" applyFill="1" applyAlignment="1" applyProtection="1">
      <alignment vertical="center"/>
    </xf>
    <xf numFmtId="183" fontId="144" fillId="0" borderId="0" xfId="19" applyNumberFormat="1" applyFont="1" applyFill="1" applyAlignment="1">
      <alignment horizontal="center" vertical="center"/>
    </xf>
    <xf numFmtId="183" fontId="140" fillId="0" borderId="0" xfId="19" applyNumberFormat="1" applyFill="1" applyAlignment="1">
      <alignment horizontal="left" vertical="center"/>
    </xf>
    <xf numFmtId="183" fontId="140" fillId="0" borderId="0" xfId="19" applyNumberFormat="1" applyFill="1" applyAlignment="1">
      <alignment vertical="center"/>
    </xf>
    <xf numFmtId="183" fontId="140" fillId="0" borderId="0" xfId="19" applyNumberFormat="1" applyFill="1" applyAlignment="1">
      <alignment horizontal="center" vertical="center"/>
    </xf>
    <xf numFmtId="183" fontId="152" fillId="0" borderId="0" xfId="19" applyNumberFormat="1" applyFont="1" applyFill="1" applyAlignment="1">
      <alignment horizontal="center" vertical="center"/>
    </xf>
    <xf numFmtId="183" fontId="140" fillId="0" borderId="0" xfId="19" applyNumberFormat="1" applyAlignment="1">
      <alignment vertical="center"/>
    </xf>
    <xf numFmtId="183" fontId="140" fillId="0" borderId="0" xfId="19" applyNumberFormat="1" applyAlignment="1">
      <alignment horizontal="left" vertical="center"/>
    </xf>
    <xf numFmtId="183" fontId="140" fillId="0" borderId="0" xfId="19" applyNumberFormat="1" applyAlignment="1">
      <alignment horizontal="center" vertical="center"/>
    </xf>
    <xf numFmtId="37" fontId="140" fillId="0" borderId="0" xfId="19" applyFill="1" applyBorder="1" applyAlignment="1">
      <alignment vertical="center"/>
    </xf>
    <xf numFmtId="183" fontId="43" fillId="0" borderId="0" xfId="19" applyNumberFormat="1" applyFont="1"/>
    <xf numFmtId="0" fontId="52" fillId="0" borderId="0" xfId="3" applyFont="1" applyAlignment="1" applyProtection="1">
      <alignment horizontal="center" vertical="center"/>
    </xf>
    <xf numFmtId="178" fontId="63" fillId="0" borderId="74" xfId="3" applyNumberFormat="1" applyFont="1" applyBorder="1" applyAlignment="1" applyProtection="1">
      <alignment horizontal="center"/>
      <protection locked="0"/>
    </xf>
    <xf numFmtId="0" fontId="11" fillId="0" borderId="0" xfId="3" applyNumberFormat="1" applyFont="1" applyBorder="1" applyAlignment="1" applyProtection="1">
      <alignment horizontal="center" vertical="center" wrapText="1"/>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55" fillId="0" borderId="0" xfId="3" applyFont="1" applyFill="1" applyAlignment="1" applyProtection="1">
      <alignment horizontal="left"/>
    </xf>
    <xf numFmtId="0" fontId="55" fillId="0" borderId="0" xfId="3" applyFont="1" applyFill="1" applyAlignment="1" applyProtection="1">
      <alignment horizontal="center"/>
    </xf>
    <xf numFmtId="0" fontId="62" fillId="0" borderId="145" xfId="3" quotePrefix="1" applyFont="1" applyFill="1" applyBorder="1" applyAlignment="1" applyProtection="1">
      <alignment horizontal="left"/>
    </xf>
    <xf numFmtId="0" fontId="53" fillId="0" borderId="145" xfId="3" applyFont="1" applyFill="1" applyBorder="1" applyProtection="1"/>
    <xf numFmtId="0" fontId="53" fillId="0" borderId="145" xfId="3" applyFont="1" applyFill="1" applyBorder="1" applyAlignment="1" applyProtection="1">
      <alignment horizontal="center"/>
    </xf>
    <xf numFmtId="178" fontId="63" fillId="0" borderId="0" xfId="3" applyNumberFormat="1" applyFont="1" applyBorder="1" applyAlignment="1" applyProtection="1">
      <protection locked="0"/>
    </xf>
    <xf numFmtId="37" fontId="140" fillId="0" borderId="0" xfId="19" applyFill="1" applyBorder="1"/>
    <xf numFmtId="37" fontId="142" fillId="0" borderId="0" xfId="20" applyFill="1" applyBorder="1" applyAlignment="1">
      <alignment vertical="center"/>
    </xf>
    <xf numFmtId="37" fontId="43" fillId="0" borderId="0" xfId="20" applyFont="1" applyFill="1" applyBorder="1" applyAlignment="1">
      <alignment horizontal="left" vertical="center"/>
    </xf>
    <xf numFmtId="37" fontId="43" fillId="0" borderId="0" xfId="20" applyFont="1" applyFill="1" applyBorder="1" applyAlignment="1">
      <alignment horizontal="center" vertical="center"/>
    </xf>
    <xf numFmtId="37" fontId="145" fillId="0" borderId="0" xfId="20" applyNumberFormat="1" applyFont="1" applyFill="1" applyBorder="1" applyAlignment="1" applyProtection="1">
      <alignment horizontal="center" vertical="center"/>
    </xf>
    <xf numFmtId="43" fontId="148" fillId="0" borderId="0" xfId="21" applyFont="1" applyFill="1" applyBorder="1" applyAlignment="1">
      <alignment horizontal="center"/>
    </xf>
    <xf numFmtId="37" fontId="43" fillId="0" borderId="0" xfId="20" applyNumberFormat="1" applyFont="1" applyFill="1" applyBorder="1" applyAlignment="1" applyProtection="1">
      <alignment vertical="center"/>
    </xf>
    <xf numFmtId="37" fontId="142" fillId="0" borderId="0" xfId="20" applyFill="1" applyBorder="1" applyAlignment="1">
      <alignment horizontal="center" vertical="center"/>
    </xf>
    <xf numFmtId="183" fontId="43" fillId="0" borderId="0" xfId="20" applyNumberFormat="1" applyFont="1" applyFill="1" applyBorder="1" applyAlignment="1" applyProtection="1">
      <alignment horizontal="center" vertical="center"/>
    </xf>
    <xf numFmtId="37" fontId="43" fillId="0" borderId="0" xfId="19" applyFont="1" applyFill="1" applyBorder="1"/>
    <xf numFmtId="37" fontId="146" fillId="0" borderId="0" xfId="19" applyFont="1" applyFill="1" applyBorder="1"/>
    <xf numFmtId="9" fontId="43" fillId="0" borderId="0" xfId="22" applyNumberFormat="1" applyFont="1" applyFill="1" applyBorder="1" applyAlignment="1">
      <alignment vertical="center"/>
    </xf>
    <xf numFmtId="183" fontId="142" fillId="0" borderId="0" xfId="20" applyNumberFormat="1" applyFill="1" applyBorder="1" applyAlignment="1">
      <alignment horizontal="center" vertical="center"/>
    </xf>
    <xf numFmtId="39" fontId="140" fillId="0" borderId="0" xfId="19" applyNumberFormat="1" applyFill="1" applyBorder="1" applyAlignment="1">
      <alignment vertical="center"/>
    </xf>
    <xf numFmtId="14" fontId="149" fillId="0" borderId="0" xfId="19" applyNumberFormat="1" applyFont="1" applyFill="1" applyBorder="1" applyAlignment="1">
      <alignment horizontal="center"/>
    </xf>
    <xf numFmtId="37" fontId="149" fillId="0" borderId="0" xfId="19" applyFont="1" applyFill="1" applyBorder="1" applyAlignment="1">
      <alignment horizontal="center"/>
    </xf>
    <xf numFmtId="37" fontId="144" fillId="0" borderId="0" xfId="19" applyFont="1" applyFill="1" applyBorder="1" applyAlignment="1">
      <alignment horizontal="center"/>
    </xf>
    <xf numFmtId="37" fontId="142" fillId="28" borderId="0" xfId="20" applyFill="1" applyAlignment="1">
      <alignment vertical="center"/>
    </xf>
    <xf numFmtId="37" fontId="140" fillId="28" borderId="0" xfId="19" applyFill="1"/>
    <xf numFmtId="37" fontId="140" fillId="0" borderId="0" xfId="19" applyFill="1"/>
    <xf numFmtId="37" fontId="43" fillId="21" borderId="0" xfId="19" applyFont="1" applyFill="1" applyAlignment="1">
      <alignment vertical="center"/>
    </xf>
    <xf numFmtId="183" fontId="43" fillId="0" borderId="0" xfId="20" applyNumberFormat="1" applyFont="1" applyFill="1" applyAlignment="1">
      <alignment horizontal="center" vertical="center"/>
    </xf>
    <xf numFmtId="37" fontId="153" fillId="0" borderId="0" xfId="19" applyFont="1" applyAlignment="1">
      <alignment vertical="center"/>
    </xf>
    <xf numFmtId="183" fontId="142" fillId="0" borderId="0" xfId="20" applyNumberFormat="1" applyFill="1" applyAlignment="1">
      <alignment horizontal="center" vertical="center"/>
    </xf>
    <xf numFmtId="43" fontId="147" fillId="0" borderId="0" xfId="21" applyFont="1" applyFill="1" applyBorder="1" applyAlignment="1">
      <alignment horizontal="center"/>
    </xf>
    <xf numFmtId="14" fontId="147" fillId="0" borderId="0" xfId="21" applyNumberFormat="1" applyFont="1" applyFill="1" applyBorder="1" applyAlignment="1">
      <alignment horizontal="center"/>
    </xf>
    <xf numFmtId="37" fontId="150" fillId="0" borderId="0" xfId="19" applyFont="1" applyFill="1" applyBorder="1"/>
    <xf numFmtId="183" fontId="146" fillId="0" borderId="0" xfId="19" applyNumberFormat="1" applyFont="1" applyFill="1" applyBorder="1" applyAlignment="1" applyProtection="1">
      <alignment vertical="center"/>
    </xf>
    <xf numFmtId="37" fontId="140" fillId="0" borderId="0" xfId="19" applyFill="1" applyBorder="1" applyAlignment="1" applyProtection="1">
      <alignment horizontal="left"/>
    </xf>
    <xf numFmtId="37" fontId="142" fillId="0" borderId="0" xfId="19" applyFont="1" applyFill="1" applyBorder="1" applyAlignment="1">
      <alignment vertical="center"/>
    </xf>
    <xf numFmtId="37" fontId="140" fillId="0" borderId="0" xfId="19" applyFill="1" applyBorder="1" applyProtection="1">
      <protection locked="0"/>
    </xf>
    <xf numFmtId="37" fontId="140" fillId="0" borderId="0" xfId="19" applyFill="1" applyBorder="1" applyAlignment="1">
      <alignment horizontal="center" vertical="center"/>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wrapText="1"/>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2" fillId="0" borderId="50" xfId="3" applyNumberFormat="1" applyFont="1" applyBorder="1" applyAlignment="1" applyProtection="1">
      <alignment horizontal="left"/>
    </xf>
    <xf numFmtId="0" fontId="62" fillId="0" borderId="9" xfId="3" applyFont="1" applyBorder="1" applyAlignment="1" applyProtection="1">
      <alignment horizontal="left"/>
    </xf>
    <xf numFmtId="0" fontId="62" fillId="0" borderId="59" xfId="3" applyFont="1" applyBorder="1" applyAlignment="1" applyProtection="1">
      <alignment horizontal="left"/>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41" fontId="146" fillId="0" borderId="0" xfId="20" applyNumberFormat="1" applyFont="1" applyFill="1" applyBorder="1" applyAlignment="1">
      <alignment horizontal="center" vertical="center"/>
    </xf>
    <xf numFmtId="14" fontId="148" fillId="0" borderId="0" xfId="19" applyNumberFormat="1" applyFont="1" applyFill="1" applyBorder="1" applyAlignment="1">
      <alignment horizontal="center"/>
    </xf>
    <xf numFmtId="37" fontId="141" fillId="0" borderId="0" xfId="19" applyFont="1" applyAlignment="1">
      <alignment horizontal="center"/>
    </xf>
    <xf numFmtId="37" fontId="141" fillId="0" borderId="0" xfId="19" applyFont="1" applyAlignment="1">
      <alignment horizontal="center" vertical="center"/>
    </xf>
    <xf numFmtId="0" fontId="141" fillId="0" borderId="0" xfId="19" applyNumberFormat="1" applyFont="1" applyFill="1" applyAlignment="1">
      <alignment horizontal="center"/>
    </xf>
    <xf numFmtId="37" fontId="143" fillId="0" borderId="0" xfId="19" applyFont="1" applyAlignment="1">
      <alignment horizontal="center"/>
    </xf>
    <xf numFmtId="37" fontId="145" fillId="0" borderId="0" xfId="19" applyFont="1" applyBorder="1" applyAlignment="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52" fillId="0" borderId="0" xfId="3" applyFont="1" applyAlignment="1" applyProtection="1">
      <alignment horizontal="center"/>
    </xf>
    <xf numFmtId="0" fontId="52" fillId="0" borderId="78" xfId="3" applyFont="1" applyBorder="1" applyAlignment="1" applyProtection="1">
      <alignment horizontal="center"/>
    </xf>
    <xf numFmtId="3" fontId="53" fillId="0" borderId="77" xfId="3" applyNumberFormat="1" applyFont="1" applyBorder="1" applyAlignment="1" applyProtection="1">
      <alignment horizontal="right" indent="1"/>
      <protection locked="0"/>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3" fillId="0" borderId="0" xfId="3" applyFont="1" applyBorder="1" applyAlignment="1" applyProtection="1">
      <alignment horizontal="left" wrapText="1"/>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5" fillId="0" borderId="0" xfId="3" applyFont="1" applyFill="1" applyAlignment="1" applyProtection="1">
      <alignment horizontal="left" vertical="top" wrapText="1"/>
      <protection locked="0"/>
    </xf>
    <xf numFmtId="8" fontId="55" fillId="0" borderId="0" xfId="3" applyNumberFormat="1" applyFont="1" applyFill="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169" fontId="63" fillId="0" borderId="74" xfId="3" quotePrefix="1" applyNumberFormat="1" applyFont="1" applyBorder="1" applyAlignment="1" applyProtection="1">
      <alignment horizontal="center"/>
      <protection locked="0"/>
    </xf>
    <xf numFmtId="169" fontId="63" fillId="0" borderId="74" xfId="3" applyNumberFormat="1" applyFont="1" applyBorder="1" applyAlignment="1" applyProtection="1">
      <alignment horizontal="center"/>
      <protection locked="0"/>
    </xf>
    <xf numFmtId="0" fontId="52" fillId="0" borderId="0" xfId="3" applyNumberFormat="1" applyFont="1" applyAlignment="1" applyProtection="1">
      <alignment horizontal="center" vertical="center" wrapText="1"/>
    </xf>
    <xf numFmtId="0" fontId="8" fillId="0" borderId="0" xfId="3" applyBorder="1" applyAlignment="1" applyProtection="1">
      <alignment horizontal="left" vertical="top" wrapText="1"/>
      <protection locked="0"/>
    </xf>
    <xf numFmtId="0" fontId="8" fillId="0" borderId="0" xfId="3" applyAlignment="1" applyProtection="1">
      <alignment horizontal="left" vertical="top" wrapText="1"/>
      <protection locked="0"/>
    </xf>
    <xf numFmtId="0" fontId="11" fillId="0" borderId="0" xfId="3" applyNumberFormat="1" applyFont="1" applyBorder="1" applyAlignment="1" applyProtection="1">
      <alignment horizontal="center" vertical="center" wrapText="1"/>
    </xf>
    <xf numFmtId="0" fontId="18" fillId="0" borderId="0" xfId="3" applyFont="1" applyAlignment="1" applyProtection="1">
      <alignment horizontal="center" vertical="center" wrapText="1"/>
    </xf>
    <xf numFmtId="165" fontId="18" fillId="0" borderId="0" xfId="3" applyNumberFormat="1" applyFont="1" applyBorder="1" applyAlignment="1" applyProtection="1">
      <alignment horizontal="center" vertical="center" wrapText="1"/>
    </xf>
    <xf numFmtId="171" fontId="18" fillId="0" borderId="0" xfId="3" applyNumberFormat="1" applyFont="1" applyAlignment="1" applyProtection="1">
      <alignment horizontal="center" vertical="center" wrapText="1"/>
    </xf>
  </cellXfs>
  <cellStyles count="23">
    <cellStyle name="Comma" xfId="1" builtinId="3"/>
    <cellStyle name="Comma 2" xfId="21"/>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 6" xfId="1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Federal" xfId="20"/>
    <cellStyle name="Normal_THRESHOLD CALCULATOR v3" xfId="13"/>
    <cellStyle name="Percent 2" xfId="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4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5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5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6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6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7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7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8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8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9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900-000003000000}"/>
            </a:ext>
          </a:extLst>
        </xdr:cNvPr>
        <xdr:cNvSpPr>
          <a:spLocks noChangeArrowheads="1"/>
        </xdr:cNvSpPr>
      </xdr:nvSpPr>
      <xdr:spPr bwMode="auto">
        <a:xfrm>
          <a:off x="3819525"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A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A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2B00-000002000000}"/>
            </a:ext>
          </a:extLst>
        </xdr:cNvPr>
        <xdr:cNvSpPr txBox="1">
          <a:spLocks noChangeArrowheads="1"/>
        </xdr:cNvSpPr>
      </xdr:nvSpPr>
      <xdr:spPr bwMode="auto">
        <a:xfrm>
          <a:off x="1647825" y="88773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2B00-000003000000}"/>
            </a:ext>
          </a:extLst>
        </xdr:cNvPr>
        <xdr:cNvSpPr>
          <a:spLocks noChangeArrowheads="1"/>
        </xdr:cNvSpPr>
      </xdr:nvSpPr>
      <xdr:spPr bwMode="auto">
        <a:xfrm>
          <a:off x="1285875" y="8877300"/>
          <a:ext cx="0" cy="0"/>
        </a:xfrm>
        <a:prstGeom prst="rect">
          <a:avLst/>
        </a:prstGeom>
        <a:solidFill>
          <a:srgbClr val="FFFFFF"/>
        </a:solidFill>
        <a:ln w="9525">
          <a:solidFill>
            <a:srgbClr val="000000"/>
          </a:solid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2C00-000002000000}"/>
            </a:ext>
          </a:extLst>
        </xdr:cNvPr>
        <xdr:cNvSpPr txBox="1">
          <a:spLocks noChangeArrowheads="1"/>
        </xdr:cNvSpPr>
      </xdr:nvSpPr>
      <xdr:spPr bwMode="auto">
        <a:xfrm>
          <a:off x="1647825" y="88773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2C00-000003000000}"/>
            </a:ext>
          </a:extLst>
        </xdr:cNvPr>
        <xdr:cNvSpPr>
          <a:spLocks noChangeArrowheads="1"/>
        </xdr:cNvSpPr>
      </xdr:nvSpPr>
      <xdr:spPr bwMode="auto">
        <a:xfrm>
          <a:off x="1285875" y="8877300"/>
          <a:ext cx="0" cy="0"/>
        </a:xfrm>
        <a:prstGeom prst="rect">
          <a:avLst/>
        </a:prstGeom>
        <a:solidFill>
          <a:srgbClr val="FFFFFF"/>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2D00-000002000000}"/>
            </a:ext>
          </a:extLst>
        </xdr:cNvPr>
        <xdr:cNvSpPr txBox="1">
          <a:spLocks noChangeArrowheads="1"/>
        </xdr:cNvSpPr>
      </xdr:nvSpPr>
      <xdr:spPr bwMode="auto">
        <a:xfrm>
          <a:off x="1647825" y="90678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2D00-000003000000}"/>
            </a:ext>
          </a:extLst>
        </xdr:cNvPr>
        <xdr:cNvSpPr>
          <a:spLocks noChangeArrowheads="1"/>
        </xdr:cNvSpPr>
      </xdr:nvSpPr>
      <xdr:spPr bwMode="auto">
        <a:xfrm>
          <a:off x="1285875" y="9067800"/>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0</xdr:colOff>
      <xdr:row>39</xdr:row>
      <xdr:rowOff>0</xdr:rowOff>
    </xdr:from>
    <xdr:to>
      <xdr:col>4</xdr:col>
      <xdr:colOff>85725</xdr:colOff>
      <xdr:row>40</xdr:row>
      <xdr:rowOff>28575</xdr:rowOff>
    </xdr:to>
    <xdr:sp macro="" textlink="">
      <xdr:nvSpPr>
        <xdr:cNvPr id="2" name="Text 1">
          <a:extLst>
            <a:ext uri="{FF2B5EF4-FFF2-40B4-BE49-F238E27FC236}">
              <a16:creationId xmlns:a16="http://schemas.microsoft.com/office/drawing/2014/main" id="{00000000-0008-0000-2E00-000002000000}"/>
            </a:ext>
          </a:extLst>
        </xdr:cNvPr>
        <xdr:cNvSpPr txBox="1">
          <a:spLocks noChangeArrowheads="1"/>
        </xdr:cNvSpPr>
      </xdr:nvSpPr>
      <xdr:spPr bwMode="auto">
        <a:xfrm>
          <a:off x="1647825" y="90678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39</xdr:row>
      <xdr:rowOff>0</xdr:rowOff>
    </xdr:from>
    <xdr:to>
      <xdr:col>3</xdr:col>
      <xdr:colOff>0</xdr:colOff>
      <xdr:row>39</xdr:row>
      <xdr:rowOff>0</xdr:rowOff>
    </xdr:to>
    <xdr:sp macro="" textlink="">
      <xdr:nvSpPr>
        <xdr:cNvPr id="3" name="Rectangle 2">
          <a:extLst>
            <a:ext uri="{FF2B5EF4-FFF2-40B4-BE49-F238E27FC236}">
              <a16:creationId xmlns:a16="http://schemas.microsoft.com/office/drawing/2014/main" id="{00000000-0008-0000-2E00-000003000000}"/>
            </a:ext>
          </a:extLst>
        </xdr:cNvPr>
        <xdr:cNvSpPr>
          <a:spLocks noChangeArrowheads="1"/>
        </xdr:cNvSpPr>
      </xdr:nvSpPr>
      <xdr:spPr bwMode="auto">
        <a:xfrm>
          <a:off x="1285875" y="9067800"/>
          <a:ext cx="0" cy="0"/>
        </a:xfrm>
        <a:prstGeom prst="rect">
          <a:avLst/>
        </a:prstGeom>
        <a:solidFill>
          <a:srgbClr val="FFFFFF"/>
        </a:solidFill>
        <a:ln w="9525">
          <a:solidFill>
            <a:srgbClr val="000000"/>
          </a:solid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2F00-000002000000}"/>
            </a:ext>
          </a:extLst>
        </xdr:cNvPr>
        <xdr:cNvSpPr txBox="1">
          <a:spLocks noChangeArrowheads="1"/>
        </xdr:cNvSpPr>
      </xdr:nvSpPr>
      <xdr:spPr bwMode="auto">
        <a:xfrm>
          <a:off x="1647825" y="90678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2F00-000003000000}"/>
            </a:ext>
          </a:extLst>
        </xdr:cNvPr>
        <xdr:cNvSpPr>
          <a:spLocks noChangeArrowheads="1"/>
        </xdr:cNvSpPr>
      </xdr:nvSpPr>
      <xdr:spPr bwMode="auto">
        <a:xfrm>
          <a:off x="1285875" y="9067800"/>
          <a:ext cx="0" cy="0"/>
        </a:xfrm>
        <a:prstGeom prst="rect">
          <a:avLst/>
        </a:prstGeom>
        <a:solidFill>
          <a:srgbClr val="FFFFFF"/>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3000-000002000000}"/>
            </a:ext>
          </a:extLst>
        </xdr:cNvPr>
        <xdr:cNvSpPr txBox="1">
          <a:spLocks noChangeArrowheads="1"/>
        </xdr:cNvSpPr>
      </xdr:nvSpPr>
      <xdr:spPr bwMode="auto">
        <a:xfrm>
          <a:off x="1647825" y="90678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3000-000003000000}"/>
            </a:ext>
          </a:extLst>
        </xdr:cNvPr>
        <xdr:cNvSpPr>
          <a:spLocks noChangeArrowheads="1"/>
        </xdr:cNvSpPr>
      </xdr:nvSpPr>
      <xdr:spPr bwMode="auto">
        <a:xfrm>
          <a:off x="1285875" y="9067800"/>
          <a:ext cx="0" cy="0"/>
        </a:xfrm>
        <a:prstGeom prst="rect">
          <a:avLst/>
        </a:prstGeom>
        <a:solidFill>
          <a:srgbClr val="FFFFFF"/>
        </a:solidFill>
        <a:ln w="9525">
          <a:solidFill>
            <a:srgbClr val="000000"/>
          </a:solid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3100-000002000000}"/>
            </a:ext>
          </a:extLst>
        </xdr:cNvPr>
        <xdr:cNvSpPr txBox="1">
          <a:spLocks noChangeArrowheads="1"/>
        </xdr:cNvSpPr>
      </xdr:nvSpPr>
      <xdr:spPr bwMode="auto">
        <a:xfrm>
          <a:off x="1647825" y="90678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3100-000003000000}"/>
            </a:ext>
          </a:extLst>
        </xdr:cNvPr>
        <xdr:cNvSpPr>
          <a:spLocks noChangeArrowheads="1"/>
        </xdr:cNvSpPr>
      </xdr:nvSpPr>
      <xdr:spPr bwMode="auto">
        <a:xfrm>
          <a:off x="1285875" y="9067800"/>
          <a:ext cx="0" cy="0"/>
        </a:xfrm>
        <a:prstGeom prst="rect">
          <a:avLst/>
        </a:prstGeom>
        <a:solidFill>
          <a:srgbClr val="FFFFFF"/>
        </a:solidFill>
        <a:ln w="9525">
          <a:solidFill>
            <a:srgbClr val="000000"/>
          </a:solidFill>
          <a:miter lim="800000"/>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3200-000002000000}"/>
            </a:ext>
          </a:extLst>
        </xdr:cNvPr>
        <xdr:cNvSpPr txBox="1">
          <a:spLocks noChangeArrowheads="1"/>
        </xdr:cNvSpPr>
      </xdr:nvSpPr>
      <xdr:spPr bwMode="auto">
        <a:xfrm>
          <a:off x="1647825" y="90678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3200-000003000000}"/>
            </a:ext>
          </a:extLst>
        </xdr:cNvPr>
        <xdr:cNvSpPr>
          <a:spLocks noChangeArrowheads="1"/>
        </xdr:cNvSpPr>
      </xdr:nvSpPr>
      <xdr:spPr bwMode="auto">
        <a:xfrm>
          <a:off x="1285875" y="9067800"/>
          <a:ext cx="0" cy="0"/>
        </a:xfrm>
        <a:prstGeom prst="rect">
          <a:avLst/>
        </a:prstGeom>
        <a:solidFill>
          <a:srgbClr val="FFFFFF"/>
        </a:solidFill>
        <a:ln w="9525">
          <a:solidFill>
            <a:srgbClr val="000000"/>
          </a:solid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3300-000002000000}"/>
            </a:ext>
          </a:extLst>
        </xdr:cNvPr>
        <xdr:cNvSpPr txBox="1">
          <a:spLocks noChangeArrowheads="1"/>
        </xdr:cNvSpPr>
      </xdr:nvSpPr>
      <xdr:spPr bwMode="auto">
        <a:xfrm>
          <a:off x="1647825" y="90678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3300-000003000000}"/>
            </a:ext>
          </a:extLst>
        </xdr:cNvPr>
        <xdr:cNvSpPr>
          <a:spLocks noChangeArrowheads="1"/>
        </xdr:cNvSpPr>
      </xdr:nvSpPr>
      <xdr:spPr bwMode="auto">
        <a:xfrm>
          <a:off x="1285875" y="9067800"/>
          <a:ext cx="0" cy="0"/>
        </a:xfrm>
        <a:prstGeom prst="rect">
          <a:avLst/>
        </a:prstGeom>
        <a:solidFill>
          <a:srgbClr val="FFFFFF"/>
        </a:solidFill>
        <a:ln w="9525">
          <a:solidFill>
            <a:srgbClr val="000000"/>
          </a:solidFill>
          <a:miter lim="800000"/>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85725</xdr:colOff>
      <xdr:row>43</xdr:row>
      <xdr:rowOff>28575</xdr:rowOff>
    </xdr:to>
    <xdr:sp macro="" textlink="">
      <xdr:nvSpPr>
        <xdr:cNvPr id="2" name="Text 1">
          <a:extLst>
            <a:ext uri="{FF2B5EF4-FFF2-40B4-BE49-F238E27FC236}">
              <a16:creationId xmlns:a16="http://schemas.microsoft.com/office/drawing/2014/main" id="{00000000-0008-0000-3400-000002000000}"/>
            </a:ext>
          </a:extLst>
        </xdr:cNvPr>
        <xdr:cNvSpPr txBox="1">
          <a:spLocks noChangeArrowheads="1"/>
        </xdr:cNvSpPr>
      </xdr:nvSpPr>
      <xdr:spPr bwMode="auto">
        <a:xfrm>
          <a:off x="1647825" y="9067800"/>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42</xdr:row>
      <xdr:rowOff>0</xdr:rowOff>
    </xdr:from>
    <xdr:to>
      <xdr:col>3</xdr:col>
      <xdr:colOff>0</xdr:colOff>
      <xdr:row>42</xdr:row>
      <xdr:rowOff>0</xdr:rowOff>
    </xdr:to>
    <xdr:sp macro="" textlink="">
      <xdr:nvSpPr>
        <xdr:cNvPr id="3" name="Rectangle 2">
          <a:extLst>
            <a:ext uri="{FF2B5EF4-FFF2-40B4-BE49-F238E27FC236}">
              <a16:creationId xmlns:a16="http://schemas.microsoft.com/office/drawing/2014/main" id="{00000000-0008-0000-3400-000003000000}"/>
            </a:ext>
          </a:extLst>
        </xdr:cNvPr>
        <xdr:cNvSpPr>
          <a:spLocks noChangeArrowheads="1"/>
        </xdr:cNvSpPr>
      </xdr:nvSpPr>
      <xdr:spPr bwMode="auto">
        <a:xfrm>
          <a:off x="1285875" y="9067800"/>
          <a:ext cx="0" cy="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1400-000001D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3</xdr:col>
          <xdr:colOff>304800</xdr:colOff>
          <xdr:row>5</xdr:row>
          <xdr:rowOff>38100</xdr:rowOff>
        </xdr:to>
        <xdr:sp macro="" textlink="">
          <xdr:nvSpPr>
            <xdr:cNvPr id="55298" name="Object 2" hidden="1">
              <a:extLst>
                <a:ext uri="{63B3BB69-23CF-44E3-9099-C40C66FF867C}">
                  <a14:compatExt spid="_x0000_s55298"/>
                </a:ext>
                <a:ext uri="{FF2B5EF4-FFF2-40B4-BE49-F238E27FC236}">
                  <a16:creationId xmlns:a16="http://schemas.microsoft.com/office/drawing/2014/main" id="{00000000-0008-0000-1400-000002D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5</xdr:col>
          <xdr:colOff>304800</xdr:colOff>
          <xdr:row>5</xdr:row>
          <xdr:rowOff>38100</xdr:rowOff>
        </xdr:to>
        <xdr:sp macro="" textlink="">
          <xdr:nvSpPr>
            <xdr:cNvPr id="55299" name="Object 3" hidden="1">
              <a:extLst>
                <a:ext uri="{63B3BB69-23CF-44E3-9099-C40C66FF867C}">
                  <a14:compatExt spid="_x0000_s55299"/>
                </a:ext>
                <a:ext uri="{FF2B5EF4-FFF2-40B4-BE49-F238E27FC236}">
                  <a16:creationId xmlns:a16="http://schemas.microsoft.com/office/drawing/2014/main" id="{00000000-0008-0000-1400-000003D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zoomScale="110" zoomScaleNormal="110" workbookViewId="0"/>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186" t="s">
        <v>425</v>
      </c>
      <c r="J1" s="2187"/>
      <c r="K1" s="2187"/>
      <c r="L1" s="2187"/>
      <c r="M1" s="2187"/>
      <c r="N1" s="2187"/>
      <c r="O1" s="2187"/>
      <c r="P1" s="2187"/>
      <c r="Q1" s="2187"/>
      <c r="R1" s="2187"/>
      <c r="S1" s="2187"/>
    </row>
    <row r="2" spans="1:28" ht="12" customHeight="1" x14ac:dyDescent="0.2">
      <c r="A2" s="47" t="s">
        <v>1684</v>
      </c>
      <c r="D2" s="48"/>
      <c r="I2" s="2188" t="s">
        <v>1036</v>
      </c>
      <c r="J2" s="2187"/>
      <c r="K2" s="2187"/>
      <c r="L2" s="2187"/>
      <c r="M2" s="2187"/>
      <c r="N2" s="2187"/>
      <c r="O2" s="2187"/>
      <c r="P2" s="2187"/>
      <c r="Q2" s="2187"/>
      <c r="R2" s="2187"/>
      <c r="S2" s="2187"/>
    </row>
    <row r="3" spans="1:28" ht="12" customHeight="1" x14ac:dyDescent="0.2">
      <c r="A3" s="155" t="s">
        <v>1685</v>
      </c>
      <c r="B3" s="156"/>
      <c r="C3" s="156"/>
      <c r="D3" s="157"/>
      <c r="I3" s="2188" t="s">
        <v>54</v>
      </c>
      <c r="J3" s="2187"/>
      <c r="K3" s="2187"/>
      <c r="L3" s="2187"/>
      <c r="M3" s="2187"/>
      <c r="N3" s="2187"/>
      <c r="O3" s="2187"/>
      <c r="P3" s="2187"/>
      <c r="Q3" s="2187"/>
      <c r="R3" s="2187"/>
      <c r="S3" s="2187"/>
    </row>
    <row r="4" spans="1:28" ht="12" customHeight="1" x14ac:dyDescent="0.2">
      <c r="A4" s="37"/>
      <c r="I4" s="2188" t="s">
        <v>545</v>
      </c>
      <c r="J4" s="2187"/>
      <c r="K4" s="2187"/>
      <c r="L4" s="2187"/>
      <c r="M4" s="2187"/>
      <c r="N4" s="2187"/>
      <c r="O4" s="2187"/>
      <c r="P4" s="2187"/>
      <c r="Q4" s="2187"/>
      <c r="R4" s="2187"/>
      <c r="S4" s="2187"/>
    </row>
    <row r="5" spans="1:28" ht="14.1" customHeight="1" x14ac:dyDescent="0.2">
      <c r="B5" s="104" t="s">
        <v>2074</v>
      </c>
      <c r="C5" s="26" t="s">
        <v>966</v>
      </c>
      <c r="D5" s="84"/>
      <c r="E5" s="84"/>
      <c r="H5" s="38"/>
      <c r="I5" s="2196" t="s">
        <v>701</v>
      </c>
      <c r="J5" s="2195"/>
      <c r="K5" s="2195"/>
      <c r="L5" s="2195"/>
      <c r="M5" s="2195"/>
      <c r="N5" s="2195"/>
      <c r="O5" s="2195"/>
      <c r="P5" s="2195"/>
      <c r="Q5" s="2195"/>
      <c r="R5" s="2195"/>
      <c r="S5" s="2195"/>
    </row>
    <row r="6" spans="1:28" ht="14.1" customHeight="1" x14ac:dyDescent="0.2">
      <c r="B6" s="104"/>
      <c r="C6" s="26" t="s">
        <v>967</v>
      </c>
      <c r="D6" s="84"/>
      <c r="E6" s="84"/>
      <c r="I6" s="2194" t="s">
        <v>938</v>
      </c>
      <c r="J6" s="2195"/>
      <c r="K6" s="2195"/>
      <c r="L6" s="2195"/>
      <c r="M6" s="2195"/>
      <c r="N6" s="2195"/>
      <c r="O6" s="2195"/>
      <c r="P6" s="2195"/>
      <c r="Q6" s="2195"/>
      <c r="R6" s="2195"/>
      <c r="S6" s="2195"/>
    </row>
    <row r="7" spans="1:28" ht="12.2" customHeight="1" x14ac:dyDescent="0.2">
      <c r="I7" s="2189">
        <v>43281</v>
      </c>
      <c r="J7" s="2190"/>
      <c r="K7" s="2190"/>
      <c r="L7" s="2190"/>
      <c r="M7" s="2190"/>
      <c r="N7" s="2190"/>
      <c r="O7" s="2190"/>
      <c r="P7" s="2190"/>
      <c r="Q7" s="2190"/>
      <c r="R7" s="2190"/>
      <c r="S7" s="2190"/>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191" t="s">
        <v>695</v>
      </c>
      <c r="J9" s="2192"/>
      <c r="K9" s="2192"/>
      <c r="L9" s="2192"/>
      <c r="M9" s="2192"/>
      <c r="N9" s="2192"/>
      <c r="O9" s="2192"/>
      <c r="P9" s="2192"/>
      <c r="Q9" s="2192"/>
      <c r="R9" s="2192"/>
      <c r="S9" s="2193"/>
      <c r="T9" s="2207" t="s">
        <v>554</v>
      </c>
      <c r="U9" s="2208"/>
      <c r="V9" s="2208"/>
      <c r="W9" s="2208"/>
      <c r="X9" s="2208"/>
      <c r="Y9" s="2208"/>
      <c r="Z9" s="2208"/>
      <c r="AA9" s="2209"/>
    </row>
    <row r="10" spans="1:28" ht="13.5" customHeight="1" x14ac:dyDescent="0.2">
      <c r="A10" s="2214" t="s">
        <v>696</v>
      </c>
      <c r="B10" s="2215"/>
      <c r="C10" s="2215"/>
      <c r="D10" s="2215"/>
      <c r="E10" s="2215"/>
      <c r="F10" s="2215"/>
      <c r="G10" s="2215"/>
      <c r="H10" s="2216"/>
      <c r="I10" s="29"/>
      <c r="J10" s="30"/>
      <c r="K10" s="28"/>
      <c r="R10" s="30"/>
      <c r="S10" s="30"/>
      <c r="T10" s="2210"/>
      <c r="U10" s="2195"/>
      <c r="V10" s="2195"/>
      <c r="W10" s="2195"/>
      <c r="X10" s="2195"/>
      <c r="Y10" s="2195"/>
      <c r="Z10" s="2195"/>
      <c r="AA10" s="2201"/>
    </row>
    <row r="11" spans="1:28" ht="14.25" customHeight="1" x14ac:dyDescent="0.2">
      <c r="A11" s="2217" t="s">
        <v>1012</v>
      </c>
      <c r="B11" s="2218"/>
      <c r="C11" s="2218"/>
      <c r="D11" s="2218"/>
      <c r="E11" s="2218"/>
      <c r="F11" s="2218"/>
      <c r="G11" s="2218"/>
      <c r="H11" s="2219"/>
      <c r="I11" s="27"/>
      <c r="J11" s="74"/>
      <c r="K11" s="27"/>
      <c r="O11" s="148" t="s">
        <v>2074</v>
      </c>
      <c r="P11" s="100" t="s">
        <v>210</v>
      </c>
      <c r="Q11" s="30"/>
      <c r="R11" s="28"/>
      <c r="S11" s="27"/>
      <c r="T11" s="2211"/>
      <c r="U11" s="2212"/>
      <c r="V11" s="2212"/>
      <c r="W11" s="2212"/>
      <c r="X11" s="2212"/>
      <c r="Y11" s="2212"/>
      <c r="Z11" s="2212"/>
      <c r="AA11" s="2213"/>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221" t="s">
        <v>2094</v>
      </c>
      <c r="B13" s="2222"/>
      <c r="C13" s="2222"/>
      <c r="D13" s="2222"/>
      <c r="E13" s="2222"/>
      <c r="F13" s="2222"/>
      <c r="G13" s="2222"/>
      <c r="H13" s="2223"/>
      <c r="I13" s="31"/>
      <c r="J13" s="30"/>
      <c r="K13" s="28"/>
      <c r="L13" s="30"/>
      <c r="M13" s="30"/>
      <c r="N13" s="30"/>
      <c r="O13" s="30"/>
      <c r="P13" s="30"/>
      <c r="Q13" s="30"/>
      <c r="R13" s="30"/>
      <c r="S13" s="30"/>
      <c r="T13" s="2226" t="s">
        <v>2075</v>
      </c>
      <c r="U13" s="2227"/>
      <c r="V13" s="2227"/>
      <c r="W13" s="2227"/>
      <c r="X13" s="2227"/>
      <c r="Y13" s="2228"/>
      <c r="Z13" s="2228"/>
      <c r="AA13" s="2229"/>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220" t="s">
        <v>2083</v>
      </c>
      <c r="B15" s="2224"/>
      <c r="C15" s="2224"/>
      <c r="D15" s="2224"/>
      <c r="E15" s="2224"/>
      <c r="F15" s="2224"/>
      <c r="G15" s="2224"/>
      <c r="H15" s="2225"/>
      <c r="T15" s="2230" t="s">
        <v>2087</v>
      </c>
      <c r="U15" s="2174"/>
      <c r="V15" s="2174"/>
      <c r="W15" s="2174"/>
      <c r="X15" s="2174"/>
      <c r="Y15" s="2231"/>
      <c r="Z15" s="2231"/>
      <c r="AA15" s="2232"/>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180" t="s">
        <v>2084</v>
      </c>
      <c r="B17" s="2181"/>
      <c r="C17" s="2181"/>
      <c r="D17" s="2181"/>
      <c r="E17" s="2181"/>
      <c r="F17" s="2181"/>
      <c r="G17" s="2181"/>
      <c r="H17" s="2206"/>
      <c r="T17" s="2237" t="s">
        <v>2076</v>
      </c>
      <c r="U17" s="2238"/>
      <c r="V17" s="2238"/>
      <c r="W17" s="2238"/>
      <c r="X17" s="2238"/>
      <c r="Y17" s="2238"/>
      <c r="Z17" s="2238"/>
      <c r="AA17" s="2239"/>
    </row>
    <row r="18" spans="1:27" ht="13.5" customHeight="1" x14ac:dyDescent="0.2">
      <c r="A18" s="85" t="s">
        <v>551</v>
      </c>
      <c r="B18" s="76"/>
      <c r="C18" s="72"/>
      <c r="D18" s="76"/>
      <c r="E18" s="76"/>
      <c r="F18" s="76"/>
      <c r="G18" s="76"/>
      <c r="H18" s="56"/>
      <c r="I18" s="2205" t="s">
        <v>697</v>
      </c>
      <c r="J18" s="2156"/>
      <c r="K18" s="2156"/>
      <c r="L18" s="2156"/>
      <c r="M18" s="2156"/>
      <c r="N18" s="2156"/>
      <c r="O18" s="2156"/>
      <c r="P18" s="2156"/>
      <c r="Q18" s="2156"/>
      <c r="R18" s="2156"/>
      <c r="S18" s="2157"/>
      <c r="T18" s="85" t="s">
        <v>735</v>
      </c>
      <c r="U18" s="51"/>
      <c r="V18" s="72"/>
      <c r="W18" s="50"/>
      <c r="X18" s="85" t="s">
        <v>284</v>
      </c>
      <c r="Y18" s="81"/>
      <c r="Z18" s="159" t="s">
        <v>698</v>
      </c>
      <c r="AA18" s="46"/>
    </row>
    <row r="19" spans="1:27" ht="13.5" customHeight="1" x14ac:dyDescent="0.2">
      <c r="A19" s="2220" t="s">
        <v>2085</v>
      </c>
      <c r="B19" s="2166"/>
      <c r="C19" s="2166"/>
      <c r="D19" s="2166"/>
      <c r="E19" s="2166"/>
      <c r="F19" s="2166"/>
      <c r="G19" s="2166"/>
      <c r="H19" s="2146"/>
      <c r="I19" s="30"/>
      <c r="J19" s="99"/>
      <c r="K19" s="40"/>
      <c r="L19" s="38"/>
      <c r="M19" s="112" t="s">
        <v>333</v>
      </c>
      <c r="P19" s="27"/>
      <c r="Q19" s="27"/>
      <c r="R19" s="27"/>
      <c r="S19" s="31"/>
      <c r="T19" s="2220" t="s">
        <v>2077</v>
      </c>
      <c r="U19" s="2145"/>
      <c r="V19" s="2145"/>
      <c r="W19" s="2146"/>
      <c r="X19" s="2235" t="s">
        <v>2078</v>
      </c>
      <c r="Y19" s="2236"/>
      <c r="Z19" s="2233">
        <v>61614</v>
      </c>
      <c r="AA19" s="2234"/>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144" t="s">
        <v>2086</v>
      </c>
      <c r="B21" s="2145"/>
      <c r="C21" s="2145"/>
      <c r="D21" s="2145"/>
      <c r="E21" s="2145"/>
      <c r="F21" s="2145"/>
      <c r="G21" s="2145"/>
      <c r="H21" s="2146"/>
      <c r="I21" s="2200" t="s">
        <v>699</v>
      </c>
      <c r="J21" s="2195"/>
      <c r="K21" s="2195"/>
      <c r="L21" s="2195"/>
      <c r="M21" s="2195"/>
      <c r="N21" s="2195"/>
      <c r="O21" s="2195"/>
      <c r="P21" s="2195"/>
      <c r="Q21" s="2195"/>
      <c r="R21" s="2195"/>
      <c r="S21" s="2201"/>
      <c r="T21" s="2244" t="s">
        <v>2079</v>
      </c>
      <c r="U21" s="2245"/>
      <c r="V21" s="2245"/>
      <c r="W21" s="2245"/>
      <c r="X21" s="2250" t="s">
        <v>2080</v>
      </c>
      <c r="Y21" s="2251"/>
      <c r="Z21" s="2251"/>
      <c r="AA21" s="2252"/>
    </row>
    <row r="22" spans="1:27" ht="13.5" customHeight="1" x14ac:dyDescent="0.2">
      <c r="A22" s="87" t="s">
        <v>552</v>
      </c>
      <c r="B22" s="59"/>
      <c r="C22" s="59"/>
      <c r="D22" s="59"/>
      <c r="E22" s="59"/>
      <c r="F22" s="59"/>
      <c r="G22" s="59"/>
      <c r="H22" s="60"/>
      <c r="I22" s="2202" t="s">
        <v>1504</v>
      </c>
      <c r="J22" s="2203"/>
      <c r="K22" s="2203"/>
      <c r="L22" s="2203"/>
      <c r="M22" s="2203"/>
      <c r="N22" s="2203"/>
      <c r="O22" s="2203"/>
      <c r="P22" s="2203"/>
      <c r="Q22" s="2203"/>
      <c r="R22" s="2203"/>
      <c r="S22" s="2204"/>
      <c r="T22" s="85" t="s">
        <v>1596</v>
      </c>
      <c r="U22" s="51"/>
      <c r="V22" s="72"/>
      <c r="W22" s="51"/>
      <c r="X22" s="160" t="s">
        <v>1385</v>
      </c>
      <c r="Z22" s="45"/>
      <c r="AA22" s="46"/>
    </row>
    <row r="23" spans="1:27" ht="13.5" customHeight="1" x14ac:dyDescent="0.2">
      <c r="A23" s="2197" t="s">
        <v>2098</v>
      </c>
      <c r="B23" s="2198"/>
      <c r="C23" s="2198"/>
      <c r="D23" s="2198"/>
      <c r="E23" s="2198"/>
      <c r="F23" s="2198"/>
      <c r="G23" s="2198"/>
      <c r="H23" s="2199"/>
      <c r="T23" s="2180" t="s">
        <v>2099</v>
      </c>
      <c r="U23" s="2243"/>
      <c r="V23" s="2243"/>
      <c r="W23" s="2243"/>
      <c r="X23" s="2247">
        <v>44530</v>
      </c>
      <c r="Y23" s="2248"/>
      <c r="Z23" s="2248"/>
      <c r="AA23" s="2249"/>
    </row>
    <row r="24" spans="1:27" ht="14.1" customHeight="1" x14ac:dyDescent="0.2">
      <c r="A24" s="88" t="s">
        <v>698</v>
      </c>
      <c r="B24" s="49"/>
      <c r="C24" s="49"/>
      <c r="D24" s="49"/>
      <c r="E24" s="49"/>
      <c r="F24" s="49"/>
      <c r="G24" s="49"/>
      <c r="H24" s="61"/>
      <c r="J24" s="2167">
        <f>IF(B5="x",IF(AUDITCHECK!D29="AFR form Incomplete.","",IF(AUDITCHECK!D29="Deficit reduction plan is required.","School District must complete a deficit reduction plan in the 2018-2019 Budget",)),"")</f>
        <v>0</v>
      </c>
      <c r="K24" s="2167"/>
      <c r="L24" s="2167"/>
      <c r="M24" s="2167"/>
      <c r="N24" s="2167"/>
      <c r="O24" s="2167"/>
      <c r="P24" s="2167"/>
      <c r="Q24" s="2167"/>
      <c r="R24" s="2167"/>
      <c r="S24" s="2168"/>
      <c r="T24" s="105" t="s">
        <v>552</v>
      </c>
      <c r="U24" s="106"/>
      <c r="V24" s="106"/>
      <c r="W24" s="106"/>
      <c r="X24" s="107"/>
      <c r="Y24" s="107"/>
      <c r="Z24" s="107"/>
      <c r="AA24" s="108"/>
    </row>
    <row r="25" spans="1:27" ht="14.1" customHeight="1" x14ac:dyDescent="0.2">
      <c r="A25" s="2144">
        <v>61072</v>
      </c>
      <c r="B25" s="2145"/>
      <c r="C25" s="2145"/>
      <c r="D25" s="2145"/>
      <c r="E25" s="2145"/>
      <c r="F25" s="2145"/>
      <c r="G25" s="2145"/>
      <c r="H25" s="2146"/>
      <c r="I25" s="113"/>
      <c r="J25" s="2169"/>
      <c r="K25" s="2169"/>
      <c r="L25" s="2169"/>
      <c r="M25" s="2169"/>
      <c r="N25" s="2169"/>
      <c r="O25" s="2169"/>
      <c r="P25" s="2169"/>
      <c r="Q25" s="2169"/>
      <c r="R25" s="2169"/>
      <c r="S25" s="2170"/>
      <c r="T25" s="2240" t="s">
        <v>2088</v>
      </c>
      <c r="U25" s="2241"/>
      <c r="V25" s="2241"/>
      <c r="W25" s="2241"/>
      <c r="X25" s="2241"/>
      <c r="Y25" s="2241"/>
      <c r="Z25" s="2241"/>
      <c r="AA25" s="2242"/>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155" t="s">
        <v>1591</v>
      </c>
      <c r="J27" s="2156"/>
      <c r="K27" s="2156"/>
      <c r="L27" s="2156"/>
      <c r="M27" s="2156"/>
      <c r="N27" s="2156"/>
      <c r="O27" s="2156"/>
      <c r="P27" s="2156"/>
      <c r="Q27" s="2156"/>
      <c r="R27" s="2156"/>
      <c r="S27" s="2157"/>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48" t="s">
        <v>2074</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t="s">
        <v>2074</v>
      </c>
      <c r="C30" s="124" t="s">
        <v>1226</v>
      </c>
      <c r="D30" s="28"/>
      <c r="E30" s="28"/>
      <c r="F30" s="140"/>
      <c r="G30" s="114"/>
      <c r="H30" s="114"/>
      <c r="I30" s="54"/>
      <c r="J30" s="148" t="s">
        <v>2074</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t="s">
        <v>2074</v>
      </c>
      <c r="K31" s="40" t="s">
        <v>940</v>
      </c>
      <c r="L31" s="102"/>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166"/>
      <c r="Q35" s="2145"/>
      <c r="R35" s="2145"/>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180" t="s">
        <v>2097</v>
      </c>
      <c r="B38" s="2181"/>
      <c r="C38" s="2181"/>
      <c r="D38" s="2181"/>
      <c r="E38" s="2181"/>
      <c r="F38" s="2145"/>
      <c r="G38" s="2145"/>
      <c r="H38" s="2146"/>
      <c r="I38" s="2173"/>
      <c r="J38" s="2174"/>
      <c r="K38" s="2174"/>
      <c r="L38" s="2174"/>
      <c r="M38" s="2174"/>
      <c r="N38" s="2174"/>
      <c r="O38" s="2174"/>
      <c r="P38" s="2175"/>
      <c r="Q38" s="2175"/>
      <c r="R38" s="2175"/>
      <c r="S38" s="2176"/>
      <c r="T38" s="2230"/>
      <c r="U38" s="2174"/>
      <c r="V38" s="2174"/>
      <c r="W38" s="2174"/>
      <c r="X38" s="2175"/>
      <c r="Y38" s="2175"/>
      <c r="Z38" s="2175"/>
      <c r="AA38" s="2176"/>
    </row>
    <row r="39" spans="1:27" ht="12" customHeight="1" x14ac:dyDescent="0.2">
      <c r="A39" s="2150" t="s">
        <v>552</v>
      </c>
      <c r="B39" s="2151"/>
      <c r="C39" s="72"/>
      <c r="D39" s="69"/>
      <c r="E39" s="69"/>
      <c r="F39" s="79"/>
      <c r="G39" s="69"/>
      <c r="H39" s="56"/>
      <c r="I39" s="2150" t="s">
        <v>552</v>
      </c>
      <c r="J39" s="2151"/>
      <c r="K39" s="2151"/>
      <c r="L39" s="2151"/>
      <c r="M39" s="2151"/>
      <c r="N39" s="67"/>
      <c r="O39" s="72"/>
      <c r="P39" s="72"/>
      <c r="Q39" s="78"/>
      <c r="R39" s="72"/>
      <c r="S39" s="56"/>
      <c r="T39" s="72" t="s">
        <v>552</v>
      </c>
      <c r="U39" s="51"/>
      <c r="V39" s="72"/>
      <c r="W39" s="50"/>
      <c r="X39" s="78"/>
      <c r="Y39" s="45"/>
      <c r="Z39" s="45"/>
      <c r="AA39" s="46"/>
    </row>
    <row r="40" spans="1:27" ht="13.5" customHeight="1" x14ac:dyDescent="0.2">
      <c r="A40" s="2158" t="s">
        <v>2098</v>
      </c>
      <c r="B40" s="2159"/>
      <c r="C40" s="2160"/>
      <c r="D40" s="2160"/>
      <c r="E40" s="2160"/>
      <c r="F40" s="2161"/>
      <c r="G40" s="2161"/>
      <c r="H40" s="2162"/>
      <c r="I40" s="2183"/>
      <c r="J40" s="2184"/>
      <c r="K40" s="2184"/>
      <c r="L40" s="2184"/>
      <c r="M40" s="2184"/>
      <c r="N40" s="2184"/>
      <c r="O40" s="2184"/>
      <c r="P40" s="2184"/>
      <c r="Q40" s="2184"/>
      <c r="R40" s="2184"/>
      <c r="S40" s="2185"/>
      <c r="T40" s="2183"/>
      <c r="U40" s="2246"/>
      <c r="V40" s="2184"/>
      <c r="W40" s="2184"/>
      <c r="X40" s="2184"/>
      <c r="Y40" s="2184"/>
      <c r="Z40" s="2184"/>
      <c r="AA40" s="2185"/>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172" t="s">
        <v>2089</v>
      </c>
      <c r="B42" s="2164"/>
      <c r="C42" s="2165"/>
      <c r="D42" s="2163" t="s">
        <v>2090</v>
      </c>
      <c r="E42" s="2164"/>
      <c r="F42" s="2164"/>
      <c r="G42" s="2164"/>
      <c r="H42" s="2165"/>
      <c r="I42" s="2147"/>
      <c r="J42" s="2148"/>
      <c r="K42" s="2148"/>
      <c r="L42" s="2148"/>
      <c r="M42" s="2148"/>
      <c r="N42" s="2148"/>
      <c r="O42" s="2149"/>
      <c r="P42" s="2182"/>
      <c r="Q42" s="2148"/>
      <c r="R42" s="2148"/>
      <c r="S42" s="2149"/>
      <c r="T42" s="2147"/>
      <c r="U42" s="2148"/>
      <c r="V42" s="2148"/>
      <c r="W42" s="2149"/>
      <c r="X42" s="2182"/>
      <c r="Y42" s="2148"/>
      <c r="Z42" s="2148"/>
      <c r="AA42" s="2149"/>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177"/>
      <c r="B44" s="2178"/>
      <c r="C44" s="2178"/>
      <c r="D44" s="2178"/>
      <c r="E44" s="2178"/>
      <c r="F44" s="2178"/>
      <c r="G44" s="2178"/>
      <c r="H44" s="2179"/>
      <c r="I44" s="2152"/>
      <c r="J44" s="2153"/>
      <c r="K44" s="2153"/>
      <c r="L44" s="2153"/>
      <c r="M44" s="2153"/>
      <c r="N44" s="2153"/>
      <c r="O44" s="2153"/>
      <c r="P44" s="2153"/>
      <c r="Q44" s="2153"/>
      <c r="R44" s="2153"/>
      <c r="S44" s="2154"/>
      <c r="T44" s="2152"/>
      <c r="U44" s="2171"/>
      <c r="V44" s="2171"/>
      <c r="W44" s="2171"/>
      <c r="X44" s="2171"/>
      <c r="Y44" s="2171"/>
      <c r="Z44" s="2153"/>
      <c r="AA44" s="2154"/>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2064</v>
      </c>
      <c r="R47" s="41"/>
      <c r="S47" s="41"/>
      <c r="T47" s="41"/>
      <c r="U47" s="41"/>
      <c r="V47" s="41"/>
      <c r="W47" s="41"/>
      <c r="X47" s="41"/>
      <c r="Y47" s="41"/>
      <c r="Z47" s="41"/>
      <c r="AA47" s="41"/>
    </row>
    <row r="48" spans="1:27" x14ac:dyDescent="0.2">
      <c r="Q48" s="41" t="s">
        <v>2065</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heetViews>
  <sheetFormatPr defaultColWidth="9.140625" defaultRowHeight="12.75" x14ac:dyDescent="0.2"/>
  <cols>
    <col min="1" max="1" width="41.42578125" style="252" customWidth="1"/>
    <col min="2" max="3" width="17.7109375" style="711" customWidth="1"/>
    <col min="4" max="5" width="17.7109375" style="712"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4" t="s">
        <v>106</v>
      </c>
    </row>
    <row r="2" spans="1:6" ht="39.75" customHeight="1" x14ac:dyDescent="0.2">
      <c r="A2" s="2386" t="s">
        <v>1902</v>
      </c>
      <c r="B2" s="1546" t="s">
        <v>2034</v>
      </c>
      <c r="C2" s="713" t="s">
        <v>1907</v>
      </c>
      <c r="D2" s="713" t="s">
        <v>1908</v>
      </c>
      <c r="E2" s="713" t="s">
        <v>1909</v>
      </c>
      <c r="F2" s="713" t="s">
        <v>1910</v>
      </c>
    </row>
    <row r="3" spans="1:6" ht="12" customHeight="1" x14ac:dyDescent="0.2">
      <c r="A3" s="2387"/>
      <c r="B3" s="1543"/>
      <c r="C3" s="1544"/>
      <c r="D3" s="1545" t="s">
        <v>274</v>
      </c>
      <c r="E3" s="1544"/>
      <c r="F3" s="1545" t="s">
        <v>275</v>
      </c>
    </row>
    <row r="4" spans="1:6" ht="13.7" customHeight="1" x14ac:dyDescent="0.2">
      <c r="A4" s="714" t="s">
        <v>1217</v>
      </c>
      <c r="B4" s="1767">
        <f>'Revenues 9-14'!C5</f>
        <v>11901981</v>
      </c>
      <c r="C4" s="1542">
        <v>4618</v>
      </c>
      <c r="D4" s="1770">
        <f>B4-C4</f>
        <v>11897363</v>
      </c>
      <c r="E4" s="1542">
        <v>12674395</v>
      </c>
      <c r="F4" s="1770">
        <f>E4-C4</f>
        <v>12669777</v>
      </c>
    </row>
    <row r="5" spans="1:6" ht="13.7" customHeight="1" x14ac:dyDescent="0.2">
      <c r="A5" s="714" t="s">
        <v>925</v>
      </c>
      <c r="B5" s="1768">
        <f>'Revenues 9-14'!D5</f>
        <v>1570946</v>
      </c>
      <c r="C5" s="583">
        <v>569</v>
      </c>
      <c r="D5" s="1771">
        <f t="shared" ref="D5:D18" si="0">B5-C5</f>
        <v>1570377</v>
      </c>
      <c r="E5" s="583">
        <v>1561639</v>
      </c>
      <c r="F5" s="1771">
        <f>E5-C5</f>
        <v>1561070</v>
      </c>
    </row>
    <row r="6" spans="1:6" ht="13.7" customHeight="1" x14ac:dyDescent="0.2">
      <c r="A6" s="714" t="s">
        <v>431</v>
      </c>
      <c r="B6" s="1768">
        <f>'Revenues 9-14'!E5</f>
        <v>768165</v>
      </c>
      <c r="C6" s="583">
        <v>831</v>
      </c>
      <c r="D6" s="1771">
        <f t="shared" si="0"/>
        <v>767334</v>
      </c>
      <c r="E6" s="583">
        <v>2279313</v>
      </c>
      <c r="F6" s="1771">
        <f t="shared" ref="F6:F18" si="1">E6-C6</f>
        <v>2278482</v>
      </c>
    </row>
    <row r="7" spans="1:6" ht="13.7" customHeight="1" x14ac:dyDescent="0.2">
      <c r="A7" s="714" t="s">
        <v>157</v>
      </c>
      <c r="B7" s="1768">
        <f>'Revenues 9-14'!F5</f>
        <v>793343</v>
      </c>
      <c r="C7" s="583">
        <v>298</v>
      </c>
      <c r="D7" s="1771">
        <f t="shared" si="0"/>
        <v>793045</v>
      </c>
      <c r="E7" s="583">
        <v>818842</v>
      </c>
      <c r="F7" s="1771">
        <f t="shared" si="1"/>
        <v>818544</v>
      </c>
    </row>
    <row r="8" spans="1:6" ht="13.7" customHeight="1" x14ac:dyDescent="0.2">
      <c r="A8" s="714" t="s">
        <v>1241</v>
      </c>
      <c r="B8" s="1768">
        <f>'Revenues 9-14'!G5</f>
        <v>221238</v>
      </c>
      <c r="C8" s="583">
        <v>25</v>
      </c>
      <c r="D8" s="1771">
        <f t="shared" si="0"/>
        <v>221213</v>
      </c>
      <c r="E8" s="583">
        <v>67897</v>
      </c>
      <c r="F8" s="1771">
        <f t="shared" si="1"/>
        <v>67872</v>
      </c>
    </row>
    <row r="9" spans="1:6" ht="13.7" customHeight="1" x14ac:dyDescent="0.2">
      <c r="A9" s="714" t="s">
        <v>428</v>
      </c>
      <c r="B9" s="1768">
        <f>'Revenues 9-14'!H5</f>
        <v>0</v>
      </c>
      <c r="C9" s="583">
        <v>0</v>
      </c>
      <c r="D9" s="1771">
        <f t="shared" si="0"/>
        <v>0</v>
      </c>
      <c r="E9" s="583">
        <v>0</v>
      </c>
      <c r="F9" s="1771">
        <f t="shared" si="1"/>
        <v>0</v>
      </c>
    </row>
    <row r="10" spans="1:6" ht="13.7" customHeight="1" x14ac:dyDescent="0.2">
      <c r="A10" s="714" t="s">
        <v>427</v>
      </c>
      <c r="B10" s="1768">
        <f>'Revenues 9-14'!I5</f>
        <v>301106</v>
      </c>
      <c r="C10" s="583">
        <v>0</v>
      </c>
      <c r="D10" s="1771">
        <f t="shared" si="0"/>
        <v>301106</v>
      </c>
      <c r="E10" s="583">
        <v>0</v>
      </c>
      <c r="F10" s="1771">
        <f t="shared" si="1"/>
        <v>0</v>
      </c>
    </row>
    <row r="11" spans="1:6" x14ac:dyDescent="0.2">
      <c r="A11" s="714" t="s">
        <v>429</v>
      </c>
      <c r="B11" s="1768">
        <f>'Revenues 9-14'!J5</f>
        <v>0</v>
      </c>
      <c r="C11" s="583">
        <v>0</v>
      </c>
      <c r="D11" s="1771">
        <f t="shared" si="0"/>
        <v>0</v>
      </c>
      <c r="E11" s="583">
        <v>0</v>
      </c>
      <c r="F11" s="1771">
        <f t="shared" si="1"/>
        <v>0</v>
      </c>
    </row>
    <row r="12" spans="1:6" ht="13.7" customHeight="1" x14ac:dyDescent="0.2">
      <c r="A12" s="714" t="s">
        <v>159</v>
      </c>
      <c r="B12" s="1768">
        <f>'Revenues 9-14'!K5</f>
        <v>0</v>
      </c>
      <c r="C12" s="583">
        <v>0</v>
      </c>
      <c r="D12" s="1771">
        <f t="shared" si="0"/>
        <v>0</v>
      </c>
      <c r="E12" s="583">
        <v>0</v>
      </c>
      <c r="F12" s="1771">
        <f t="shared" si="1"/>
        <v>0</v>
      </c>
    </row>
    <row r="13" spans="1:6" ht="13.7" customHeight="1" x14ac:dyDescent="0.2">
      <c r="A13" s="714" t="s">
        <v>993</v>
      </c>
      <c r="B13" s="1768">
        <f>SUM('Revenues 9-14'!C6:D6)</f>
        <v>0</v>
      </c>
      <c r="C13" s="583">
        <v>0</v>
      </c>
      <c r="D13" s="1771">
        <f t="shared" si="0"/>
        <v>0</v>
      </c>
      <c r="E13" s="583">
        <v>0</v>
      </c>
      <c r="F13" s="1771">
        <f t="shared" si="1"/>
        <v>0</v>
      </c>
    </row>
    <row r="14" spans="1:6" ht="13.7" customHeight="1" x14ac:dyDescent="0.2">
      <c r="A14" s="714" t="s">
        <v>430</v>
      </c>
      <c r="B14" s="1768">
        <f>SUM('Revenues 9-14'!C7:D7,'Revenues 9-14'!F7:H7)</f>
        <v>1054914</v>
      </c>
      <c r="C14" s="583">
        <v>438</v>
      </c>
      <c r="D14" s="1771">
        <f t="shared" si="0"/>
        <v>1054476</v>
      </c>
      <c r="E14" s="583">
        <v>1200425</v>
      </c>
      <c r="F14" s="1771">
        <f t="shared" si="1"/>
        <v>1199987</v>
      </c>
    </row>
    <row r="15" spans="1:6" ht="13.7" customHeight="1" x14ac:dyDescent="0.2">
      <c r="A15" s="714" t="s">
        <v>1220</v>
      </c>
      <c r="B15" s="1768">
        <f>'Revenues 9-14'!E9</f>
        <v>0</v>
      </c>
      <c r="C15" s="583">
        <v>0</v>
      </c>
      <c r="D15" s="1771">
        <f t="shared" si="0"/>
        <v>0</v>
      </c>
      <c r="E15" s="583">
        <v>0</v>
      </c>
      <c r="F15" s="1771">
        <f t="shared" si="1"/>
        <v>0</v>
      </c>
    </row>
    <row r="16" spans="1:6" ht="13.7" customHeight="1" x14ac:dyDescent="0.2">
      <c r="A16" s="714" t="s">
        <v>1221</v>
      </c>
      <c r="B16" s="1768">
        <f>'Revenues 9-14'!G8</f>
        <v>240460</v>
      </c>
      <c r="C16" s="583">
        <v>91</v>
      </c>
      <c r="D16" s="1771">
        <f t="shared" si="0"/>
        <v>240369</v>
      </c>
      <c r="E16" s="583">
        <v>248504</v>
      </c>
      <c r="F16" s="1771">
        <f t="shared" si="1"/>
        <v>248413</v>
      </c>
    </row>
    <row r="17" spans="1:6" ht="13.7" customHeight="1" x14ac:dyDescent="0.2">
      <c r="A17" s="714" t="s">
        <v>1222</v>
      </c>
      <c r="B17" s="1768">
        <f>'Revenues 9-14'!C10</f>
        <v>0</v>
      </c>
      <c r="C17" s="583">
        <v>0</v>
      </c>
      <c r="D17" s="1771">
        <f t="shared" si="0"/>
        <v>0</v>
      </c>
      <c r="E17" s="583">
        <v>0</v>
      </c>
      <c r="F17" s="1771">
        <f t="shared" si="1"/>
        <v>0</v>
      </c>
    </row>
    <row r="18" spans="1:6" ht="13.7" customHeight="1" x14ac:dyDescent="0.2">
      <c r="A18" s="714" t="s">
        <v>786</v>
      </c>
      <c r="B18" s="1768">
        <f>SUM('Revenues 9-14'!C11:K11)</f>
        <v>0</v>
      </c>
      <c r="C18" s="583">
        <v>0</v>
      </c>
      <c r="D18" s="1771">
        <f t="shared" si="0"/>
        <v>0</v>
      </c>
      <c r="E18" s="583">
        <v>0</v>
      </c>
      <c r="F18" s="1771">
        <f t="shared" si="1"/>
        <v>0</v>
      </c>
    </row>
    <row r="19" spans="1:6" ht="13.7" customHeight="1" thickBot="1" x14ac:dyDescent="0.25">
      <c r="A19" s="1772" t="s">
        <v>1223</v>
      </c>
      <c r="B19" s="1769">
        <f>SUM(B4:B18)</f>
        <v>16852153</v>
      </c>
      <c r="C19" s="1769">
        <f>SUM(C4:C18)</f>
        <v>6870</v>
      </c>
      <c r="D19" s="1769">
        <f>SUM(D4:D18)</f>
        <v>16845283</v>
      </c>
      <c r="E19" s="1769">
        <f>SUM(E4:E18)</f>
        <v>18851015</v>
      </c>
      <c r="F19" s="1769">
        <f>SUM(F4:F18)</f>
        <v>18844145</v>
      </c>
    </row>
    <row r="20" spans="1:6" ht="13.5" thickTop="1" x14ac:dyDescent="0.2">
      <c r="B20" s="712"/>
      <c r="F20" s="715"/>
    </row>
    <row r="21" spans="1:6" x14ac:dyDescent="0.2">
      <c r="A21" s="716" t="s">
        <v>1912</v>
      </c>
      <c r="B21" s="717"/>
      <c r="F21" s="715"/>
    </row>
    <row r="22" spans="1:6" x14ac:dyDescent="0.2">
      <c r="A22" s="718" t="s">
        <v>649</v>
      </c>
      <c r="B22" s="719"/>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401" customWidth="1"/>
    <col min="2" max="2" width="12.140625" style="721" customWidth="1"/>
    <col min="3" max="5" width="16.7109375" style="721"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408" t="s">
        <v>650</v>
      </c>
      <c r="B1" s="2406"/>
      <c r="C1" s="720"/>
    </row>
    <row r="2" spans="1:7" ht="33.75" x14ac:dyDescent="0.2">
      <c r="A2" s="2413" t="s">
        <v>1902</v>
      </c>
      <c r="B2" s="2414"/>
      <c r="C2" s="1905" t="s">
        <v>2035</v>
      </c>
      <c r="D2" s="722" t="s">
        <v>2042</v>
      </c>
      <c r="E2" s="722" t="s">
        <v>2043</v>
      </c>
      <c r="F2" s="1905" t="s">
        <v>2036</v>
      </c>
    </row>
    <row r="3" spans="1:7" ht="15.75" customHeight="1" x14ac:dyDescent="0.2">
      <c r="A3" s="2415" t="s">
        <v>1176</v>
      </c>
      <c r="B3" s="2416"/>
      <c r="C3" s="2409"/>
      <c r="D3" s="2410"/>
      <c r="E3" s="2410"/>
      <c r="F3" s="2411"/>
    </row>
    <row r="4" spans="1:7" ht="12.75" customHeight="1" thickBot="1" x14ac:dyDescent="0.25">
      <c r="A4" s="2403" t="s">
        <v>651</v>
      </c>
      <c r="B4" s="2404"/>
      <c r="C4" s="579"/>
      <c r="D4" s="579"/>
      <c r="E4" s="579"/>
      <c r="F4" s="1773">
        <f>SUM(C4+D4)-E4</f>
        <v>0</v>
      </c>
    </row>
    <row r="5" spans="1:7" ht="15.75" customHeight="1" thickTop="1" x14ac:dyDescent="0.2">
      <c r="A5" s="2407" t="s">
        <v>1172</v>
      </c>
      <c r="B5" s="2402"/>
      <c r="C5" s="2396"/>
      <c r="D5" s="2397"/>
      <c r="E5" s="2397"/>
      <c r="F5" s="2398"/>
    </row>
    <row r="6" spans="1:7" ht="12.75" customHeight="1" thickBot="1" x14ac:dyDescent="0.25">
      <c r="A6" s="723" t="s">
        <v>66</v>
      </c>
      <c r="B6" s="724"/>
      <c r="C6" s="725"/>
      <c r="D6" s="583"/>
      <c r="E6" s="725"/>
      <c r="F6" s="1773">
        <f t="shared" ref="F6:F14" si="0">SUM(C6+D6)-E6</f>
        <v>0</v>
      </c>
    </row>
    <row r="7" spans="1:7" ht="12.75" customHeight="1" thickTop="1" thickBot="1" x14ac:dyDescent="0.25">
      <c r="A7" s="723" t="s">
        <v>6</v>
      </c>
      <c r="B7" s="724"/>
      <c r="C7" s="725"/>
      <c r="D7" s="583"/>
      <c r="E7" s="725"/>
      <c r="F7" s="1773">
        <f t="shared" si="0"/>
        <v>0</v>
      </c>
    </row>
    <row r="8" spans="1:7" ht="12.75" customHeight="1" thickTop="1" thickBot="1" x14ac:dyDescent="0.25">
      <c r="A8" s="723" t="s">
        <v>529</v>
      </c>
      <c r="B8" s="724"/>
      <c r="C8" s="725"/>
      <c r="D8" s="583"/>
      <c r="E8" s="725"/>
      <c r="F8" s="1773">
        <f t="shared" si="0"/>
        <v>0</v>
      </c>
    </row>
    <row r="9" spans="1:7" ht="12.75" customHeight="1" thickTop="1" thickBot="1" x14ac:dyDescent="0.25">
      <c r="A9" s="723" t="s">
        <v>530</v>
      </c>
      <c r="B9" s="724"/>
      <c r="C9" s="725"/>
      <c r="D9" s="583"/>
      <c r="E9" s="725"/>
      <c r="F9" s="1773">
        <f t="shared" si="0"/>
        <v>0</v>
      </c>
    </row>
    <row r="10" spans="1:7" ht="12.75" customHeight="1" thickTop="1" thickBot="1" x14ac:dyDescent="0.25">
      <c r="A10" s="723" t="s">
        <v>531</v>
      </c>
      <c r="B10" s="724"/>
      <c r="C10" s="725"/>
      <c r="D10" s="583"/>
      <c r="E10" s="725"/>
      <c r="F10" s="1773">
        <f t="shared" si="0"/>
        <v>0</v>
      </c>
    </row>
    <row r="11" spans="1:7" ht="12.75" customHeight="1" thickTop="1" thickBot="1" x14ac:dyDescent="0.25">
      <c r="A11" s="723" t="s">
        <v>359</v>
      </c>
      <c r="B11" s="724"/>
      <c r="C11" s="725"/>
      <c r="D11" s="583"/>
      <c r="E11" s="725"/>
      <c r="F11" s="1773">
        <f t="shared" si="0"/>
        <v>0</v>
      </c>
    </row>
    <row r="12" spans="1:7" ht="12.75" customHeight="1" thickTop="1" thickBot="1" x14ac:dyDescent="0.25">
      <c r="A12" s="723" t="s">
        <v>1219</v>
      </c>
      <c r="B12" s="724"/>
      <c r="C12" s="725"/>
      <c r="D12" s="583"/>
      <c r="E12" s="725"/>
      <c r="F12" s="1773">
        <f t="shared" si="0"/>
        <v>0</v>
      </c>
    </row>
    <row r="13" spans="1:7" ht="12.75" customHeight="1" thickTop="1" thickBot="1" x14ac:dyDescent="0.25">
      <c r="A13" s="723" t="s">
        <v>406</v>
      </c>
      <c r="B13" s="724"/>
      <c r="C13" s="725"/>
      <c r="D13" s="583"/>
      <c r="E13" s="725"/>
      <c r="F13" s="1773">
        <f t="shared" si="0"/>
        <v>0</v>
      </c>
    </row>
    <row r="14" spans="1:7" ht="12.75" customHeight="1" thickTop="1" thickBot="1" x14ac:dyDescent="0.25">
      <c r="A14" s="723" t="s">
        <v>468</v>
      </c>
      <c r="B14" s="724"/>
      <c r="C14" s="725"/>
      <c r="D14" s="583"/>
      <c r="E14" s="725"/>
      <c r="F14" s="1773">
        <f t="shared" si="0"/>
        <v>0</v>
      </c>
    </row>
    <row r="15" spans="1:7" ht="14.25" thickTop="1" thickBot="1" x14ac:dyDescent="0.25">
      <c r="A15" s="2399" t="s">
        <v>652</v>
      </c>
      <c r="B15" s="2400"/>
      <c r="C15" s="1773">
        <f>SUM(C6:C14)</f>
        <v>0</v>
      </c>
      <c r="D15" s="1773">
        <f>SUM(D6:D14)</f>
        <v>0</v>
      </c>
      <c r="E15" s="1773">
        <f>SUM(E6:E14)</f>
        <v>0</v>
      </c>
      <c r="F15" s="1773">
        <f>SUM(F6:F14)</f>
        <v>0</v>
      </c>
      <c r="G15" s="550"/>
    </row>
    <row r="16" spans="1:7" s="202" customFormat="1" ht="15.75" customHeight="1" thickTop="1" x14ac:dyDescent="0.2">
      <c r="A16" s="2412" t="s">
        <v>1173</v>
      </c>
      <c r="B16" s="2402"/>
      <c r="C16" s="2396"/>
      <c r="D16" s="2397"/>
      <c r="E16" s="2397"/>
      <c r="F16" s="2398"/>
    </row>
    <row r="17" spans="1:11" ht="12.75" customHeight="1" thickBot="1" x14ac:dyDescent="0.25">
      <c r="A17" s="2394" t="s">
        <v>66</v>
      </c>
      <c r="B17" s="2395"/>
      <c r="C17" s="725"/>
      <c r="D17" s="583"/>
      <c r="E17" s="725"/>
      <c r="F17" s="1773">
        <f>SUM(C17+D17)-E17</f>
        <v>0</v>
      </c>
    </row>
    <row r="18" spans="1:11" ht="12.75" customHeight="1" thickTop="1" thickBot="1" x14ac:dyDescent="0.25">
      <c r="A18" s="2394" t="s">
        <v>6</v>
      </c>
      <c r="B18" s="2395"/>
      <c r="C18" s="725"/>
      <c r="D18" s="583"/>
      <c r="E18" s="725"/>
      <c r="F18" s="1773">
        <f>SUM(C18+D18)-E18</f>
        <v>0</v>
      </c>
    </row>
    <row r="19" spans="1:11" ht="12.75" customHeight="1" thickTop="1" thickBot="1" x14ac:dyDescent="0.25">
      <c r="A19" s="2394" t="s">
        <v>406</v>
      </c>
      <c r="B19" s="2395"/>
      <c r="C19" s="725"/>
      <c r="D19" s="583"/>
      <c r="E19" s="725"/>
      <c r="F19" s="1773">
        <f>SUM(C19+D19)-E19</f>
        <v>0</v>
      </c>
    </row>
    <row r="20" spans="1:11" ht="12.75" customHeight="1" thickTop="1" thickBot="1" x14ac:dyDescent="0.25">
      <c r="A20" s="2394" t="s">
        <v>468</v>
      </c>
      <c r="B20" s="2395"/>
      <c r="C20" s="725"/>
      <c r="D20" s="583"/>
      <c r="E20" s="725"/>
      <c r="F20" s="1773">
        <f>SUM(C20+D20)-E20</f>
        <v>0</v>
      </c>
    </row>
    <row r="21" spans="1:11" ht="14.25" thickTop="1" thickBot="1" x14ac:dyDescent="0.25">
      <c r="A21" s="2399" t="s">
        <v>653</v>
      </c>
      <c r="B21" s="2400"/>
      <c r="C21" s="1773">
        <f>SUM(C17:C20)</f>
        <v>0</v>
      </c>
      <c r="D21" s="1773">
        <f>SUM(D17:D20)</f>
        <v>0</v>
      </c>
      <c r="E21" s="1773">
        <f>SUM(E17:E20)</f>
        <v>0</v>
      </c>
      <c r="F21" s="1773">
        <f>SUM(F17:F20)</f>
        <v>0</v>
      </c>
      <c r="G21" s="550"/>
    </row>
    <row r="22" spans="1:11" ht="15.75" customHeight="1" thickTop="1" x14ac:dyDescent="0.2">
      <c r="A22" s="2401" t="s">
        <v>1174</v>
      </c>
      <c r="B22" s="2402"/>
      <c r="C22" s="2396"/>
      <c r="D22" s="2397"/>
      <c r="E22" s="2397"/>
      <c r="F22" s="2398"/>
    </row>
    <row r="23" spans="1:11" ht="13.5" thickBot="1" x14ac:dyDescent="0.25">
      <c r="A23" s="2403" t="s">
        <v>654</v>
      </c>
      <c r="B23" s="2404"/>
      <c r="C23" s="579"/>
      <c r="D23" s="579"/>
      <c r="E23" s="579"/>
      <c r="F23" s="1773">
        <f>SUM(C23+D23)-E23</f>
        <v>0</v>
      </c>
      <c r="G23" s="550"/>
    </row>
    <row r="24" spans="1:11" ht="15.75" customHeight="1" thickTop="1" x14ac:dyDescent="0.2">
      <c r="A24" s="2401" t="s">
        <v>1175</v>
      </c>
      <c r="B24" s="2402"/>
      <c r="C24" s="2396"/>
      <c r="D24" s="2397"/>
      <c r="E24" s="2397"/>
      <c r="F24" s="2398"/>
    </row>
    <row r="25" spans="1:11" ht="13.5" thickBot="1" x14ac:dyDescent="0.25">
      <c r="A25" s="2403" t="s">
        <v>655</v>
      </c>
      <c r="B25" s="2404"/>
      <c r="C25" s="579"/>
      <c r="D25" s="579"/>
      <c r="E25" s="579"/>
      <c r="F25" s="1773">
        <f>SUM(C25+D25)-E25</f>
        <v>0</v>
      </c>
      <c r="G25" s="550"/>
    </row>
    <row r="26" spans="1:11" ht="15.75" customHeight="1" thickTop="1" x14ac:dyDescent="0.2">
      <c r="A26" s="2407" t="s">
        <v>678</v>
      </c>
      <c r="B26" s="2402"/>
      <c r="C26" s="726"/>
      <c r="D26" s="726"/>
      <c r="E26" s="726"/>
      <c r="F26" s="727"/>
    </row>
    <row r="27" spans="1:11" ht="13.5" thickBot="1" x14ac:dyDescent="0.25">
      <c r="A27" s="2399" t="s">
        <v>1130</v>
      </c>
      <c r="B27" s="2400"/>
      <c r="C27" s="583"/>
      <c r="D27" s="583"/>
      <c r="E27" s="583"/>
      <c r="F27" s="1773">
        <f>SUM(C27+D27)-E27</f>
        <v>0</v>
      </c>
      <c r="G27" s="550"/>
    </row>
    <row r="28" spans="1:11" ht="7.5" customHeight="1" thickTop="1" x14ac:dyDescent="0.2">
      <c r="A28" s="592"/>
    </row>
    <row r="29" spans="1:11" ht="23.25" customHeight="1" x14ac:dyDescent="0.2">
      <c r="A29" s="2405" t="s">
        <v>603</v>
      </c>
      <c r="B29" s="2406"/>
      <c r="C29" s="728"/>
      <c r="D29" s="728"/>
      <c r="E29" s="728"/>
      <c r="F29" s="728"/>
      <c r="G29" s="728"/>
      <c r="H29" s="728"/>
      <c r="I29" s="728"/>
      <c r="J29" s="728"/>
    </row>
    <row r="30" spans="1:11" ht="33.75" x14ac:dyDescent="0.2">
      <c r="A30" s="1547" t="s">
        <v>1131</v>
      </c>
      <c r="B30" s="729" t="s">
        <v>1186</v>
      </c>
      <c r="C30" s="1906" t="s">
        <v>604</v>
      </c>
      <c r="D30" s="1906" t="s">
        <v>1772</v>
      </c>
      <c r="E30" s="1906" t="s">
        <v>2037</v>
      </c>
      <c r="F30" s="1906" t="s">
        <v>2038</v>
      </c>
      <c r="G30" s="1906" t="s">
        <v>2041</v>
      </c>
      <c r="H30" s="1906" t="s">
        <v>2039</v>
      </c>
      <c r="I30" s="1906" t="s">
        <v>2040</v>
      </c>
      <c r="J30" s="1907" t="s">
        <v>2</v>
      </c>
      <c r="K30" s="730"/>
    </row>
    <row r="31" spans="1:11" ht="12" customHeight="1" x14ac:dyDescent="0.2">
      <c r="A31" s="731" t="s">
        <v>2091</v>
      </c>
      <c r="B31" s="732">
        <v>41165</v>
      </c>
      <c r="C31" s="733">
        <v>4245000</v>
      </c>
      <c r="D31" s="734">
        <v>3</v>
      </c>
      <c r="E31" s="733">
        <v>1780000</v>
      </c>
      <c r="F31" s="733"/>
      <c r="G31" s="733"/>
      <c r="H31" s="733">
        <v>360000</v>
      </c>
      <c r="I31" s="1774">
        <f>((E31+F31)-H31)+G31</f>
        <v>1420000</v>
      </c>
      <c r="J31" s="733">
        <f>I31-103116</f>
        <v>1316884</v>
      </c>
      <c r="K31" s="735"/>
    </row>
    <row r="32" spans="1:11" ht="12" customHeight="1" x14ac:dyDescent="0.2">
      <c r="A32" s="731" t="s">
        <v>2092</v>
      </c>
      <c r="B32" s="732">
        <v>41829</v>
      </c>
      <c r="C32" s="733">
        <v>3030000</v>
      </c>
      <c r="D32" s="734">
        <v>1</v>
      </c>
      <c r="E32" s="733">
        <v>2850000</v>
      </c>
      <c r="F32" s="733"/>
      <c r="G32" s="733"/>
      <c r="H32" s="733">
        <v>80000</v>
      </c>
      <c r="I32" s="1774">
        <f>((E32+F32)-H32)+G32</f>
        <v>2770000</v>
      </c>
      <c r="J32" s="733">
        <f>I32-49329</f>
        <v>2720671</v>
      </c>
      <c r="K32" s="735"/>
    </row>
    <row r="33" spans="1:11" ht="12" customHeight="1" x14ac:dyDescent="0.2">
      <c r="A33" s="731" t="s">
        <v>2093</v>
      </c>
      <c r="B33" s="732">
        <v>41829</v>
      </c>
      <c r="C33" s="733">
        <v>635000</v>
      </c>
      <c r="D33" s="734">
        <v>3</v>
      </c>
      <c r="E33" s="733">
        <v>205000</v>
      </c>
      <c r="F33" s="733"/>
      <c r="G33" s="733"/>
      <c r="H33" s="733">
        <v>205000</v>
      </c>
      <c r="I33" s="1774">
        <f t="shared" ref="I33:I48" si="1">((E33+F33)-H33)+G33</f>
        <v>0</v>
      </c>
      <c r="J33" s="733">
        <f>I33</f>
        <v>0</v>
      </c>
      <c r="K33" s="735"/>
    </row>
    <row r="34" spans="1:11" ht="12" customHeight="1" x14ac:dyDescent="0.2">
      <c r="A34" s="731" t="s">
        <v>2258</v>
      </c>
      <c r="B34" s="732">
        <v>42934</v>
      </c>
      <c r="C34" s="733">
        <v>6600000</v>
      </c>
      <c r="D34" s="734" t="s">
        <v>2321</v>
      </c>
      <c r="E34" s="733"/>
      <c r="F34" s="733">
        <v>6600000</v>
      </c>
      <c r="G34" s="733"/>
      <c r="H34" s="733"/>
      <c r="I34" s="1774">
        <f t="shared" si="1"/>
        <v>6600000</v>
      </c>
      <c r="J34" s="733">
        <f>I34-113191</f>
        <v>6486809</v>
      </c>
      <c r="K34" s="736"/>
    </row>
    <row r="35" spans="1:11" ht="12" customHeight="1" x14ac:dyDescent="0.2">
      <c r="A35" s="731" t="s">
        <v>2259</v>
      </c>
      <c r="B35" s="732">
        <v>42934</v>
      </c>
      <c r="C35" s="737">
        <v>2855000</v>
      </c>
      <c r="D35" s="734">
        <v>6</v>
      </c>
      <c r="E35" s="737"/>
      <c r="F35" s="737">
        <v>2855000</v>
      </c>
      <c r="G35" s="737"/>
      <c r="H35" s="737"/>
      <c r="I35" s="1774">
        <f t="shared" si="1"/>
        <v>2855000</v>
      </c>
      <c r="J35" s="737">
        <f>I35-48825</f>
        <v>2806175</v>
      </c>
      <c r="K35" s="736"/>
    </row>
    <row r="36" spans="1:11" ht="12" customHeight="1" x14ac:dyDescent="0.2">
      <c r="A36" s="731" t="s">
        <v>2260</v>
      </c>
      <c r="B36" s="732">
        <v>43160</v>
      </c>
      <c r="C36" s="733">
        <v>9335000</v>
      </c>
      <c r="D36" s="734">
        <v>6</v>
      </c>
      <c r="E36" s="733"/>
      <c r="F36" s="733">
        <v>9335000</v>
      </c>
      <c r="G36" s="733"/>
      <c r="H36" s="733"/>
      <c r="I36" s="1774">
        <f t="shared" si="1"/>
        <v>9335000</v>
      </c>
      <c r="J36" s="733">
        <f>I36-134</f>
        <v>9334866</v>
      </c>
      <c r="K36" s="738"/>
    </row>
    <row r="37" spans="1:11" ht="12" customHeight="1" x14ac:dyDescent="0.2">
      <c r="A37" s="731" t="s">
        <v>2261</v>
      </c>
      <c r="B37" s="732">
        <v>43160</v>
      </c>
      <c r="C37" s="467">
        <v>1425000</v>
      </c>
      <c r="D37" s="739">
        <v>6</v>
      </c>
      <c r="E37" s="467"/>
      <c r="F37" s="467">
        <v>1425000</v>
      </c>
      <c r="G37" s="467"/>
      <c r="H37" s="467"/>
      <c r="I37" s="1774">
        <f t="shared" si="1"/>
        <v>1425000</v>
      </c>
      <c r="J37" s="467">
        <f>I37-259</f>
        <v>1424741</v>
      </c>
      <c r="K37" s="736"/>
    </row>
    <row r="38" spans="1:11" ht="12" customHeight="1" x14ac:dyDescent="0.2">
      <c r="A38" s="731"/>
      <c r="B38" s="732"/>
      <c r="C38" s="733"/>
      <c r="D38" s="740"/>
      <c r="E38" s="741"/>
      <c r="F38" s="741"/>
      <c r="G38" s="741"/>
      <c r="H38" s="741"/>
      <c r="I38" s="1774">
        <f t="shared" si="1"/>
        <v>0</v>
      </c>
      <c r="J38" s="742" t="s">
        <v>282</v>
      </c>
      <c r="K38" s="743"/>
    </row>
    <row r="39" spans="1:11" ht="12" customHeight="1" x14ac:dyDescent="0.2">
      <c r="A39" s="731"/>
      <c r="B39" s="732"/>
      <c r="C39" s="733"/>
      <c r="D39" s="740"/>
      <c r="E39" s="741"/>
      <c r="F39" s="741"/>
      <c r="G39" s="741"/>
      <c r="H39" s="741"/>
      <c r="I39" s="1774">
        <f t="shared" si="1"/>
        <v>0</v>
      </c>
      <c r="J39" s="742"/>
      <c r="K39" s="743"/>
    </row>
    <row r="40" spans="1:11" ht="12" customHeight="1" x14ac:dyDescent="0.2">
      <c r="A40" s="731"/>
      <c r="B40" s="732"/>
      <c r="C40" s="733"/>
      <c r="D40" s="740"/>
      <c r="E40" s="741"/>
      <c r="F40" s="741"/>
      <c r="G40" s="741"/>
      <c r="H40" s="741"/>
      <c r="I40" s="1774">
        <f t="shared" si="1"/>
        <v>0</v>
      </c>
      <c r="J40" s="742"/>
      <c r="K40" s="743"/>
    </row>
    <row r="41" spans="1:11" ht="12" customHeight="1" x14ac:dyDescent="0.2">
      <c r="A41" s="731"/>
      <c r="B41" s="732"/>
      <c r="C41" s="733"/>
      <c r="D41" s="740"/>
      <c r="E41" s="741"/>
      <c r="F41" s="741"/>
      <c r="G41" s="741"/>
      <c r="H41" s="741"/>
      <c r="I41" s="1774">
        <f t="shared" si="1"/>
        <v>0</v>
      </c>
      <c r="J41" s="742"/>
      <c r="K41" s="743"/>
    </row>
    <row r="42" spans="1:11" ht="12" customHeight="1" x14ac:dyDescent="0.2">
      <c r="A42" s="731"/>
      <c r="B42" s="732"/>
      <c r="C42" s="733"/>
      <c r="D42" s="740"/>
      <c r="E42" s="741"/>
      <c r="F42" s="741"/>
      <c r="G42" s="741"/>
      <c r="H42" s="741"/>
      <c r="I42" s="1774">
        <f t="shared" si="1"/>
        <v>0</v>
      </c>
      <c r="J42" s="742"/>
      <c r="K42" s="743"/>
    </row>
    <row r="43" spans="1:11" ht="12" customHeight="1" x14ac:dyDescent="0.2">
      <c r="A43" s="731"/>
      <c r="B43" s="732"/>
      <c r="C43" s="733"/>
      <c r="D43" s="740"/>
      <c r="E43" s="741"/>
      <c r="F43" s="741"/>
      <c r="G43" s="741"/>
      <c r="H43" s="741"/>
      <c r="I43" s="1774">
        <f t="shared" si="1"/>
        <v>0</v>
      </c>
      <c r="J43" s="742"/>
      <c r="K43" s="743"/>
    </row>
    <row r="44" spans="1:11" ht="12" customHeight="1" x14ac:dyDescent="0.2">
      <c r="A44" s="731"/>
      <c r="B44" s="732"/>
      <c r="C44" s="733"/>
      <c r="D44" s="734"/>
      <c r="E44" s="733"/>
      <c r="F44" s="733"/>
      <c r="G44" s="733"/>
      <c r="H44" s="733"/>
      <c r="I44" s="1774">
        <f t="shared" si="1"/>
        <v>0</v>
      </c>
      <c r="J44" s="733"/>
      <c r="K44" s="736"/>
    </row>
    <row r="45" spans="1:11" ht="12" customHeight="1" x14ac:dyDescent="0.2">
      <c r="A45" s="731"/>
      <c r="B45" s="732"/>
      <c r="C45" s="733"/>
      <c r="D45" s="734"/>
      <c r="E45" s="733"/>
      <c r="F45" s="733"/>
      <c r="G45" s="733"/>
      <c r="H45" s="733"/>
      <c r="I45" s="1774">
        <f t="shared" si="1"/>
        <v>0</v>
      </c>
      <c r="J45" s="733"/>
      <c r="K45" s="736"/>
    </row>
    <row r="46" spans="1:11" ht="12" customHeight="1" x14ac:dyDescent="0.2">
      <c r="A46" s="731"/>
      <c r="B46" s="732"/>
      <c r="C46" s="733"/>
      <c r="D46" s="734"/>
      <c r="E46" s="733"/>
      <c r="F46" s="733"/>
      <c r="G46" s="733"/>
      <c r="H46" s="733"/>
      <c r="I46" s="1774">
        <f t="shared" si="1"/>
        <v>0</v>
      </c>
      <c r="J46" s="733"/>
      <c r="K46" s="736"/>
    </row>
    <row r="47" spans="1:11" ht="12" customHeight="1" x14ac:dyDescent="0.2">
      <c r="A47" s="731"/>
      <c r="B47" s="732"/>
      <c r="C47" s="737"/>
      <c r="D47" s="734"/>
      <c r="E47" s="737"/>
      <c r="F47" s="737"/>
      <c r="G47" s="737"/>
      <c r="H47" s="737"/>
      <c r="I47" s="1774">
        <f t="shared" si="1"/>
        <v>0</v>
      </c>
      <c r="J47" s="737"/>
      <c r="K47" s="736"/>
    </row>
    <row r="48" spans="1:11" ht="12" customHeight="1" x14ac:dyDescent="0.2">
      <c r="A48" s="731"/>
      <c r="B48" s="732"/>
      <c r="C48" s="733"/>
      <c r="D48" s="734"/>
      <c r="E48" s="733"/>
      <c r="F48" s="733"/>
      <c r="G48" s="733"/>
      <c r="H48" s="733"/>
      <c r="I48" s="1774">
        <f t="shared" si="1"/>
        <v>0</v>
      </c>
      <c r="J48" s="733"/>
      <c r="K48" s="736"/>
    </row>
    <row r="49" spans="1:11" ht="12" customHeight="1" x14ac:dyDescent="0.2">
      <c r="A49" s="731"/>
      <c r="B49" s="732"/>
      <c r="C49" s="1774">
        <f>SUM(C31:C48)</f>
        <v>28125000</v>
      </c>
      <c r="D49" s="744"/>
      <c r="E49" s="1774">
        <f t="shared" ref="E49:J49" si="2">SUM(E31:E48)</f>
        <v>4835000</v>
      </c>
      <c r="F49" s="1774">
        <f t="shared" si="2"/>
        <v>20215000</v>
      </c>
      <c r="G49" s="1774">
        <f t="shared" si="2"/>
        <v>0</v>
      </c>
      <c r="H49" s="1774">
        <f t="shared" si="2"/>
        <v>645000</v>
      </c>
      <c r="I49" s="1774">
        <f t="shared" si="2"/>
        <v>24405000</v>
      </c>
      <c r="J49" s="1774">
        <f t="shared" si="2"/>
        <v>24090146</v>
      </c>
      <c r="K49" s="736"/>
    </row>
    <row r="50" spans="1:11" ht="6" customHeight="1" x14ac:dyDescent="0.2">
      <c r="A50" s="745"/>
      <c r="B50" s="735"/>
      <c r="C50" s="735"/>
      <c r="D50" s="735"/>
      <c r="E50" s="735"/>
      <c r="F50" s="735"/>
      <c r="G50" s="735"/>
      <c r="H50" s="735"/>
      <c r="I50" s="735"/>
      <c r="J50" s="745"/>
    </row>
    <row r="51" spans="1:11" x14ac:dyDescent="0.2">
      <c r="A51" s="746" t="s">
        <v>1911</v>
      </c>
      <c r="B51" s="745"/>
      <c r="C51" s="736"/>
      <c r="D51" s="736"/>
      <c r="E51" s="736"/>
      <c r="F51" s="736"/>
      <c r="G51" s="736"/>
      <c r="H51" s="735"/>
      <c r="I51" s="735"/>
      <c r="J51" s="745"/>
    </row>
    <row r="52" spans="1:11" ht="11.25" customHeight="1" x14ac:dyDescent="0.2">
      <c r="A52" s="747" t="s">
        <v>968</v>
      </c>
      <c r="B52" s="2388" t="s">
        <v>605</v>
      </c>
      <c r="C52" s="2389"/>
      <c r="D52" s="2389"/>
      <c r="E52" s="748" t="s">
        <v>900</v>
      </c>
      <c r="F52" s="2390"/>
      <c r="G52" s="2391"/>
      <c r="H52" s="735"/>
      <c r="I52" s="735"/>
      <c r="J52" s="745"/>
    </row>
    <row r="53" spans="1:11" ht="11.25" customHeight="1" x14ac:dyDescent="0.2">
      <c r="A53" s="749" t="s">
        <v>969</v>
      </c>
      <c r="B53" s="750" t="s">
        <v>1008</v>
      </c>
      <c r="C53" s="745"/>
      <c r="D53" s="736"/>
      <c r="E53" s="748" t="s">
        <v>518</v>
      </c>
      <c r="F53" s="2392"/>
      <c r="G53" s="2393"/>
      <c r="H53" s="735"/>
      <c r="I53" s="735"/>
      <c r="J53" s="745"/>
    </row>
    <row r="54" spans="1:11" ht="11.25" customHeight="1" x14ac:dyDescent="0.2">
      <c r="A54" s="751" t="s">
        <v>970</v>
      </c>
      <c r="B54" s="746" t="s">
        <v>1009</v>
      </c>
      <c r="C54" s="745"/>
      <c r="D54" s="736"/>
      <c r="E54" s="748" t="s">
        <v>519</v>
      </c>
      <c r="F54" s="2392"/>
      <c r="G54" s="2393"/>
      <c r="H54" s="735"/>
      <c r="I54" s="735"/>
      <c r="J54" s="745"/>
    </row>
    <row r="55" spans="1:11" ht="6" customHeight="1" x14ac:dyDescent="0.2">
      <c r="A55" s="736"/>
      <c r="B55" s="752"/>
      <c r="C55" s="753"/>
      <c r="D55" s="754"/>
      <c r="E55" s="755"/>
      <c r="F55" s="756"/>
      <c r="G55" s="745"/>
      <c r="H55" s="735"/>
      <c r="I55" s="735"/>
      <c r="J55" s="745"/>
    </row>
    <row r="56" spans="1:11" ht="11.25" customHeight="1" x14ac:dyDescent="0.2">
      <c r="A56" s="752"/>
      <c r="B56" s="757"/>
      <c r="C56" s="736"/>
      <c r="D56" s="736"/>
      <c r="E56" s="736"/>
      <c r="F56" s="736"/>
      <c r="G56" s="735"/>
      <c r="H56" s="735"/>
      <c r="I56" s="735"/>
      <c r="J56" s="745"/>
    </row>
    <row r="57" spans="1:11" ht="11.25" customHeight="1" x14ac:dyDescent="0.2">
      <c r="A57" s="736"/>
      <c r="B57" s="758"/>
      <c r="C57" s="736"/>
      <c r="D57" s="736"/>
      <c r="E57" s="736"/>
      <c r="F57" s="736"/>
      <c r="G57" s="735"/>
      <c r="H57" s="735"/>
      <c r="I57" s="735"/>
      <c r="J57" s="745"/>
    </row>
    <row r="58" spans="1:11" ht="11.25" customHeight="1" x14ac:dyDescent="0.2">
      <c r="A58" s="752"/>
      <c r="B58" s="757"/>
      <c r="C58" s="736"/>
      <c r="D58" s="736"/>
      <c r="E58" s="736"/>
      <c r="F58" s="736"/>
      <c r="G58" s="735"/>
      <c r="H58" s="735"/>
      <c r="I58" s="735"/>
      <c r="J58" s="745"/>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gridLinesSet="0"/>
  <pageMargins left="0.25" right="0.15" top="0.4" bottom="0.25" header="0.17" footer="0.1"/>
  <pageSetup scale="74"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417" t="s">
        <v>911</v>
      </c>
      <c r="B1" s="2418"/>
      <c r="C1" s="2418"/>
      <c r="D1" s="2418"/>
      <c r="E1" s="2418"/>
      <c r="F1" s="2418"/>
      <c r="G1" s="2419"/>
      <c r="H1" s="1548"/>
      <c r="I1" s="759"/>
      <c r="J1" s="433"/>
    </row>
    <row r="2" spans="1:11" ht="26.25" x14ac:dyDescent="0.2">
      <c r="A2" s="2436" t="s">
        <v>1776</v>
      </c>
      <c r="B2" s="2437"/>
      <c r="C2" s="2437"/>
      <c r="D2" s="2437"/>
      <c r="E2" s="2438"/>
      <c r="F2" s="760" t="s">
        <v>960</v>
      </c>
      <c r="G2" s="761" t="s">
        <v>1773</v>
      </c>
      <c r="H2" s="761" t="s">
        <v>430</v>
      </c>
      <c r="I2" s="761" t="s">
        <v>1220</v>
      </c>
      <c r="J2" s="761" t="s">
        <v>1916</v>
      </c>
      <c r="K2" s="761" t="s">
        <v>140</v>
      </c>
    </row>
    <row r="3" spans="1:11" x14ac:dyDescent="0.2">
      <c r="A3" s="2439" t="s">
        <v>1698</v>
      </c>
      <c r="B3" s="2440"/>
      <c r="C3" s="2440"/>
      <c r="D3" s="2440"/>
      <c r="E3" s="2441"/>
      <c r="F3" s="762"/>
      <c r="G3" s="763"/>
      <c r="H3" s="763"/>
      <c r="I3" s="763"/>
      <c r="J3" s="764"/>
      <c r="K3" s="764"/>
    </row>
    <row r="4" spans="1:11" x14ac:dyDescent="0.2">
      <c r="A4" s="2442" t="s">
        <v>387</v>
      </c>
      <c r="B4" s="2443"/>
      <c r="C4" s="2443"/>
      <c r="D4" s="2443"/>
      <c r="E4" s="2389"/>
      <c r="F4" s="765"/>
      <c r="G4" s="766"/>
      <c r="H4" s="767"/>
      <c r="I4" s="766"/>
      <c r="J4" s="768"/>
      <c r="K4" s="768"/>
    </row>
    <row r="5" spans="1:11" x14ac:dyDescent="0.2">
      <c r="A5" s="2420" t="s">
        <v>1129</v>
      </c>
      <c r="B5" s="2421"/>
      <c r="C5" s="2421"/>
      <c r="D5" s="2421"/>
      <c r="E5" s="2422"/>
      <c r="F5" s="769" t="s">
        <v>903</v>
      </c>
      <c r="G5" s="770"/>
      <c r="H5" s="763">
        <v>1054914</v>
      </c>
      <c r="I5" s="771"/>
      <c r="J5" s="772"/>
      <c r="K5" s="772"/>
    </row>
    <row r="6" spans="1:11" x14ac:dyDescent="0.2">
      <c r="A6" s="773" t="s">
        <v>744</v>
      </c>
      <c r="B6" s="774"/>
      <c r="C6" s="774"/>
      <c r="D6" s="774"/>
      <c r="E6" s="775"/>
      <c r="F6" s="776" t="s">
        <v>904</v>
      </c>
      <c r="G6" s="763"/>
      <c r="H6" s="763"/>
      <c r="I6" s="763"/>
      <c r="J6" s="764"/>
      <c r="K6" s="764"/>
    </row>
    <row r="7" spans="1:11" x14ac:dyDescent="0.2">
      <c r="A7" s="777" t="s">
        <v>264</v>
      </c>
      <c r="B7" s="778"/>
      <c r="C7" s="778"/>
      <c r="D7" s="778"/>
      <c r="E7" s="779"/>
      <c r="F7" s="769" t="s">
        <v>905</v>
      </c>
      <c r="G7" s="766"/>
      <c r="H7" s="766"/>
      <c r="I7" s="766"/>
      <c r="J7" s="780"/>
      <c r="K7" s="764">
        <v>28043</v>
      </c>
    </row>
    <row r="8" spans="1:11" x14ac:dyDescent="0.2">
      <c r="A8" s="777" t="s">
        <v>363</v>
      </c>
      <c r="B8" s="778"/>
      <c r="C8" s="778"/>
      <c r="D8" s="778"/>
      <c r="E8" s="779"/>
      <c r="F8" s="769" t="s">
        <v>906</v>
      </c>
      <c r="G8" s="781"/>
      <c r="H8" s="781"/>
      <c r="I8" s="781"/>
      <c r="J8" s="764"/>
      <c r="K8" s="768"/>
    </row>
    <row r="9" spans="1:11" x14ac:dyDescent="0.2">
      <c r="A9" s="777" t="s">
        <v>140</v>
      </c>
      <c r="B9" s="778"/>
      <c r="C9" s="778"/>
      <c r="D9" s="778"/>
      <c r="E9" s="779"/>
      <c r="F9" s="776" t="s">
        <v>908</v>
      </c>
      <c r="G9" s="781"/>
      <c r="H9" s="770"/>
      <c r="I9" s="770"/>
      <c r="J9" s="780"/>
      <c r="K9" s="764">
        <v>21887</v>
      </c>
    </row>
    <row r="10" spans="1:11" x14ac:dyDescent="0.2">
      <c r="A10" s="2420" t="s">
        <v>1917</v>
      </c>
      <c r="B10" s="2421"/>
      <c r="C10" s="2421"/>
      <c r="D10" s="2421"/>
      <c r="E10" s="2423"/>
      <c r="F10" s="782" t="s">
        <v>917</v>
      </c>
      <c r="G10" s="781"/>
      <c r="H10" s="783"/>
      <c r="I10" s="763"/>
      <c r="J10" s="764"/>
      <c r="K10" s="764"/>
    </row>
    <row r="11" spans="1:11" x14ac:dyDescent="0.2">
      <c r="A11" s="2420" t="s">
        <v>162</v>
      </c>
      <c r="B11" s="2421"/>
      <c r="C11" s="2421"/>
      <c r="D11" s="2421"/>
      <c r="E11" s="2422"/>
      <c r="F11" s="769" t="s">
        <v>907</v>
      </c>
      <c r="G11" s="770"/>
      <c r="H11" s="763"/>
      <c r="I11" s="763"/>
      <c r="J11" s="764"/>
      <c r="K11" s="772"/>
    </row>
    <row r="12" spans="1:11" ht="13.5" thickBot="1" x14ac:dyDescent="0.25">
      <c r="A12" s="2447" t="s">
        <v>961</v>
      </c>
      <c r="B12" s="2448"/>
      <c r="C12" s="2448"/>
      <c r="D12" s="2448"/>
      <c r="E12" s="2449"/>
      <c r="F12" s="1775"/>
      <c r="G12" s="1776">
        <f>SUM(G5:G11)</f>
        <v>0</v>
      </c>
      <c r="H12" s="1776">
        <f>SUM(H5:H11)</f>
        <v>1054914</v>
      </c>
      <c r="I12" s="1776">
        <f>SUM(I5:I11)</f>
        <v>0</v>
      </c>
      <c r="J12" s="1776">
        <f>SUM(J5:J11)</f>
        <v>0</v>
      </c>
      <c r="K12" s="1776">
        <f>SUM(K5:K11)</f>
        <v>49930</v>
      </c>
    </row>
    <row r="13" spans="1:11" ht="13.5" thickTop="1" x14ac:dyDescent="0.2">
      <c r="A13" s="2444" t="s">
        <v>388</v>
      </c>
      <c r="B13" s="2445"/>
      <c r="C13" s="2445"/>
      <c r="D13" s="2445"/>
      <c r="E13" s="2446"/>
      <c r="F13" s="784"/>
      <c r="G13" s="785"/>
      <c r="H13" s="786"/>
      <c r="I13" s="787"/>
      <c r="J13" s="787"/>
      <c r="K13" s="787"/>
    </row>
    <row r="14" spans="1:11" x14ac:dyDescent="0.2">
      <c r="A14" s="2427" t="s">
        <v>476</v>
      </c>
      <c r="B14" s="2427"/>
      <c r="C14" s="2427"/>
      <c r="D14" s="2427"/>
      <c r="E14" s="2428"/>
      <c r="F14" s="788" t="s">
        <v>909</v>
      </c>
      <c r="G14" s="781"/>
      <c r="H14" s="763">
        <v>1054914</v>
      </c>
      <c r="I14" s="770"/>
      <c r="J14" s="772"/>
      <c r="K14" s="764">
        <v>49930</v>
      </c>
    </row>
    <row r="15" spans="1:11" x14ac:dyDescent="0.2">
      <c r="A15" s="2421" t="s">
        <v>4</v>
      </c>
      <c r="B15" s="2421"/>
      <c r="C15" s="2421"/>
      <c r="D15" s="2421"/>
      <c r="E15" s="2422"/>
      <c r="F15" s="788" t="s">
        <v>910</v>
      </c>
      <c r="G15" s="770"/>
      <c r="H15" s="763"/>
      <c r="I15" s="763"/>
      <c r="J15" s="764"/>
      <c r="K15" s="764"/>
    </row>
    <row r="16" spans="1:11" x14ac:dyDescent="0.2">
      <c r="A16" s="2421" t="s">
        <v>316</v>
      </c>
      <c r="B16" s="2421"/>
      <c r="C16" s="2421"/>
      <c r="D16" s="2421"/>
      <c r="E16" s="2422"/>
      <c r="F16" s="788" t="s">
        <v>980</v>
      </c>
      <c r="G16" s="771"/>
      <c r="H16" s="766"/>
      <c r="I16" s="766"/>
      <c r="J16" s="768"/>
      <c r="K16" s="768"/>
    </row>
    <row r="17" spans="1:11" x14ac:dyDescent="0.2">
      <c r="A17" s="2452" t="s">
        <v>992</v>
      </c>
      <c r="B17" s="2452"/>
      <c r="C17" s="2452"/>
      <c r="D17" s="2452"/>
      <c r="E17" s="2453"/>
      <c r="F17" s="789"/>
      <c r="G17" s="790"/>
      <c r="H17" s="791"/>
      <c r="I17" s="791"/>
      <c r="J17" s="792"/>
      <c r="K17" s="793"/>
    </row>
    <row r="18" spans="1:11" x14ac:dyDescent="0.2">
      <c r="A18" s="2431" t="s">
        <v>386</v>
      </c>
      <c r="B18" s="2432"/>
      <c r="C18" s="2432"/>
      <c r="D18" s="2432"/>
      <c r="E18" s="2433"/>
      <c r="F18" s="788" t="s">
        <v>989</v>
      </c>
      <c r="G18" s="781"/>
      <c r="H18" s="781"/>
      <c r="I18" s="781"/>
      <c r="J18" s="764"/>
      <c r="K18" s="794"/>
    </row>
    <row r="19" spans="1:11" ht="21.75" customHeight="1" x14ac:dyDescent="0.2">
      <c r="A19" s="2429" t="s">
        <v>1913</v>
      </c>
      <c r="B19" s="2429"/>
      <c r="C19" s="2429"/>
      <c r="D19" s="2429"/>
      <c r="E19" s="2430"/>
      <c r="F19" s="788" t="s">
        <v>990</v>
      </c>
      <c r="G19" s="781"/>
      <c r="H19" s="781"/>
      <c r="I19" s="781"/>
      <c r="J19" s="764"/>
      <c r="K19" s="794"/>
    </row>
    <row r="20" spans="1:11" x14ac:dyDescent="0.2">
      <c r="A20" s="2431" t="s">
        <v>1918</v>
      </c>
      <c r="B20" s="2432"/>
      <c r="C20" s="2432"/>
      <c r="D20" s="2432"/>
      <c r="E20" s="2433"/>
      <c r="F20" s="788" t="s">
        <v>991</v>
      </c>
      <c r="G20" s="781"/>
      <c r="H20" s="781"/>
      <c r="I20" s="781"/>
      <c r="J20" s="764"/>
      <c r="K20" s="794"/>
    </row>
    <row r="21" spans="1:11" ht="13.5" thickBot="1" x14ac:dyDescent="0.25">
      <c r="A21" s="2450" t="s">
        <v>659</v>
      </c>
      <c r="B21" s="2450"/>
      <c r="C21" s="2450"/>
      <c r="D21" s="2450"/>
      <c r="E21" s="2450"/>
      <c r="F21" s="1777"/>
      <c r="G21" s="791"/>
      <c r="H21" s="795"/>
      <c r="I21" s="795"/>
      <c r="J21" s="1778">
        <f>SUM(J18:J20)</f>
        <v>0</v>
      </c>
      <c r="K21" s="792"/>
    </row>
    <row r="22" spans="1:11" ht="13.5" thickTop="1" x14ac:dyDescent="0.2">
      <c r="A22" s="2421" t="s">
        <v>1919</v>
      </c>
      <c r="B22" s="2421"/>
      <c r="C22" s="2421"/>
      <c r="D22" s="2421"/>
      <c r="E22" s="2422"/>
      <c r="F22" s="788" t="s">
        <v>917</v>
      </c>
      <c r="G22" s="781"/>
      <c r="H22" s="763"/>
      <c r="I22" s="763"/>
      <c r="J22" s="796"/>
      <c r="K22" s="764"/>
    </row>
    <row r="23" spans="1:11" ht="13.5" thickBot="1" x14ac:dyDescent="0.25">
      <c r="A23" s="2451" t="s">
        <v>962</v>
      </c>
      <c r="B23" s="2450"/>
      <c r="C23" s="2450"/>
      <c r="D23" s="2450"/>
      <c r="E23" s="2450"/>
      <c r="F23" s="1779"/>
      <c r="G23" s="1776">
        <f>SUM(G14:G16,G21,G22)</f>
        <v>0</v>
      </c>
      <c r="H23" s="1776">
        <f>SUM(H14:H16,H21,H22)</f>
        <v>1054914</v>
      </c>
      <c r="I23" s="1776">
        <f>SUM(I14:I16,I21,I22)</f>
        <v>0</v>
      </c>
      <c r="J23" s="1776">
        <f>SUM(J14:J16,J21,J22)</f>
        <v>0</v>
      </c>
      <c r="K23" s="1776">
        <f>SUM(K14:K16,K21,K22)</f>
        <v>49930</v>
      </c>
    </row>
    <row r="24" spans="1:11" ht="14.25" thickTop="1" thickBot="1" x14ac:dyDescent="0.25">
      <c r="A24" s="2451" t="s">
        <v>2023</v>
      </c>
      <c r="B24" s="2450"/>
      <c r="C24" s="2450"/>
      <c r="D24" s="2450"/>
      <c r="E24" s="2450"/>
      <c r="F24" s="1780"/>
      <c r="G24" s="1781">
        <f>SUM(G3,G12)-G23</f>
        <v>0</v>
      </c>
      <c r="H24" s="1781">
        <f>SUM(H3,H12)-H23</f>
        <v>0</v>
      </c>
      <c r="I24" s="1781">
        <f>SUM(I3,I12)-I23</f>
        <v>0</v>
      </c>
      <c r="J24" s="1781">
        <f>SUM(J3,J12)-J23</f>
        <v>0</v>
      </c>
      <c r="K24" s="1781">
        <f>SUM(K3,K12)-K23</f>
        <v>0</v>
      </c>
    </row>
    <row r="25" spans="1:11" ht="13.5" thickTop="1" x14ac:dyDescent="0.2">
      <c r="A25" s="797" t="s">
        <v>440</v>
      </c>
      <c r="B25" s="798"/>
      <c r="C25" s="798"/>
      <c r="D25" s="798"/>
      <c r="E25" s="799"/>
      <c r="F25" s="800">
        <v>714</v>
      </c>
      <c r="G25" s="801"/>
      <c r="H25" s="801"/>
      <c r="I25" s="801"/>
      <c r="J25" s="796"/>
      <c r="K25" s="796"/>
    </row>
    <row r="26" spans="1:11" ht="13.5" thickBot="1" x14ac:dyDescent="0.25">
      <c r="A26" s="797" t="s">
        <v>360</v>
      </c>
      <c r="B26" s="798"/>
      <c r="C26" s="798"/>
      <c r="D26" s="798"/>
      <c r="E26" s="799"/>
      <c r="F26" s="800">
        <v>730</v>
      </c>
      <c r="G26" s="1776">
        <f>G24-G25</f>
        <v>0</v>
      </c>
      <c r="H26" s="1776">
        <f>H24-H25</f>
        <v>0</v>
      </c>
      <c r="I26" s="1776">
        <f>I24-I25</f>
        <v>0</v>
      </c>
      <c r="J26" s="1776">
        <f>J24-J25</f>
        <v>0</v>
      </c>
      <c r="K26" s="1776">
        <f>K24-K25</f>
        <v>0</v>
      </c>
    </row>
    <row r="27" spans="1:11" ht="5.25" customHeight="1" thickTop="1" x14ac:dyDescent="0.2">
      <c r="I27" s="202"/>
      <c r="J27" s="202"/>
    </row>
    <row r="28" spans="1:11" ht="29.25" customHeight="1" x14ac:dyDescent="0.2">
      <c r="A28" s="1901" t="s">
        <v>2033</v>
      </c>
      <c r="B28" s="1902"/>
      <c r="C28" s="1902"/>
      <c r="D28" s="1902"/>
      <c r="E28" s="1903"/>
      <c r="F28" s="802"/>
      <c r="G28" s="803"/>
    </row>
    <row r="29" spans="1:11" x14ac:dyDescent="0.2">
      <c r="B29" s="499"/>
      <c r="C29" s="499"/>
      <c r="D29" s="499"/>
      <c r="F29" s="202"/>
      <c r="G29" s="804"/>
    </row>
    <row r="30" spans="1:11" x14ac:dyDescent="0.2">
      <c r="A30" s="805" t="s">
        <v>593</v>
      </c>
      <c r="B30" s="806"/>
      <c r="C30" s="805" t="s">
        <v>401</v>
      </c>
      <c r="D30" s="806"/>
      <c r="E30" s="807" t="s">
        <v>792</v>
      </c>
      <c r="F30" s="202"/>
      <c r="G30" s="804"/>
    </row>
    <row r="31" spans="1:11" x14ac:dyDescent="0.2">
      <c r="A31" s="808"/>
      <c r="D31" s="237"/>
      <c r="E31" s="809" t="s">
        <v>793</v>
      </c>
      <c r="F31" s="810" t="s">
        <v>560</v>
      </c>
      <c r="G31" s="763"/>
      <c r="H31" s="2424"/>
      <c r="I31" s="2425"/>
      <c r="J31" s="2425"/>
      <c r="K31" s="2425"/>
    </row>
    <row r="32" spans="1:11" x14ac:dyDescent="0.2">
      <c r="A32" s="808"/>
      <c r="B32" s="237"/>
      <c r="C32" s="237"/>
      <c r="D32" s="237"/>
      <c r="E32" s="804"/>
      <c r="F32" s="810" t="s">
        <v>561</v>
      </c>
      <c r="G32" s="763"/>
      <c r="H32" s="2426"/>
      <c r="I32" s="2425"/>
      <c r="J32" s="2425"/>
      <c r="K32" s="2425"/>
    </row>
    <row r="33" spans="1:11" ht="1.5" customHeight="1" x14ac:dyDescent="0.2">
      <c r="A33" s="811" t="s">
        <v>1231</v>
      </c>
      <c r="B33" s="364"/>
      <c r="C33" s="364"/>
      <c r="D33" s="364"/>
      <c r="E33" s="364"/>
      <c r="F33" s="364"/>
      <c r="G33" s="812"/>
      <c r="H33" s="2426"/>
      <c r="I33" s="2425"/>
      <c r="J33" s="2425"/>
      <c r="K33" s="2425"/>
    </row>
    <row r="34" spans="1:11" x14ac:dyDescent="0.2">
      <c r="A34" s="813" t="s">
        <v>1920</v>
      </c>
      <c r="B34" s="364"/>
      <c r="C34" s="364"/>
      <c r="D34" s="364"/>
      <c r="E34" s="364"/>
      <c r="F34" s="364"/>
      <c r="G34" s="812"/>
    </row>
    <row r="35" spans="1:11" ht="15" x14ac:dyDescent="0.2">
      <c r="A35" s="824" t="s">
        <v>963</v>
      </c>
      <c r="B35" s="814"/>
      <c r="C35" s="814"/>
      <c r="D35" s="814"/>
      <c r="E35" s="814"/>
      <c r="F35" s="814"/>
      <c r="G35" s="815"/>
      <c r="H35" s="816"/>
    </row>
    <row r="36" spans="1:11" x14ac:dyDescent="0.2">
      <c r="A36" s="777" t="s">
        <v>1171</v>
      </c>
      <c r="B36" s="817"/>
      <c r="C36" s="817"/>
      <c r="D36" s="817"/>
      <c r="E36" s="817"/>
      <c r="F36" s="818"/>
      <c r="G36" s="764"/>
    </row>
    <row r="37" spans="1:11" x14ac:dyDescent="0.2">
      <c r="A37" s="819" t="s">
        <v>952</v>
      </c>
      <c r="B37" s="817"/>
      <c r="C37" s="817"/>
      <c r="D37" s="817"/>
      <c r="E37" s="817"/>
      <c r="F37" s="818"/>
      <c r="G37" s="764"/>
    </row>
    <row r="38" spans="1:11" x14ac:dyDescent="0.2">
      <c r="A38" s="819" t="s">
        <v>1050</v>
      </c>
      <c r="B38" s="817"/>
      <c r="C38" s="817"/>
      <c r="D38" s="817"/>
      <c r="E38" s="817"/>
      <c r="F38" s="818"/>
      <c r="G38" s="764"/>
    </row>
    <row r="39" spans="1:11" x14ac:dyDescent="0.2">
      <c r="A39" s="819" t="s">
        <v>1051</v>
      </c>
      <c r="B39" s="817"/>
      <c r="C39" s="817"/>
      <c r="D39" s="817"/>
      <c r="E39" s="817"/>
      <c r="F39" s="818"/>
      <c r="G39" s="764"/>
    </row>
    <row r="40" spans="1:11" x14ac:dyDescent="0.2">
      <c r="A40" s="819" t="s">
        <v>1052</v>
      </c>
      <c r="B40" s="817"/>
      <c r="C40" s="817"/>
      <c r="D40" s="817"/>
      <c r="E40" s="817"/>
      <c r="F40" s="818"/>
      <c r="G40" s="764"/>
    </row>
    <row r="41" spans="1:11" x14ac:dyDescent="0.2">
      <c r="A41" s="2421" t="s">
        <v>562</v>
      </c>
      <c r="B41" s="2434"/>
      <c r="C41" s="2434"/>
      <c r="D41" s="2434"/>
      <c r="E41" s="2434"/>
      <c r="F41" s="2435"/>
      <c r="G41" s="764"/>
    </row>
    <row r="42" spans="1:11" x14ac:dyDescent="0.2">
      <c r="A42" s="819" t="s">
        <v>1027</v>
      </c>
      <c r="B42" s="817"/>
      <c r="C42" s="817"/>
      <c r="D42" s="817"/>
      <c r="E42" s="817"/>
      <c r="F42" s="818"/>
      <c r="G42" s="764"/>
    </row>
    <row r="43" spans="1:11" x14ac:dyDescent="0.2">
      <c r="A43" s="819" t="s">
        <v>1028</v>
      </c>
      <c r="B43" s="817"/>
      <c r="C43" s="817"/>
      <c r="D43" s="817"/>
      <c r="E43" s="817"/>
      <c r="F43" s="818"/>
      <c r="G43" s="764"/>
    </row>
    <row r="44" spans="1:11" x14ac:dyDescent="0.2">
      <c r="A44" s="819" t="s">
        <v>1029</v>
      </c>
      <c r="B44" s="817"/>
      <c r="C44" s="817"/>
      <c r="D44" s="817"/>
      <c r="E44" s="817"/>
      <c r="F44" s="818"/>
      <c r="G44" s="764"/>
    </row>
    <row r="45" spans="1:11" ht="6.75" customHeight="1" x14ac:dyDescent="0.2"/>
    <row r="46" spans="1:11" ht="15" x14ac:dyDescent="0.2">
      <c r="A46" s="1549" t="s">
        <v>1914</v>
      </c>
      <c r="B46" s="408" t="s">
        <v>1774</v>
      </c>
    </row>
    <row r="47" spans="1:11" s="822" customFormat="1" ht="12.75" customHeight="1" x14ac:dyDescent="0.2">
      <c r="A47" s="820"/>
      <c r="B47" s="821" t="s">
        <v>1775</v>
      </c>
      <c r="E47" s="821"/>
      <c r="K47" s="823"/>
    </row>
    <row r="48" spans="1:11" ht="12.75" customHeight="1" x14ac:dyDescent="0.2">
      <c r="A48" s="1550" t="s">
        <v>1915</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807"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456" t="s">
        <v>2032</v>
      </c>
      <c r="B1" s="2457"/>
      <c r="C1" s="2458"/>
      <c r="D1" s="825"/>
      <c r="E1" s="826"/>
      <c r="F1" s="826"/>
      <c r="G1" s="827"/>
      <c r="H1" s="828"/>
      <c r="I1" s="829"/>
      <c r="J1" s="2454"/>
      <c r="K1" s="2455"/>
      <c r="L1" s="2455"/>
    </row>
    <row r="2" spans="1:14" ht="69.75" customHeight="1" x14ac:dyDescent="0.2">
      <c r="A2" s="830" t="s">
        <v>1777</v>
      </c>
      <c r="B2" s="831" t="s">
        <v>396</v>
      </c>
      <c r="C2" s="832" t="s">
        <v>2027</v>
      </c>
      <c r="D2" s="832" t="s">
        <v>2024</v>
      </c>
      <c r="E2" s="832" t="s">
        <v>2025</v>
      </c>
      <c r="F2" s="832" t="s">
        <v>2026</v>
      </c>
      <c r="G2" s="832" t="s">
        <v>626</v>
      </c>
      <c r="H2" s="832" t="s">
        <v>2028</v>
      </c>
      <c r="I2" s="832" t="s">
        <v>2029</v>
      </c>
      <c r="J2" s="832" t="s">
        <v>2044</v>
      </c>
      <c r="K2" s="832" t="s">
        <v>2030</v>
      </c>
      <c r="L2" s="832" t="s">
        <v>2031</v>
      </c>
      <c r="M2" s="833"/>
      <c r="N2" s="833"/>
    </row>
    <row r="3" spans="1:14" ht="13.5" thickBot="1" x14ac:dyDescent="0.25">
      <c r="A3" s="1647" t="s">
        <v>948</v>
      </c>
      <c r="B3" s="1648">
        <v>210</v>
      </c>
      <c r="C3" s="834">
        <v>0</v>
      </c>
      <c r="D3" s="834">
        <v>0</v>
      </c>
      <c r="E3" s="834">
        <v>0</v>
      </c>
      <c r="F3" s="1778">
        <f>(C3+D3)-E3</f>
        <v>0</v>
      </c>
      <c r="G3" s="835"/>
      <c r="H3" s="834">
        <v>0</v>
      </c>
      <c r="I3" s="834">
        <v>0</v>
      </c>
      <c r="J3" s="834">
        <v>0</v>
      </c>
      <c r="K3" s="1787">
        <f>(H3+I3)-J3</f>
        <v>0</v>
      </c>
      <c r="L3" s="1787">
        <f>F3-K3</f>
        <v>0</v>
      </c>
      <c r="M3" s="833"/>
      <c r="N3" s="833"/>
    </row>
    <row r="4" spans="1:14" ht="15" customHeight="1" thickTop="1" x14ac:dyDescent="0.2">
      <c r="A4" s="1649" t="s">
        <v>160</v>
      </c>
      <c r="B4" s="1648">
        <v>220</v>
      </c>
      <c r="C4" s="780"/>
      <c r="D4" s="780"/>
      <c r="E4" s="780"/>
      <c r="F4" s="772"/>
      <c r="G4" s="836"/>
      <c r="H4" s="837"/>
      <c r="I4" s="837"/>
      <c r="J4" s="837"/>
      <c r="K4" s="838"/>
      <c r="L4" s="772"/>
    </row>
    <row r="5" spans="1:14" ht="13.5" thickBot="1" x14ac:dyDescent="0.25">
      <c r="A5" s="777" t="s">
        <v>949</v>
      </c>
      <c r="B5" s="839">
        <v>221</v>
      </c>
      <c r="C5" s="840">
        <v>3514150</v>
      </c>
      <c r="D5" s="840">
        <v>217768</v>
      </c>
      <c r="E5" s="840">
        <v>0</v>
      </c>
      <c r="F5" s="1778">
        <f>(C5+D5)-E5</f>
        <v>3731918</v>
      </c>
      <c r="G5" s="836"/>
      <c r="H5" s="841"/>
      <c r="I5" s="841"/>
      <c r="J5" s="841"/>
      <c r="K5" s="792"/>
      <c r="L5" s="1787">
        <f>F5-K5</f>
        <v>3731918</v>
      </c>
    </row>
    <row r="6" spans="1:14" ht="14.25" thickTop="1" thickBot="1" x14ac:dyDescent="0.25">
      <c r="A6" s="777" t="s">
        <v>1179</v>
      </c>
      <c r="B6" s="839">
        <v>222</v>
      </c>
      <c r="C6" s="764">
        <v>0</v>
      </c>
      <c r="D6" s="764">
        <v>0</v>
      </c>
      <c r="E6" s="764">
        <v>0</v>
      </c>
      <c r="F6" s="1778">
        <f>(C6+D6)-E6</f>
        <v>0</v>
      </c>
      <c r="G6" s="836">
        <v>50</v>
      </c>
      <c r="H6" s="764">
        <v>0</v>
      </c>
      <c r="I6" s="764">
        <v>0</v>
      </c>
      <c r="J6" s="764">
        <v>0</v>
      </c>
      <c r="K6" s="1787">
        <f>(H6+I6)-J6</f>
        <v>0</v>
      </c>
      <c r="L6" s="1787">
        <f>F6-K6</f>
        <v>0</v>
      </c>
    </row>
    <row r="7" spans="1:14" ht="15" customHeight="1" thickTop="1" x14ac:dyDescent="0.2">
      <c r="A7" s="1649" t="s">
        <v>161</v>
      </c>
      <c r="B7" s="1648">
        <v>230</v>
      </c>
      <c r="C7" s="780"/>
      <c r="D7" s="780"/>
      <c r="E7" s="780"/>
      <c r="F7" s="772"/>
      <c r="G7" s="842"/>
      <c r="H7" s="780"/>
      <c r="I7" s="780"/>
      <c r="J7" s="780"/>
      <c r="K7" s="772"/>
      <c r="L7" s="772"/>
    </row>
    <row r="8" spans="1:14" ht="13.5" thickBot="1" x14ac:dyDescent="0.25">
      <c r="A8" s="777" t="s">
        <v>1180</v>
      </c>
      <c r="B8" s="839">
        <v>231</v>
      </c>
      <c r="C8" s="843">
        <v>33307567</v>
      </c>
      <c r="D8" s="843">
        <v>665250</v>
      </c>
      <c r="E8" s="843">
        <v>0</v>
      </c>
      <c r="F8" s="1778">
        <f>(C8+D8)-E8</f>
        <v>33972817</v>
      </c>
      <c r="G8" s="842">
        <v>50</v>
      </c>
      <c r="H8" s="764">
        <v>14125545</v>
      </c>
      <c r="I8" s="764">
        <v>679456</v>
      </c>
      <c r="J8" s="764">
        <v>0</v>
      </c>
      <c r="K8" s="1787">
        <f>(H8+I8)-J8</f>
        <v>14805001</v>
      </c>
      <c r="L8" s="1787">
        <f>F8-K8</f>
        <v>19167816</v>
      </c>
    </row>
    <row r="9" spans="1:14" ht="14.25" thickTop="1" thickBot="1" x14ac:dyDescent="0.25">
      <c r="A9" s="777" t="s">
        <v>1181</v>
      </c>
      <c r="B9" s="839">
        <v>232</v>
      </c>
      <c r="C9" s="764">
        <v>0</v>
      </c>
      <c r="D9" s="764">
        <v>0</v>
      </c>
      <c r="E9" s="764">
        <v>0</v>
      </c>
      <c r="F9" s="1778">
        <f>(C9+D9)-E9</f>
        <v>0</v>
      </c>
      <c r="G9" s="842">
        <v>20</v>
      </c>
      <c r="H9" s="764">
        <v>0</v>
      </c>
      <c r="I9" s="764">
        <v>0</v>
      </c>
      <c r="J9" s="764">
        <v>0</v>
      </c>
      <c r="K9" s="1787">
        <f>(H9+I9)-J9</f>
        <v>0</v>
      </c>
      <c r="L9" s="1787">
        <f>F9-K9</f>
        <v>0</v>
      </c>
    </row>
    <row r="10" spans="1:14" ht="24" thickTop="1" thickBot="1" x14ac:dyDescent="0.25">
      <c r="A10" s="844" t="s">
        <v>1182</v>
      </c>
      <c r="B10" s="839">
        <v>240</v>
      </c>
      <c r="C10" s="845">
        <v>3276620</v>
      </c>
      <c r="D10" s="845">
        <v>111916</v>
      </c>
      <c r="E10" s="845">
        <v>0</v>
      </c>
      <c r="F10" s="1782">
        <f>(C10+D10)-E10</f>
        <v>3388536</v>
      </c>
      <c r="G10" s="842">
        <v>20</v>
      </c>
      <c r="H10" s="846">
        <v>1822980</v>
      </c>
      <c r="I10" s="846">
        <v>103890</v>
      </c>
      <c r="J10" s="846">
        <v>0</v>
      </c>
      <c r="K10" s="1787">
        <f>(H10+I10)-J10</f>
        <v>1926870</v>
      </c>
      <c r="L10" s="1787">
        <f>F10-K10</f>
        <v>1461666</v>
      </c>
    </row>
    <row r="11" spans="1:14" ht="13.5" thickTop="1" x14ac:dyDescent="0.2">
      <c r="A11" s="1650" t="s">
        <v>1198</v>
      </c>
      <c r="B11" s="1648">
        <v>250</v>
      </c>
      <c r="C11" s="780"/>
      <c r="D11" s="780"/>
      <c r="E11" s="780"/>
      <c r="F11" s="772"/>
      <c r="G11" s="842"/>
      <c r="H11" s="780"/>
      <c r="I11" s="780"/>
      <c r="J11" s="780"/>
      <c r="K11" s="772"/>
      <c r="L11" s="772"/>
    </row>
    <row r="12" spans="1:14" ht="13.5" thickBot="1" x14ac:dyDescent="0.25">
      <c r="A12" s="847" t="s">
        <v>1183</v>
      </c>
      <c r="B12" s="839">
        <v>251</v>
      </c>
      <c r="C12" s="843">
        <v>2595524</v>
      </c>
      <c r="D12" s="843">
        <v>129729</v>
      </c>
      <c r="E12" s="843">
        <v>452642</v>
      </c>
      <c r="F12" s="1778">
        <f>(C12+D12)-E12</f>
        <v>2272611</v>
      </c>
      <c r="G12" s="842">
        <v>10</v>
      </c>
      <c r="H12" s="764">
        <v>1620725</v>
      </c>
      <c r="I12" s="764">
        <v>227264</v>
      </c>
      <c r="J12" s="764">
        <v>452642</v>
      </c>
      <c r="K12" s="1787">
        <f>(H12+I12)-J12</f>
        <v>1395347</v>
      </c>
      <c r="L12" s="1787">
        <f>F12-K12</f>
        <v>877264</v>
      </c>
    </row>
    <row r="13" spans="1:14" ht="14.25" thickTop="1" thickBot="1" x14ac:dyDescent="0.25">
      <c r="A13" s="847" t="s">
        <v>1184</v>
      </c>
      <c r="B13" s="839">
        <v>252</v>
      </c>
      <c r="C13" s="843">
        <v>3145</v>
      </c>
      <c r="D13" s="843">
        <v>0</v>
      </c>
      <c r="E13" s="843">
        <v>0</v>
      </c>
      <c r="F13" s="1778">
        <f>(C13+D13)-E13</f>
        <v>3145</v>
      </c>
      <c r="G13" s="842">
        <v>5</v>
      </c>
      <c r="H13" s="764">
        <v>1887</v>
      </c>
      <c r="I13" s="764">
        <v>629</v>
      </c>
      <c r="J13" s="764"/>
      <c r="K13" s="1787">
        <f>(H13+I13)-J13</f>
        <v>2516</v>
      </c>
      <c r="L13" s="1787">
        <f>F13-K13</f>
        <v>629</v>
      </c>
    </row>
    <row r="14" spans="1:14" ht="14.25" thickTop="1" thickBot="1" x14ac:dyDescent="0.25">
      <c r="A14" s="847" t="s">
        <v>1185</v>
      </c>
      <c r="B14" s="839">
        <v>253</v>
      </c>
      <c r="C14" s="764">
        <v>91320</v>
      </c>
      <c r="D14" s="764">
        <v>0</v>
      </c>
      <c r="E14" s="764">
        <v>0</v>
      </c>
      <c r="F14" s="1778">
        <f>(C14+D14)-E14</f>
        <v>91320</v>
      </c>
      <c r="G14" s="842">
        <v>3</v>
      </c>
      <c r="H14" s="764">
        <v>87783</v>
      </c>
      <c r="I14" s="764">
        <v>2408</v>
      </c>
      <c r="J14" s="764"/>
      <c r="K14" s="1787">
        <f>(H14+I14)-J14</f>
        <v>90191</v>
      </c>
      <c r="L14" s="1787">
        <f>F14-K14</f>
        <v>1129</v>
      </c>
    </row>
    <row r="15" spans="1:14" ht="15" customHeight="1" thickTop="1" thickBot="1" x14ac:dyDescent="0.25">
      <c r="A15" s="1649" t="s">
        <v>549</v>
      </c>
      <c r="B15" s="1648">
        <v>260</v>
      </c>
      <c r="C15" s="843">
        <v>539933</v>
      </c>
      <c r="D15" s="843">
        <v>7172468</v>
      </c>
      <c r="E15" s="843">
        <v>0</v>
      </c>
      <c r="F15" s="1778">
        <f>(C15+D15)-E15</f>
        <v>7712401</v>
      </c>
      <c r="G15" s="848" t="s">
        <v>917</v>
      </c>
      <c r="H15" s="780"/>
      <c r="I15" s="780"/>
      <c r="J15" s="780"/>
      <c r="K15" s="780"/>
      <c r="L15" s="1787">
        <f>F15-K15</f>
        <v>7712401</v>
      </c>
    </row>
    <row r="16" spans="1:14" ht="15" customHeight="1" thickTop="1" thickBot="1" x14ac:dyDescent="0.25">
      <c r="A16" s="1783" t="s">
        <v>664</v>
      </c>
      <c r="B16" s="1784">
        <v>200</v>
      </c>
      <c r="C16" s="1778">
        <f>SUM(C3,C5:C6,C8:C10,C12:C15)</f>
        <v>43328259</v>
      </c>
      <c r="D16" s="1778">
        <f>SUM(D3,D5:D6,D8:D10,D12:D15)</f>
        <v>8297131</v>
      </c>
      <c r="E16" s="1778">
        <f>SUM(E3,E5:E6,E8:E10,E12:E15)</f>
        <v>452642</v>
      </c>
      <c r="F16" s="1778">
        <f>SUM(F3,F5:F6,F8:F10,F12:F15)</f>
        <v>51172748</v>
      </c>
      <c r="G16" s="842"/>
      <c r="H16" s="1778">
        <f>SUM(H3,H6,H8:H10,H12:H14,)</f>
        <v>17658920</v>
      </c>
      <c r="I16" s="1778">
        <f>SUM(I3,I6,I8:I10,I12:I14,)</f>
        <v>1013647</v>
      </c>
      <c r="J16" s="1778">
        <f>SUM(J3,J6,J8:J10,J12:J14,)</f>
        <v>452642</v>
      </c>
      <c r="K16" s="1778">
        <f>(H16+I16)-J16</f>
        <v>18219925</v>
      </c>
      <c r="L16" s="1778">
        <f>F16-K16</f>
        <v>32952823</v>
      </c>
    </row>
    <row r="17" spans="1:12" ht="15" customHeight="1" thickTop="1" thickBot="1" x14ac:dyDescent="0.25">
      <c r="A17" s="1651" t="s">
        <v>309</v>
      </c>
      <c r="B17" s="1648">
        <v>700</v>
      </c>
      <c r="C17" s="768"/>
      <c r="D17" s="768"/>
      <c r="E17" s="768"/>
      <c r="F17" s="1778">
        <f>SUM('Expenditures 15-22'!I114,'Expenditures 15-22'!I151,'Expenditures 15-22'!I210,'Expenditures 15-22'!I312,'Expenditures 15-22'!I342,'Expenditures 15-22'!I367)</f>
        <v>1787</v>
      </c>
      <c r="G17" s="836">
        <v>10</v>
      </c>
      <c r="H17" s="768"/>
      <c r="I17" s="1787">
        <f>F17/G17</f>
        <v>178.7</v>
      </c>
      <c r="J17" s="768"/>
      <c r="K17" s="794"/>
      <c r="L17" s="794"/>
    </row>
    <row r="18" spans="1:12" ht="14.25" thickTop="1" thickBot="1" x14ac:dyDescent="0.25">
      <c r="A18" s="1785" t="s">
        <v>706</v>
      </c>
      <c r="B18" s="1786"/>
      <c r="C18" s="770"/>
      <c r="D18" s="770"/>
      <c r="E18" s="770"/>
      <c r="F18" s="849"/>
      <c r="G18" s="850"/>
      <c r="H18" s="772"/>
      <c r="I18" s="1778">
        <f>SUM(I16,I17)</f>
        <v>1013825.7</v>
      </c>
      <c r="J18" s="772"/>
      <c r="K18" s="772"/>
      <c r="L18" s="772"/>
    </row>
    <row r="19" spans="1:12" ht="12" customHeight="1" thickTop="1" x14ac:dyDescent="0.2">
      <c r="F19" s="501"/>
      <c r="L19" s="501"/>
    </row>
    <row r="20" spans="1:12" ht="12" customHeight="1" x14ac:dyDescent="0.2">
      <c r="A20" s="851"/>
      <c r="B20" s="499"/>
      <c r="F20" s="501"/>
      <c r="L20" s="501"/>
    </row>
    <row r="21" spans="1:12" ht="12" customHeight="1" x14ac:dyDescent="0.2">
      <c r="B21" s="499"/>
      <c r="F21" s="501"/>
      <c r="L21" s="501"/>
    </row>
    <row r="22" spans="1:12" ht="12" customHeight="1" x14ac:dyDescent="0.2">
      <c r="B22" s="499"/>
      <c r="F22" s="501"/>
      <c r="L22" s="501"/>
    </row>
    <row r="23" spans="1:12" ht="12" customHeight="1" x14ac:dyDescent="0.2">
      <c r="A23" s="852"/>
      <c r="B23" s="499"/>
      <c r="F23" s="501"/>
      <c r="L23" s="501"/>
    </row>
    <row r="24" spans="1:12" ht="12" customHeight="1" x14ac:dyDescent="0.2">
      <c r="B24" s="499"/>
      <c r="F24" s="501"/>
      <c r="L24" s="501"/>
    </row>
    <row r="25" spans="1:12" x14ac:dyDescent="0.2">
      <c r="F25" s="501"/>
      <c r="L25" s="501"/>
    </row>
    <row r="26" spans="1:12" ht="10.9" customHeight="1" x14ac:dyDescent="0.2">
      <c r="A26" s="853"/>
      <c r="B26" s="247"/>
      <c r="D26" s="347"/>
    </row>
    <row r="27" spans="1:12" x14ac:dyDescent="0.2">
      <c r="A27" s="853"/>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gridLine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H12" sqref="H12"/>
      <selection pane="bottomLeft" activeCell="A6" sqref="A6:F6"/>
    </sheetView>
  </sheetViews>
  <sheetFormatPr defaultColWidth="8.7109375" defaultRowHeight="11.25" x14ac:dyDescent="0.2"/>
  <cols>
    <col min="1" max="1" width="22.140625" style="855" customWidth="1"/>
    <col min="2" max="2" width="31.85546875" style="855" customWidth="1"/>
    <col min="3" max="3" width="6.7109375" style="862" customWidth="1"/>
    <col min="4" max="4" width="55.7109375" style="855" customWidth="1"/>
    <col min="5" max="5" width="3.140625" style="862" customWidth="1"/>
    <col min="6" max="6" width="17.42578125" style="855" customWidth="1"/>
    <col min="7" max="7" width="0.85546875" style="855" customWidth="1"/>
    <col min="8" max="8" width="2.28515625" style="855" customWidth="1"/>
    <col min="9" max="16384" width="8.7109375" style="855"/>
  </cols>
  <sheetData>
    <row r="1" spans="1:7" ht="19.5" customHeight="1" thickTop="1" x14ac:dyDescent="0.2">
      <c r="A1" s="2462" t="s">
        <v>1699</v>
      </c>
      <c r="B1" s="2463"/>
      <c r="C1" s="2463"/>
      <c r="D1" s="2463"/>
      <c r="E1" s="2463"/>
      <c r="F1" s="2464"/>
      <c r="G1" s="854"/>
    </row>
    <row r="2" spans="1:7" ht="15" customHeight="1" thickBot="1" x14ac:dyDescent="0.25">
      <c r="A2" s="2465" t="s">
        <v>498</v>
      </c>
      <c r="B2" s="2466"/>
      <c r="C2" s="2466"/>
      <c r="D2" s="2466"/>
      <c r="E2" s="2466"/>
      <c r="F2" s="2467"/>
      <c r="G2" s="856"/>
    </row>
    <row r="3" spans="1:7" ht="5.25" customHeight="1" thickTop="1" x14ac:dyDescent="0.2">
      <c r="A3" s="857"/>
      <c r="B3" s="858"/>
      <c r="C3" s="859"/>
      <c r="D3" s="858"/>
      <c r="E3" s="859"/>
      <c r="F3" s="858"/>
      <c r="G3" s="858"/>
    </row>
    <row r="4" spans="1:7" ht="12.2" customHeight="1" x14ac:dyDescent="0.2">
      <c r="A4" s="860" t="s">
        <v>1137</v>
      </c>
      <c r="B4" s="861" t="s">
        <v>117</v>
      </c>
      <c r="D4" s="863" t="s">
        <v>532</v>
      </c>
      <c r="F4" s="861" t="s">
        <v>920</v>
      </c>
    </row>
    <row r="5" spans="1:7" ht="7.5" customHeight="1" x14ac:dyDescent="0.2">
      <c r="A5" s="2468"/>
      <c r="B5" s="2469"/>
      <c r="C5" s="2469"/>
      <c r="D5" s="2469"/>
      <c r="E5" s="2469"/>
      <c r="F5" s="2469"/>
    </row>
    <row r="6" spans="1:7" ht="13.5" customHeight="1" thickBot="1" x14ac:dyDescent="0.25">
      <c r="A6" s="2459" t="s">
        <v>1166</v>
      </c>
      <c r="B6" s="2460"/>
      <c r="C6" s="2460"/>
      <c r="D6" s="2460"/>
      <c r="E6" s="2460"/>
      <c r="F6" s="2461"/>
      <c r="G6" s="864"/>
    </row>
    <row r="7" spans="1:7" s="864" customFormat="1" ht="12" thickTop="1" x14ac:dyDescent="0.2">
      <c r="A7" s="865" t="s">
        <v>523</v>
      </c>
      <c r="B7" s="866"/>
      <c r="C7" s="867"/>
      <c r="D7" s="866"/>
      <c r="E7" s="867"/>
      <c r="F7" s="866"/>
    </row>
    <row r="8" spans="1:7" x14ac:dyDescent="0.2">
      <c r="A8" s="868" t="s">
        <v>479</v>
      </c>
      <c r="B8" s="869" t="s">
        <v>1544</v>
      </c>
      <c r="C8" s="870"/>
      <c r="D8" s="868" t="s">
        <v>522</v>
      </c>
      <c r="E8" s="867" t="s">
        <v>1015</v>
      </c>
      <c r="F8" s="1930">
        <f>'Expenditures 15-22'!K114</f>
        <v>21899497</v>
      </c>
      <c r="G8" s="864"/>
    </row>
    <row r="9" spans="1:7" x14ac:dyDescent="0.2">
      <c r="A9" s="868" t="s">
        <v>480</v>
      </c>
      <c r="B9" s="869" t="s">
        <v>1986</v>
      </c>
      <c r="C9" s="870"/>
      <c r="D9" s="868" t="s">
        <v>522</v>
      </c>
      <c r="E9" s="867"/>
      <c r="F9" s="1931">
        <f>'Expenditures 15-22'!K151</f>
        <v>2074046</v>
      </c>
      <c r="G9" s="871"/>
    </row>
    <row r="10" spans="1:7" x14ac:dyDescent="0.2">
      <c r="A10" s="868" t="s">
        <v>520</v>
      </c>
      <c r="B10" s="869" t="s">
        <v>1987</v>
      </c>
      <c r="C10" s="870"/>
      <c r="D10" s="868" t="s">
        <v>522</v>
      </c>
      <c r="E10" s="867"/>
      <c r="F10" s="1931">
        <f>'Expenditures 15-22'!K174</f>
        <v>973582</v>
      </c>
      <c r="G10" s="871"/>
    </row>
    <row r="11" spans="1:7" x14ac:dyDescent="0.2">
      <c r="A11" s="868" t="s">
        <v>481</v>
      </c>
      <c r="B11" s="869" t="s">
        <v>1988</v>
      </c>
      <c r="C11" s="870"/>
      <c r="D11" s="868" t="s">
        <v>522</v>
      </c>
      <c r="E11" s="867"/>
      <c r="F11" s="1931">
        <f>'Expenditures 15-22'!K210</f>
        <v>1183140</v>
      </c>
      <c r="G11" s="871"/>
    </row>
    <row r="12" spans="1:7" x14ac:dyDescent="0.2">
      <c r="A12" s="868" t="s">
        <v>482</v>
      </c>
      <c r="B12" s="869" t="s">
        <v>1989</v>
      </c>
      <c r="C12" s="870"/>
      <c r="D12" s="868" t="s">
        <v>522</v>
      </c>
      <c r="E12" s="867"/>
      <c r="F12" s="1931">
        <f>'Expenditures 15-22'!K295</f>
        <v>541207</v>
      </c>
      <c r="G12" s="871"/>
    </row>
    <row r="13" spans="1:7" x14ac:dyDescent="0.2">
      <c r="A13" s="868" t="s">
        <v>108</v>
      </c>
      <c r="B13" s="869" t="s">
        <v>1990</v>
      </c>
      <c r="C13" s="870"/>
      <c r="D13" s="868" t="s">
        <v>522</v>
      </c>
      <c r="E13" s="867"/>
      <c r="F13" s="1931">
        <f>'Expenditures 15-22'!K342</f>
        <v>0</v>
      </c>
      <c r="G13" s="872"/>
    </row>
    <row r="14" spans="1:7" ht="12" customHeight="1" thickBot="1" x14ac:dyDescent="0.25">
      <c r="A14" s="1788"/>
      <c r="B14" s="1789"/>
      <c r="C14" s="1790"/>
      <c r="D14" s="1791" t="s">
        <v>522</v>
      </c>
      <c r="E14" s="1792" t="s">
        <v>1015</v>
      </c>
      <c r="F14" s="1793">
        <f>SUM(F8:F13)</f>
        <v>26671472</v>
      </c>
      <c r="G14" s="864"/>
    </row>
    <row r="15" spans="1:7" ht="3.75" customHeight="1" thickTop="1" x14ac:dyDescent="0.2">
      <c r="A15" s="864"/>
      <c r="B15" s="864"/>
      <c r="C15" s="870"/>
      <c r="D15" s="864"/>
      <c r="E15" s="867"/>
      <c r="F15" s="864"/>
      <c r="G15" s="864"/>
    </row>
    <row r="16" spans="1:7" ht="12" customHeight="1" x14ac:dyDescent="0.2">
      <c r="A16" s="873" t="s">
        <v>533</v>
      </c>
      <c r="B16" s="231"/>
      <c r="C16" s="231"/>
      <c r="D16" s="866"/>
      <c r="E16" s="867"/>
      <c r="F16" s="866"/>
      <c r="G16" s="864"/>
    </row>
    <row r="17" spans="1:7" ht="4.5" customHeight="1" x14ac:dyDescent="0.2">
      <c r="A17" s="873"/>
      <c r="B17" s="231"/>
      <c r="C17" s="231"/>
      <c r="D17" s="866"/>
      <c r="E17" s="867"/>
      <c r="F17" s="866"/>
      <c r="G17" s="864"/>
    </row>
    <row r="18" spans="1:7" x14ac:dyDescent="0.2">
      <c r="A18" s="868" t="s">
        <v>481</v>
      </c>
      <c r="B18" s="869" t="s">
        <v>1068</v>
      </c>
      <c r="C18" s="874">
        <f>'Revenues 9-14'!B43</f>
        <v>1412</v>
      </c>
      <c r="D18" s="875" t="str">
        <f>'Revenues 9-14'!A43</f>
        <v>Regular - Transp Fees from Other Districts (In State)</v>
      </c>
      <c r="E18" s="867" t="s">
        <v>1015</v>
      </c>
      <c r="F18" s="1932">
        <f>'Revenues 9-14'!F43</f>
        <v>0</v>
      </c>
      <c r="G18" s="864"/>
    </row>
    <row r="19" spans="1:7" x14ac:dyDescent="0.2">
      <c r="A19" s="868" t="s">
        <v>481</v>
      </c>
      <c r="B19" s="869" t="s">
        <v>1069</v>
      </c>
      <c r="C19" s="876">
        <f>'Revenues 9-14'!B47</f>
        <v>1421</v>
      </c>
      <c r="D19" s="877" t="str">
        <f>'Revenues 9-14'!A47</f>
        <v>Summer Sch - Transp. Fees from Pupils or Parents (In State)</v>
      </c>
      <c r="E19" s="878"/>
      <c r="F19" s="1933">
        <f>'Revenues 9-14'!F47</f>
        <v>0</v>
      </c>
      <c r="G19" s="864"/>
    </row>
    <row r="20" spans="1:7" x14ac:dyDescent="0.2">
      <c r="A20" s="868" t="s">
        <v>481</v>
      </c>
      <c r="B20" s="869" t="s">
        <v>1070</v>
      </c>
      <c r="C20" s="874">
        <f>'Revenues 9-14'!B48</f>
        <v>1422</v>
      </c>
      <c r="D20" s="875" t="str">
        <f>'Revenues 9-14'!A48</f>
        <v>Summer Sch - Transp. Fees from Other Districts (In State)</v>
      </c>
      <c r="E20" s="867"/>
      <c r="F20" s="1934">
        <f>'Revenues 9-14'!F48</f>
        <v>0</v>
      </c>
      <c r="G20" s="864"/>
    </row>
    <row r="21" spans="1:7" x14ac:dyDescent="0.2">
      <c r="A21" s="868" t="s">
        <v>481</v>
      </c>
      <c r="B21" s="869" t="s">
        <v>1071</v>
      </c>
      <c r="C21" s="876">
        <f>'Revenues 9-14'!B49</f>
        <v>1423</v>
      </c>
      <c r="D21" s="875" t="str">
        <f>'Revenues 9-14'!A49</f>
        <v>Summer Sch - Transp. Fees from Other Sources (In State)</v>
      </c>
      <c r="E21" s="867"/>
      <c r="F21" s="1935">
        <f>'Revenues 9-14'!F49</f>
        <v>0</v>
      </c>
      <c r="G21" s="864"/>
    </row>
    <row r="22" spans="1:7" x14ac:dyDescent="0.2">
      <c r="A22" s="868" t="s">
        <v>481</v>
      </c>
      <c r="B22" s="869" t="s">
        <v>1072</v>
      </c>
      <c r="C22" s="876">
        <f>'Revenues 9-14'!B50</f>
        <v>1424</v>
      </c>
      <c r="D22" s="875" t="str">
        <f>'Revenues 9-14'!A50</f>
        <v>Summer Sch - Transp. Fees from Other Sources (Out of State)</v>
      </c>
      <c r="E22" s="867"/>
      <c r="F22" s="1935">
        <f>'Revenues 9-14'!F50</f>
        <v>0</v>
      </c>
      <c r="G22" s="864"/>
    </row>
    <row r="23" spans="1:7" x14ac:dyDescent="0.2">
      <c r="A23" s="868" t="s">
        <v>481</v>
      </c>
      <c r="B23" s="869" t="s">
        <v>1073</v>
      </c>
      <c r="C23" s="874">
        <f>'Revenues 9-14'!B52</f>
        <v>1432</v>
      </c>
      <c r="D23" s="875" t="str">
        <f>'Revenues 9-14'!A52</f>
        <v>CTE - Transp Fees from Other Districts (In State)</v>
      </c>
      <c r="E23" s="867"/>
      <c r="F23" s="1935">
        <f>'Revenues 9-14'!F52</f>
        <v>0</v>
      </c>
      <c r="G23" s="864"/>
    </row>
    <row r="24" spans="1:7" x14ac:dyDescent="0.2">
      <c r="A24" s="868" t="s">
        <v>481</v>
      </c>
      <c r="B24" s="869" t="s">
        <v>1074</v>
      </c>
      <c r="C24" s="874">
        <f>'Revenues 9-14'!B56</f>
        <v>1442</v>
      </c>
      <c r="D24" s="875" t="str">
        <f>'Revenues 9-14'!A56</f>
        <v>Special Ed - Transp Fees from Other Districts (In State)</v>
      </c>
      <c r="E24" s="867"/>
      <c r="F24" s="1935">
        <f>'Revenues 9-14'!F56</f>
        <v>0</v>
      </c>
      <c r="G24" s="864"/>
    </row>
    <row r="25" spans="1:7" x14ac:dyDescent="0.2">
      <c r="A25" s="868" t="s">
        <v>481</v>
      </c>
      <c r="B25" s="869" t="s">
        <v>1075</v>
      </c>
      <c r="C25" s="874">
        <f>'Revenues 9-14'!B59</f>
        <v>1451</v>
      </c>
      <c r="D25" s="875" t="str">
        <f>'Revenues 9-14'!A59</f>
        <v>Adult - Transp Fees from Pupils or Parents (In State)</v>
      </c>
      <c r="E25" s="867"/>
      <c r="F25" s="1935">
        <f>'Revenues 9-14'!F59</f>
        <v>0</v>
      </c>
      <c r="G25" s="864"/>
    </row>
    <row r="26" spans="1:7" x14ac:dyDescent="0.2">
      <c r="A26" s="868" t="s">
        <v>481</v>
      </c>
      <c r="B26" s="869" t="s">
        <v>1076</v>
      </c>
      <c r="C26" s="874">
        <f>'Revenues 9-14'!B60</f>
        <v>1452</v>
      </c>
      <c r="D26" s="875" t="str">
        <f>'Revenues 9-14'!A60</f>
        <v>Adult - Transp Fees from Other Districts (In State)</v>
      </c>
      <c r="E26" s="867"/>
      <c r="F26" s="1935">
        <f>'Revenues 9-14'!F60</f>
        <v>0</v>
      </c>
      <c r="G26" s="864"/>
    </row>
    <row r="27" spans="1:7" x14ac:dyDescent="0.2">
      <c r="A27" s="868" t="s">
        <v>481</v>
      </c>
      <c r="B27" s="869" t="s">
        <v>1077</v>
      </c>
      <c r="C27" s="874">
        <f>'Revenues 9-14'!B61</f>
        <v>1453</v>
      </c>
      <c r="D27" s="875" t="str">
        <f>'Revenues 9-14'!A61</f>
        <v>Adult - Transp Fees from Other Sources (In State)</v>
      </c>
      <c r="E27" s="867"/>
      <c r="F27" s="1935">
        <f>'Revenues 9-14'!F61</f>
        <v>0</v>
      </c>
      <c r="G27" s="864"/>
    </row>
    <row r="28" spans="1:7" x14ac:dyDescent="0.2">
      <c r="A28" s="868" t="s">
        <v>481</v>
      </c>
      <c r="B28" s="869" t="s">
        <v>1078</v>
      </c>
      <c r="C28" s="874">
        <f>'Revenues 9-14'!B62</f>
        <v>1454</v>
      </c>
      <c r="D28" s="875" t="str">
        <f>'Revenues 9-14'!A62</f>
        <v>Adult - Transp Fees from Other Sources (Out of State)</v>
      </c>
      <c r="E28" s="867"/>
      <c r="F28" s="1935">
        <f>'Revenues 9-14'!F62</f>
        <v>0</v>
      </c>
      <c r="G28" s="864"/>
    </row>
    <row r="29" spans="1:7" x14ac:dyDescent="0.2">
      <c r="A29" s="868" t="s">
        <v>1159</v>
      </c>
      <c r="B29" s="869" t="s">
        <v>1683</v>
      </c>
      <c r="C29" s="879">
        <f>'Revenues 9-14'!B148</f>
        <v>3410</v>
      </c>
      <c r="D29" s="880" t="str">
        <f>'Revenues 9-14'!A148</f>
        <v>Adult Ed (from ICCB)</v>
      </c>
      <c r="E29" s="867"/>
      <c r="F29" s="1935">
        <f>SUM('Revenues 9-14'!D148,F149)</f>
        <v>0</v>
      </c>
      <c r="G29" s="864"/>
    </row>
    <row r="30" spans="1:7" x14ac:dyDescent="0.2">
      <c r="A30" s="868" t="s">
        <v>1159</v>
      </c>
      <c r="B30" s="869" t="s">
        <v>861</v>
      </c>
      <c r="C30" s="879">
        <f>'Revenues 9-14'!B149</f>
        <v>3499</v>
      </c>
      <c r="D30" s="880" t="str">
        <f>'Revenues 9-14'!A149</f>
        <v>Adult Ed - Other (Describe &amp; Itemize)</v>
      </c>
      <c r="E30" s="867"/>
      <c r="F30" s="1936">
        <f>('Revenues 9-14'!D149+'Revenues 9-14'!F149)</f>
        <v>0</v>
      </c>
      <c r="G30" s="864"/>
    </row>
    <row r="31" spans="1:7" x14ac:dyDescent="0.2">
      <c r="A31" s="868" t="s">
        <v>1159</v>
      </c>
      <c r="B31" s="869" t="s">
        <v>862</v>
      </c>
      <c r="C31" s="874">
        <f>'Revenues 9-14'!B218</f>
        <v>4600</v>
      </c>
      <c r="D31" s="882" t="str">
        <f>'Revenues 9-14'!A218</f>
        <v>Fed - Spec Education - Preschool Flow-Through</v>
      </c>
      <c r="E31" s="883"/>
      <c r="F31" s="1935">
        <f>SUM('Revenues 9-14'!D218,'Revenues 9-14'!F218)</f>
        <v>0</v>
      </c>
      <c r="G31" s="864"/>
    </row>
    <row r="32" spans="1:7" x14ac:dyDescent="0.2">
      <c r="A32" s="868" t="s">
        <v>1159</v>
      </c>
      <c r="B32" s="869" t="s">
        <v>800</v>
      </c>
      <c r="C32" s="874">
        <f>'Revenues 9-14'!B219</f>
        <v>4605</v>
      </c>
      <c r="D32" s="884" t="str">
        <f>'Revenues 9-14'!A219</f>
        <v>Fed - Spec Education - Preschool Discretionary</v>
      </c>
      <c r="E32" s="883"/>
      <c r="F32" s="1935">
        <f>SUM('Revenues 9-14'!D219,'Revenues 9-14'!F219)</f>
        <v>0</v>
      </c>
      <c r="G32" s="864"/>
    </row>
    <row r="33" spans="1:7" x14ac:dyDescent="0.2">
      <c r="A33" s="868" t="s">
        <v>480</v>
      </c>
      <c r="B33" s="869" t="s">
        <v>801</v>
      </c>
      <c r="C33" s="874">
        <f>'Revenues 9-14'!B229</f>
        <v>4810</v>
      </c>
      <c r="D33" s="882" t="str">
        <f>'Revenues 9-14'!A229</f>
        <v>Federal - Adult Education</v>
      </c>
      <c r="E33" s="867"/>
      <c r="F33" s="1935">
        <f>'Revenues 9-14'!D229</f>
        <v>0</v>
      </c>
      <c r="G33" s="864"/>
    </row>
    <row r="34" spans="1:7" x14ac:dyDescent="0.2">
      <c r="A34" s="868" t="s">
        <v>479</v>
      </c>
      <c r="B34" s="868" t="s">
        <v>1545</v>
      </c>
      <c r="C34" s="885" t="str">
        <f>'Expenditures 15-22'!B7</f>
        <v>1125</v>
      </c>
      <c r="D34" s="886" t="str">
        <f>'Expenditures 15-22'!A7</f>
        <v>Pre-K Programs</v>
      </c>
      <c r="E34" s="867"/>
      <c r="F34" s="1935">
        <f>'Expenditures 15-22'!K7-SUM('Expenditures 15-22'!G7,'Expenditures 15-22'!I7)</f>
        <v>0</v>
      </c>
      <c r="G34" s="864"/>
    </row>
    <row r="35" spans="1:7" x14ac:dyDescent="0.2">
      <c r="A35" s="868" t="s">
        <v>479</v>
      </c>
      <c r="B35" s="868" t="s">
        <v>1546</v>
      </c>
      <c r="C35" s="885" t="str">
        <f>'Expenditures 15-22'!B9</f>
        <v>1225</v>
      </c>
      <c r="D35" s="886" t="str">
        <f>'Expenditures 15-22'!A9</f>
        <v>Special Education Programs Pre-K</v>
      </c>
      <c r="E35" s="867"/>
      <c r="F35" s="1935">
        <f>'Expenditures 15-22'!K9-SUM('Expenditures 15-22'!G9+'Expenditures 15-22'!I9)</f>
        <v>0</v>
      </c>
      <c r="G35" s="864"/>
    </row>
    <row r="36" spans="1:7" x14ac:dyDescent="0.2">
      <c r="A36" s="868" t="s">
        <v>479</v>
      </c>
      <c r="B36" s="868" t="s">
        <v>118</v>
      </c>
      <c r="C36" s="885" t="str">
        <f>'Expenditures 15-22'!B11</f>
        <v>1275</v>
      </c>
      <c r="D36" s="886" t="str">
        <f>'Expenditures 15-22'!A11</f>
        <v>Remedial and Supplemental Programs Pre-K</v>
      </c>
      <c r="E36" s="867"/>
      <c r="F36" s="1935">
        <f>'Expenditures 15-22'!K11-SUM('Expenditures 15-22'!G11,'Expenditures 15-22'!I11)</f>
        <v>0</v>
      </c>
      <c r="G36" s="864"/>
    </row>
    <row r="37" spans="1:7" x14ac:dyDescent="0.2">
      <c r="A37" s="868" t="s">
        <v>479</v>
      </c>
      <c r="B37" s="868" t="s">
        <v>1547</v>
      </c>
      <c r="C37" s="885">
        <f>'Expenditures 15-22'!B12</f>
        <v>1300</v>
      </c>
      <c r="D37" s="887" t="str">
        <f>'Expenditures 15-22'!A12</f>
        <v>Adult/Continuing Education Programs</v>
      </c>
      <c r="E37" s="867"/>
      <c r="F37" s="1935">
        <f>'Expenditures 15-22'!K12-SUM('Expenditures 15-22'!G12+'Expenditures 15-22'!I12)</f>
        <v>0</v>
      </c>
      <c r="G37" s="864"/>
    </row>
    <row r="38" spans="1:7" x14ac:dyDescent="0.2">
      <c r="A38" s="868" t="s">
        <v>479</v>
      </c>
      <c r="B38" s="868" t="s">
        <v>1548</v>
      </c>
      <c r="C38" s="885">
        <f>'Expenditures 15-22'!B15</f>
        <v>1600</v>
      </c>
      <c r="D38" s="887" t="str">
        <f>'Expenditures 15-22'!A15</f>
        <v>Summer School Programs</v>
      </c>
      <c r="E38" s="867"/>
      <c r="F38" s="1935">
        <f>'Expenditures 15-22'!K15-SUM('Expenditures 15-22'!G15,'Expenditures 15-22'!I15)</f>
        <v>31507</v>
      </c>
      <c r="G38" s="864"/>
    </row>
    <row r="39" spans="1:7" x14ac:dyDescent="0.2">
      <c r="A39" s="868" t="s">
        <v>479</v>
      </c>
      <c r="B39" s="868" t="s">
        <v>119</v>
      </c>
      <c r="C39" s="885" t="str">
        <f>'Expenditures 15-22'!B20</f>
        <v>1910</v>
      </c>
      <c r="D39" s="887" t="str">
        <f>'Expenditures 15-22'!A20</f>
        <v>Pre-K Programs - Private Tuition</v>
      </c>
      <c r="E39" s="867"/>
      <c r="F39" s="1935">
        <f>'Expenditures 15-22'!K20</f>
        <v>0</v>
      </c>
      <c r="G39" s="864"/>
    </row>
    <row r="40" spans="1:7" x14ac:dyDescent="0.2">
      <c r="A40" s="868" t="s">
        <v>479</v>
      </c>
      <c r="B40" s="868" t="s">
        <v>120</v>
      </c>
      <c r="C40" s="885" t="str">
        <f>'Expenditures 15-22'!B21</f>
        <v>1911</v>
      </c>
      <c r="D40" s="887" t="str">
        <f>'Expenditures 15-22'!A21</f>
        <v>Regular K-12 Programs - Private Tuition</v>
      </c>
      <c r="E40" s="867"/>
      <c r="F40" s="1935">
        <f>'Expenditures 15-22'!K21</f>
        <v>0</v>
      </c>
      <c r="G40" s="864"/>
    </row>
    <row r="41" spans="1:7" x14ac:dyDescent="0.2">
      <c r="A41" s="868" t="s">
        <v>479</v>
      </c>
      <c r="B41" s="868" t="s">
        <v>121</v>
      </c>
      <c r="C41" s="885" t="str">
        <f>'Expenditures 15-22'!B22</f>
        <v>1912</v>
      </c>
      <c r="D41" s="887" t="str">
        <f>'Expenditures 15-22'!A22</f>
        <v>Special Education Programs K-12 - Private Tuition</v>
      </c>
      <c r="E41" s="867"/>
      <c r="F41" s="1935">
        <f>'Expenditures 15-22'!K22</f>
        <v>697592</v>
      </c>
      <c r="G41" s="864"/>
    </row>
    <row r="42" spans="1:7" x14ac:dyDescent="0.2">
      <c r="A42" s="868" t="s">
        <v>479</v>
      </c>
      <c r="B42" s="868" t="s">
        <v>122</v>
      </c>
      <c r="C42" s="888" t="str">
        <f>'Expenditures 15-22'!B23</f>
        <v>1913</v>
      </c>
      <c r="D42" s="887" t="str">
        <f>'Expenditures 15-22'!A23</f>
        <v>Special Education Programs Pre-K - Tuition</v>
      </c>
      <c r="E42" s="867"/>
      <c r="F42" s="1935">
        <f>'Expenditures 15-22'!K23</f>
        <v>0</v>
      </c>
      <c r="G42" s="864"/>
    </row>
    <row r="43" spans="1:7" x14ac:dyDescent="0.2">
      <c r="A43" s="868" t="s">
        <v>479</v>
      </c>
      <c r="B43" s="868" t="s">
        <v>123</v>
      </c>
      <c r="C43" s="885" t="str">
        <f>'Expenditures 15-22'!B24</f>
        <v>1914</v>
      </c>
      <c r="D43" s="887" t="str">
        <f>'Expenditures 15-22'!A24</f>
        <v>Remedial/Supplemental Programs K-12 - Private Tuition</v>
      </c>
      <c r="E43" s="867"/>
      <c r="F43" s="1935">
        <f>'Expenditures 15-22'!K24</f>
        <v>0</v>
      </c>
      <c r="G43" s="864"/>
    </row>
    <row r="44" spans="1:7" x14ac:dyDescent="0.2">
      <c r="A44" s="868" t="s">
        <v>479</v>
      </c>
      <c r="B44" s="868" t="s">
        <v>124</v>
      </c>
      <c r="C44" s="888" t="str">
        <f>'Expenditures 15-22'!B25</f>
        <v>1915</v>
      </c>
      <c r="D44" s="887" t="str">
        <f>'Expenditures 15-22'!A25</f>
        <v>Remedial/Supplemental Programs Pre-K - Private Tuition</v>
      </c>
      <c r="E44" s="867"/>
      <c r="F44" s="1935">
        <f>'Expenditures 15-22'!K25</f>
        <v>0</v>
      </c>
      <c r="G44" s="864"/>
    </row>
    <row r="45" spans="1:7" x14ac:dyDescent="0.2">
      <c r="A45" s="868" t="s">
        <v>479</v>
      </c>
      <c r="B45" s="868" t="s">
        <v>125</v>
      </c>
      <c r="C45" s="888" t="str">
        <f>'Expenditures 15-22'!B26</f>
        <v>1916</v>
      </c>
      <c r="D45" s="887" t="str">
        <f>'Expenditures 15-22'!A26</f>
        <v>Adult/Continuing Education Programs - Private Tuition</v>
      </c>
      <c r="E45" s="867"/>
      <c r="F45" s="1935">
        <f>'Expenditures 15-22'!K26</f>
        <v>0</v>
      </c>
      <c r="G45" s="864"/>
    </row>
    <row r="46" spans="1:7" x14ac:dyDescent="0.2">
      <c r="A46" s="868" t="s">
        <v>479</v>
      </c>
      <c r="B46" s="868" t="s">
        <v>126</v>
      </c>
      <c r="C46" s="885" t="str">
        <f>'Expenditures 15-22'!B27</f>
        <v>1917</v>
      </c>
      <c r="D46" s="887" t="str">
        <f>'Expenditures 15-22'!A27</f>
        <v>CTE Programs - Private Tuition</v>
      </c>
      <c r="E46" s="867"/>
      <c r="F46" s="1935">
        <f>'Expenditures 15-22'!K27</f>
        <v>0</v>
      </c>
      <c r="G46" s="864"/>
    </row>
    <row r="47" spans="1:7" x14ac:dyDescent="0.2">
      <c r="A47" s="868" t="s">
        <v>479</v>
      </c>
      <c r="B47" s="868" t="s">
        <v>127</v>
      </c>
      <c r="C47" s="889" t="str">
        <f>'Expenditures 15-22'!B28</f>
        <v>1918</v>
      </c>
      <c r="D47" s="890" t="str">
        <f>'Expenditures 15-22'!A28</f>
        <v>Interscholastic Programs - Private Tuition</v>
      </c>
      <c r="E47" s="867"/>
      <c r="F47" s="1935">
        <f>'Expenditures 15-22'!K28</f>
        <v>0</v>
      </c>
      <c r="G47" s="864"/>
    </row>
    <row r="48" spans="1:7" x14ac:dyDescent="0.2">
      <c r="A48" s="868" t="s">
        <v>479</v>
      </c>
      <c r="B48" s="868" t="s">
        <v>128</v>
      </c>
      <c r="C48" s="888" t="str">
        <f>'Expenditures 15-22'!B29</f>
        <v>1919</v>
      </c>
      <c r="D48" s="887" t="str">
        <f>'Expenditures 15-22'!A29</f>
        <v>Summer School Programs - Private Tuition</v>
      </c>
      <c r="E48" s="867"/>
      <c r="F48" s="1935">
        <f>'Expenditures 15-22'!K29</f>
        <v>0</v>
      </c>
      <c r="G48" s="864"/>
    </row>
    <row r="49" spans="1:7" x14ac:dyDescent="0.2">
      <c r="A49" s="868" t="s">
        <v>479</v>
      </c>
      <c r="B49" s="868" t="s">
        <v>129</v>
      </c>
      <c r="C49" s="885" t="str">
        <f>'Expenditures 15-22'!B30</f>
        <v>1920</v>
      </c>
      <c r="D49" s="887" t="str">
        <f>'Expenditures 15-22'!A30</f>
        <v>Gifted Programs - Private Tuition</v>
      </c>
      <c r="E49" s="867"/>
      <c r="F49" s="1935">
        <f>'Expenditures 15-22'!K30</f>
        <v>0</v>
      </c>
      <c r="G49" s="864"/>
    </row>
    <row r="50" spans="1:7" x14ac:dyDescent="0.2">
      <c r="A50" s="868" t="s">
        <v>479</v>
      </c>
      <c r="B50" s="868" t="s">
        <v>130</v>
      </c>
      <c r="C50" s="885" t="str">
        <f>'Expenditures 15-22'!B31</f>
        <v>1921</v>
      </c>
      <c r="D50" s="887" t="str">
        <f>'Expenditures 15-22'!A31</f>
        <v>Bilingual Programs - Private Tuition</v>
      </c>
      <c r="E50" s="867"/>
      <c r="F50" s="1935">
        <f>'Expenditures 15-22'!K31</f>
        <v>0</v>
      </c>
      <c r="G50" s="864"/>
    </row>
    <row r="51" spans="1:7" x14ac:dyDescent="0.2">
      <c r="A51" s="868" t="s">
        <v>479</v>
      </c>
      <c r="B51" s="868" t="s">
        <v>1549</v>
      </c>
      <c r="C51" s="885" t="str">
        <f>'Expenditures 15-22'!B32</f>
        <v>1922</v>
      </c>
      <c r="D51" s="887" t="str">
        <f>'Expenditures 15-22'!A32</f>
        <v>Truants Alternative/Optional Ed Progms - Private Tuition</v>
      </c>
      <c r="E51" s="867"/>
      <c r="F51" s="1935">
        <f>'Expenditures 15-22'!K32</f>
        <v>0</v>
      </c>
      <c r="G51" s="864"/>
    </row>
    <row r="52" spans="1:7" x14ac:dyDescent="0.2">
      <c r="A52" s="868" t="s">
        <v>479</v>
      </c>
      <c r="B52" s="868" t="s">
        <v>1550</v>
      </c>
      <c r="C52" s="888" t="str">
        <f>'Expenditures 15-22'!B75</f>
        <v>3000</v>
      </c>
      <c r="D52" s="887" t="s">
        <v>469</v>
      </c>
      <c r="E52" s="867"/>
      <c r="F52" s="1935">
        <f>'Expenditures 15-22'!K75-SUM('Expenditures 15-22'!G75,'Expenditures 15-22'!I75)</f>
        <v>0</v>
      </c>
      <c r="G52" s="864"/>
    </row>
    <row r="53" spans="1:7" x14ac:dyDescent="0.2">
      <c r="A53" s="868" t="s">
        <v>479</v>
      </c>
      <c r="B53" s="868" t="s">
        <v>1551</v>
      </c>
      <c r="C53" s="888">
        <f>'Expenditures 15-22'!B102</f>
        <v>4000</v>
      </c>
      <c r="D53" s="887" t="str">
        <f>'Expenditures 15-22'!A102</f>
        <v>Total Payments to Other Govt Units</v>
      </c>
      <c r="E53" s="867"/>
      <c r="F53" s="1935">
        <f>'Expenditures 15-22'!K102</f>
        <v>174752</v>
      </c>
      <c r="G53" s="864"/>
    </row>
    <row r="54" spans="1:7" x14ac:dyDescent="0.2">
      <c r="A54" s="868" t="s">
        <v>479</v>
      </c>
      <c r="B54" s="868" t="s">
        <v>1552</v>
      </c>
      <c r="C54" s="888" t="s">
        <v>1039</v>
      </c>
      <c r="D54" s="884" t="s">
        <v>1157</v>
      </c>
      <c r="E54" s="867"/>
      <c r="F54" s="1935">
        <f>'Expenditures 15-22'!G114</f>
        <v>57221</v>
      </c>
      <c r="G54" s="864"/>
    </row>
    <row r="55" spans="1:7" x14ac:dyDescent="0.2">
      <c r="A55" s="868" t="s">
        <v>479</v>
      </c>
      <c r="B55" s="868" t="s">
        <v>1553</v>
      </c>
      <c r="C55" s="888" t="s">
        <v>1039</v>
      </c>
      <c r="D55" s="884" t="s">
        <v>309</v>
      </c>
      <c r="E55" s="867"/>
      <c r="F55" s="1935">
        <f>'Expenditures 15-22'!I114</f>
        <v>1787</v>
      </c>
      <c r="G55" s="864"/>
    </row>
    <row r="56" spans="1:7" x14ac:dyDescent="0.2">
      <c r="A56" s="868" t="s">
        <v>480</v>
      </c>
      <c r="B56" s="868" t="s">
        <v>1554</v>
      </c>
      <c r="C56" s="885" t="str">
        <f>'Expenditures 15-22'!B130</f>
        <v>3000</v>
      </c>
      <c r="D56" s="891" t="s">
        <v>469</v>
      </c>
      <c r="E56" s="867"/>
      <c r="F56" s="1935">
        <f>'Expenditures 15-22'!K130-SUM('Expenditures 15-22'!G130+'Expenditures 15-22'!I130)</f>
        <v>0</v>
      </c>
      <c r="G56" s="864"/>
    </row>
    <row r="57" spans="1:7" x14ac:dyDescent="0.2">
      <c r="A57" s="868" t="s">
        <v>480</v>
      </c>
      <c r="B57" s="868" t="s">
        <v>1991</v>
      </c>
      <c r="C57" s="888">
        <f>'Expenditures 15-22'!B139</f>
        <v>4000</v>
      </c>
      <c r="D57" s="886" t="str">
        <f>'Expenditures 15-22'!A139</f>
        <v>Total Payments to Other Govt Units</v>
      </c>
      <c r="E57" s="867"/>
      <c r="F57" s="1935">
        <f>'Expenditures 15-22'!K139</f>
        <v>0</v>
      </c>
      <c r="G57" s="864"/>
    </row>
    <row r="58" spans="1:7" x14ac:dyDescent="0.2">
      <c r="A58" s="868" t="s">
        <v>480</v>
      </c>
      <c r="B58" s="868" t="s">
        <v>1992</v>
      </c>
      <c r="C58" s="885" t="s">
        <v>1039</v>
      </c>
      <c r="D58" s="884" t="s">
        <v>1157</v>
      </c>
      <c r="E58" s="867"/>
      <c r="F58" s="1937">
        <f>'Expenditures 15-22'!G151</f>
        <v>115070</v>
      </c>
      <c r="G58" s="864"/>
    </row>
    <row r="59" spans="1:7" x14ac:dyDescent="0.2">
      <c r="A59" s="892" t="s">
        <v>480</v>
      </c>
      <c r="B59" s="855" t="s">
        <v>1993</v>
      </c>
      <c r="C59" s="893" t="s">
        <v>1039</v>
      </c>
      <c r="D59" s="855" t="s">
        <v>309</v>
      </c>
      <c r="F59" s="1938">
        <f>'Expenditures 15-22'!I151</f>
        <v>0</v>
      </c>
      <c r="G59" s="864"/>
    </row>
    <row r="60" spans="1:7" x14ac:dyDescent="0.2">
      <c r="A60" s="892" t="s">
        <v>520</v>
      </c>
      <c r="B60" s="855" t="s">
        <v>1994</v>
      </c>
      <c r="C60" s="893">
        <v>4000</v>
      </c>
      <c r="D60" s="855" t="s">
        <v>330</v>
      </c>
      <c r="F60" s="1936">
        <f>'Expenditures 15-22'!K160</f>
        <v>0</v>
      </c>
      <c r="G60" s="864"/>
    </row>
    <row r="61" spans="1:7" x14ac:dyDescent="0.2">
      <c r="A61" s="894" t="s">
        <v>520</v>
      </c>
      <c r="B61" s="894" t="s">
        <v>1995</v>
      </c>
      <c r="C61" s="895" t="str">
        <f>'Expenditures 15-22'!B170</f>
        <v>5300</v>
      </c>
      <c r="D61" s="896" t="s">
        <v>329</v>
      </c>
      <c r="E61" s="878"/>
      <c r="F61" s="1935">
        <f>'Expenditures 15-22'!K170</f>
        <v>645000</v>
      </c>
      <c r="G61" s="864"/>
    </row>
    <row r="62" spans="1:7" x14ac:dyDescent="0.2">
      <c r="A62" s="868" t="s">
        <v>481</v>
      </c>
      <c r="B62" s="868" t="s">
        <v>1996</v>
      </c>
      <c r="C62" s="885">
        <f>'Expenditures 15-22'!B185</f>
        <v>3000</v>
      </c>
      <c r="D62" s="875" t="s">
        <v>469</v>
      </c>
      <c r="E62" s="867"/>
      <c r="F62" s="1935">
        <f>'Expenditures 15-22'!K185-SUM('Expenditures 15-22'!G185,'Expenditures 15-22'!I185)</f>
        <v>0</v>
      </c>
      <c r="G62" s="864"/>
    </row>
    <row r="63" spans="1:7" x14ac:dyDescent="0.2">
      <c r="A63" s="868" t="s">
        <v>481</v>
      </c>
      <c r="B63" s="868" t="s">
        <v>1997</v>
      </c>
      <c r="C63" s="885" t="str">
        <f>'Expenditures 15-22'!B196</f>
        <v>4000</v>
      </c>
      <c r="D63" s="886" t="str">
        <f>'Expenditures 15-22'!A196</f>
        <v>Total Payments to Other Govt Units</v>
      </c>
      <c r="E63" s="867"/>
      <c r="F63" s="1935">
        <f>'Expenditures 15-22'!K196</f>
        <v>0</v>
      </c>
      <c r="G63" s="864"/>
    </row>
    <row r="64" spans="1:7" x14ac:dyDescent="0.2">
      <c r="A64" s="894" t="s">
        <v>481</v>
      </c>
      <c r="B64" s="894" t="s">
        <v>1998</v>
      </c>
      <c r="C64" s="895" t="str">
        <f>'Expenditures 15-22'!B206</f>
        <v>5300</v>
      </c>
      <c r="D64" s="891" t="s">
        <v>329</v>
      </c>
      <c r="E64" s="867"/>
      <c r="F64" s="1935">
        <f>'Expenditures 15-22'!K206</f>
        <v>0</v>
      </c>
      <c r="G64" s="864"/>
    </row>
    <row r="65" spans="1:8" x14ac:dyDescent="0.2">
      <c r="A65" s="868" t="s">
        <v>481</v>
      </c>
      <c r="B65" s="868" t="s">
        <v>1999</v>
      </c>
      <c r="C65" s="885" t="s">
        <v>1039</v>
      </c>
      <c r="D65" s="884" t="s">
        <v>1157</v>
      </c>
      <c r="E65" s="867"/>
      <c r="F65" s="1935">
        <f>'Expenditures 15-22'!G210</f>
        <v>0</v>
      </c>
      <c r="G65" s="864"/>
    </row>
    <row r="66" spans="1:8" x14ac:dyDescent="0.2">
      <c r="A66" s="868" t="s">
        <v>481</v>
      </c>
      <c r="B66" s="868" t="s">
        <v>2000</v>
      </c>
      <c r="C66" s="885" t="s">
        <v>1039</v>
      </c>
      <c r="D66" s="884" t="s">
        <v>309</v>
      </c>
      <c r="E66" s="867"/>
      <c r="F66" s="1935">
        <f>'Expenditures 15-22'!I210</f>
        <v>0</v>
      </c>
      <c r="G66" s="864"/>
    </row>
    <row r="67" spans="1:8" x14ac:dyDescent="0.2">
      <c r="A67" s="868" t="s">
        <v>482</v>
      </c>
      <c r="B67" s="868" t="s">
        <v>2001</v>
      </c>
      <c r="C67" s="885" t="str">
        <f>'Expenditures 15-22'!B216</f>
        <v>1125</v>
      </c>
      <c r="D67" s="891" t="str">
        <f>'Expenditures 15-22'!A216</f>
        <v>Pre-K Programs</v>
      </c>
      <c r="E67" s="867"/>
      <c r="F67" s="1935">
        <f>'Expenditures 15-22'!K216</f>
        <v>0</v>
      </c>
      <c r="G67" s="864"/>
    </row>
    <row r="68" spans="1:8" x14ac:dyDescent="0.2">
      <c r="A68" s="868" t="s">
        <v>482</v>
      </c>
      <c r="B68" s="868" t="s">
        <v>1555</v>
      </c>
      <c r="C68" s="885" t="str">
        <f>'Expenditures 15-22'!B218</f>
        <v>1225</v>
      </c>
      <c r="D68" s="891" t="str">
        <f>'Expenditures 15-22'!A218</f>
        <v>Special Education Programs - Pre-K</v>
      </c>
      <c r="E68" s="867"/>
      <c r="F68" s="1935">
        <f>'Expenditures 15-22'!K218</f>
        <v>0</v>
      </c>
      <c r="G68" s="864"/>
    </row>
    <row r="69" spans="1:8" x14ac:dyDescent="0.2">
      <c r="A69" s="868" t="s">
        <v>482</v>
      </c>
      <c r="B69" s="868" t="s">
        <v>2002</v>
      </c>
      <c r="C69" s="885" t="str">
        <f>'Expenditures 15-22'!B220</f>
        <v>1275</v>
      </c>
      <c r="D69" s="891" t="str">
        <f>'Expenditures 15-22'!A220</f>
        <v>Remedial and Supplemental Programs - Pre-K</v>
      </c>
      <c r="E69" s="867"/>
      <c r="F69" s="1935">
        <f>'Expenditures 15-22'!K220</f>
        <v>0</v>
      </c>
      <c r="G69" s="864"/>
    </row>
    <row r="70" spans="1:8" x14ac:dyDescent="0.2">
      <c r="A70" s="868" t="s">
        <v>482</v>
      </c>
      <c r="B70" s="868" t="s">
        <v>2003</v>
      </c>
      <c r="C70" s="885">
        <f>'Expenditures 15-22'!B221</f>
        <v>1300</v>
      </c>
      <c r="D70" s="886" t="str">
        <f>'Expenditures 15-22'!A221</f>
        <v>Adult/Continuing Education Programs</v>
      </c>
      <c r="E70" s="867"/>
      <c r="F70" s="1935">
        <f>'Expenditures 15-22'!K221</f>
        <v>0</v>
      </c>
      <c r="G70" s="864"/>
    </row>
    <row r="71" spans="1:8" x14ac:dyDescent="0.2">
      <c r="A71" s="868" t="s">
        <v>482</v>
      </c>
      <c r="B71" s="868" t="s">
        <v>2004</v>
      </c>
      <c r="C71" s="885">
        <f>'Expenditures 15-22'!B224</f>
        <v>1600</v>
      </c>
      <c r="D71" s="886" t="str">
        <f>'Expenditures 15-22'!A224</f>
        <v>Summer School Programs</v>
      </c>
      <c r="E71" s="867"/>
      <c r="F71" s="1935">
        <f>'Expenditures 15-22'!K224</f>
        <v>353</v>
      </c>
      <c r="G71" s="864"/>
    </row>
    <row r="72" spans="1:8" x14ac:dyDescent="0.2">
      <c r="A72" s="868" t="s">
        <v>482</v>
      </c>
      <c r="B72" s="868" t="s">
        <v>2005</v>
      </c>
      <c r="C72" s="885">
        <f>'Expenditures 15-22'!B280</f>
        <v>3000</v>
      </c>
      <c r="D72" s="875" t="s">
        <v>469</v>
      </c>
      <c r="E72" s="867"/>
      <c r="F72" s="1935">
        <f>'Expenditures 15-22'!K280</f>
        <v>0</v>
      </c>
      <c r="G72" s="864"/>
    </row>
    <row r="73" spans="1:8" x14ac:dyDescent="0.2">
      <c r="A73" s="868" t="s">
        <v>482</v>
      </c>
      <c r="B73" s="868" t="s">
        <v>2006</v>
      </c>
      <c r="C73" s="885" t="str">
        <f>'Expenditures 15-22'!B285</f>
        <v>4000</v>
      </c>
      <c r="D73" s="886" t="str">
        <f>'Expenditures 15-22'!A285</f>
        <v>Total Payments to Other Govt Units</v>
      </c>
      <c r="E73" s="867"/>
      <c r="F73" s="1935">
        <f>'Expenditures 15-22'!K285</f>
        <v>0</v>
      </c>
      <c r="G73" s="864"/>
    </row>
    <row r="74" spans="1:8" x14ac:dyDescent="0.2">
      <c r="A74" s="868" t="s">
        <v>456</v>
      </c>
      <c r="B74" s="868" t="s">
        <v>2007</v>
      </c>
      <c r="C74" s="885" t="s">
        <v>915</v>
      </c>
      <c r="D74" s="886" t="s">
        <v>1567</v>
      </c>
      <c r="E74" s="867"/>
      <c r="F74" s="1939">
        <f>'Expenditures 15-22'!K334</f>
        <v>0</v>
      </c>
      <c r="G74" s="864"/>
    </row>
    <row r="75" spans="1:8" ht="5.25" customHeight="1" x14ac:dyDescent="0.2">
      <c r="A75" s="864"/>
      <c r="B75" s="874"/>
      <c r="C75" s="874"/>
      <c r="D75" s="864"/>
      <c r="E75" s="867"/>
      <c r="F75" s="881"/>
      <c r="G75" s="866"/>
    </row>
    <row r="76" spans="1:8" ht="12" thickBot="1" x14ac:dyDescent="0.25">
      <c r="A76" s="1788"/>
      <c r="B76" s="1794"/>
      <c r="C76" s="1790"/>
      <c r="D76" s="1795" t="s">
        <v>2008</v>
      </c>
      <c r="E76" s="1792" t="s">
        <v>1015</v>
      </c>
      <c r="F76" s="1796">
        <f>SUM(F18:F74)</f>
        <v>1723282</v>
      </c>
      <c r="G76" s="864"/>
    </row>
    <row r="77" spans="1:8" s="892" customFormat="1" ht="12" customHeight="1" thickTop="1" thickBot="1" x14ac:dyDescent="0.25">
      <c r="A77" s="1797"/>
      <c r="B77" s="1794"/>
      <c r="C77" s="1790"/>
      <c r="D77" s="1795" t="s">
        <v>2009</v>
      </c>
      <c r="E77" s="1792"/>
      <c r="F77" s="1798">
        <f>(F14-F76)</f>
        <v>24948190</v>
      </c>
      <c r="G77" s="868"/>
    </row>
    <row r="78" spans="1:8" s="892" customFormat="1" ht="12" customHeight="1" thickTop="1" x14ac:dyDescent="0.2">
      <c r="A78" s="1799"/>
      <c r="B78" s="1794"/>
      <c r="C78" s="1790"/>
      <c r="D78" s="1795" t="s">
        <v>2056</v>
      </c>
      <c r="E78" s="1792"/>
      <c r="F78" s="897">
        <v>1812.75</v>
      </c>
      <c r="G78" s="898"/>
      <c r="H78" s="868"/>
    </row>
    <row r="79" spans="1:8" s="892" customFormat="1" ht="12" customHeight="1" thickBot="1" x14ac:dyDescent="0.25">
      <c r="A79" s="1800"/>
      <c r="B79" s="1794"/>
      <c r="C79" s="1790"/>
      <c r="D79" s="1795" t="s">
        <v>2010</v>
      </c>
      <c r="E79" s="1792" t="s">
        <v>1015</v>
      </c>
      <c r="F79" s="1801">
        <f>IF(F78&gt;0,F77/F78," Complete Line 78")</f>
        <v>13762.620328230589</v>
      </c>
      <c r="G79" s="868"/>
    </row>
    <row r="80" spans="1:8" s="892" customFormat="1" ht="8.25" customHeight="1" thickTop="1" x14ac:dyDescent="0.2">
      <c r="A80" s="899"/>
      <c r="B80" s="868"/>
      <c r="C80" s="870"/>
      <c r="D80" s="900"/>
      <c r="E80" s="867"/>
      <c r="F80" s="901"/>
      <c r="G80" s="868"/>
    </row>
    <row r="81" spans="1:7" s="892" customFormat="1" ht="12" thickBot="1" x14ac:dyDescent="0.25">
      <c r="A81" s="2459" t="s">
        <v>1167</v>
      </c>
      <c r="B81" s="2460"/>
      <c r="C81" s="2460"/>
      <c r="D81" s="2460"/>
      <c r="E81" s="2460"/>
      <c r="F81" s="2461"/>
      <c r="G81" s="868"/>
    </row>
    <row r="82" spans="1:7" s="892" customFormat="1" ht="5.25" customHeight="1" thickTop="1" x14ac:dyDescent="0.2">
      <c r="A82" s="868"/>
      <c r="B82" s="868"/>
      <c r="C82" s="870"/>
      <c r="D82" s="868"/>
      <c r="E82" s="870"/>
      <c r="F82" s="868"/>
      <c r="G82" s="902"/>
    </row>
    <row r="83" spans="1:7" ht="12" customHeight="1" x14ac:dyDescent="0.2">
      <c r="A83" s="903" t="s">
        <v>867</v>
      </c>
      <c r="B83" s="904"/>
      <c r="C83" s="905"/>
      <c r="D83" s="906"/>
      <c r="E83" s="905"/>
      <c r="F83" s="904"/>
      <c r="G83" s="904"/>
    </row>
    <row r="84" spans="1:7" x14ac:dyDescent="0.2">
      <c r="A84" s="907" t="s">
        <v>481</v>
      </c>
      <c r="B84" s="908" t="s">
        <v>148</v>
      </c>
      <c r="C84" s="909">
        <f>'Revenues 9-14'!B42</f>
        <v>1411</v>
      </c>
      <c r="D84" s="910" t="str">
        <f>'Revenues 9-14'!A42</f>
        <v>Regular -Transp Fees from Pupils or Parents (In State)</v>
      </c>
      <c r="E84" s="905" t="s">
        <v>1015</v>
      </c>
      <c r="F84" s="1929">
        <f>'Revenues 9-14'!F42</f>
        <v>0</v>
      </c>
      <c r="G84" s="911"/>
    </row>
    <row r="85" spans="1:7" x14ac:dyDescent="0.2">
      <c r="A85" s="907" t="s">
        <v>481</v>
      </c>
      <c r="B85" s="907" t="s">
        <v>192</v>
      </c>
      <c r="C85" s="912">
        <f>'Revenues 9-14'!B44</f>
        <v>1413</v>
      </c>
      <c r="D85" s="910" t="str">
        <f>'Revenues 9-14'!A44</f>
        <v>Regular - Transp Fees from Other Sources (In State)</v>
      </c>
      <c r="E85" s="905"/>
      <c r="F85" s="1807">
        <f>'Revenues 9-14'!F44</f>
        <v>0</v>
      </c>
      <c r="G85" s="913"/>
    </row>
    <row r="86" spans="1:7" x14ac:dyDescent="0.2">
      <c r="A86" s="907" t="s">
        <v>481</v>
      </c>
      <c r="B86" s="907" t="s">
        <v>168</v>
      </c>
      <c r="C86" s="909">
        <f>'Revenues 9-14'!B45</f>
        <v>1415</v>
      </c>
      <c r="D86" s="910" t="str">
        <f>'Revenues 9-14'!A45</f>
        <v>Regular - Transp Fees from Co-curricular Activities (In State)</v>
      </c>
      <c r="E86" s="905"/>
      <c r="F86" s="1807">
        <f>'Revenues 9-14'!F45</f>
        <v>0</v>
      </c>
      <c r="G86" s="913"/>
    </row>
    <row r="87" spans="1:7" x14ac:dyDescent="0.2">
      <c r="A87" s="907" t="s">
        <v>481</v>
      </c>
      <c r="B87" s="907" t="s">
        <v>169</v>
      </c>
      <c r="C87" s="909">
        <v>1416</v>
      </c>
      <c r="D87" s="910" t="str">
        <f>'Revenues 9-14'!A46</f>
        <v>Regular Transp Fees from Other Sources (Out of State)</v>
      </c>
      <c r="E87" s="905"/>
      <c r="F87" s="1807">
        <f>'Revenues 9-14'!F46</f>
        <v>0</v>
      </c>
      <c r="G87" s="913"/>
    </row>
    <row r="88" spans="1:7" x14ac:dyDescent="0.2">
      <c r="A88" s="907" t="s">
        <v>481</v>
      </c>
      <c r="B88" s="907" t="s">
        <v>170</v>
      </c>
      <c r="C88" s="909">
        <f>'Revenues 9-14'!B51</f>
        <v>1431</v>
      </c>
      <c r="D88" s="910" t="str">
        <f>'Revenues 9-14'!A51</f>
        <v>CTE - Transp Fees from Pupils or Parents (In State)</v>
      </c>
      <c r="E88" s="905"/>
      <c r="F88" s="1807">
        <f>'Revenues 9-14'!F51</f>
        <v>0</v>
      </c>
      <c r="G88" s="913"/>
    </row>
    <row r="89" spans="1:7" x14ac:dyDescent="0.2">
      <c r="A89" s="907" t="s">
        <v>481</v>
      </c>
      <c r="B89" s="907" t="s">
        <v>171</v>
      </c>
      <c r="C89" s="909">
        <f>'Revenues 9-14'!B53</f>
        <v>1433</v>
      </c>
      <c r="D89" s="910" t="str">
        <f>'Revenues 9-14'!A53</f>
        <v>CTE - Transp Fees from Other Sources (In State)</v>
      </c>
      <c r="E89" s="905"/>
      <c r="F89" s="1807">
        <f>'Revenues 9-14'!F53</f>
        <v>0</v>
      </c>
      <c r="G89" s="913"/>
    </row>
    <row r="90" spans="1:7" x14ac:dyDescent="0.2">
      <c r="A90" s="907" t="s">
        <v>481</v>
      </c>
      <c r="B90" s="907" t="s">
        <v>172</v>
      </c>
      <c r="C90" s="909">
        <f>'Revenues 9-14'!B54</f>
        <v>1434</v>
      </c>
      <c r="D90" s="910" t="str">
        <f>'Revenues 9-14'!A54</f>
        <v>CTE - Transp Fees from Other Sources (Out of State)</v>
      </c>
      <c r="E90" s="905"/>
      <c r="F90" s="1807">
        <f>'Revenues 9-14'!F54</f>
        <v>0</v>
      </c>
      <c r="G90" s="913"/>
    </row>
    <row r="91" spans="1:7" x14ac:dyDescent="0.2">
      <c r="A91" s="907" t="s">
        <v>481</v>
      </c>
      <c r="B91" s="907" t="s">
        <v>173</v>
      </c>
      <c r="C91" s="914">
        <f>'Revenues 9-14'!B55</f>
        <v>1441</v>
      </c>
      <c r="D91" s="910" t="str">
        <f>'Revenues 9-14'!A55</f>
        <v>Special Ed - Transp Fees from Pupils or Parents (In State)</v>
      </c>
      <c r="E91" s="905"/>
      <c r="F91" s="1807">
        <f>'Revenues 9-14'!F55</f>
        <v>0</v>
      </c>
      <c r="G91" s="913"/>
    </row>
    <row r="92" spans="1:7" x14ac:dyDescent="0.2">
      <c r="A92" s="907" t="s">
        <v>481</v>
      </c>
      <c r="B92" s="907" t="s">
        <v>174</v>
      </c>
      <c r="C92" s="909">
        <f>'Revenues 9-14'!B57</f>
        <v>1443</v>
      </c>
      <c r="D92" s="910" t="str">
        <f>'Revenues 9-14'!A57</f>
        <v>Special Ed - Transp Fees from Other Sources (In State)</v>
      </c>
      <c r="E92" s="905"/>
      <c r="F92" s="1807">
        <f>'Revenues 9-14'!F57</f>
        <v>0</v>
      </c>
      <c r="G92" s="915"/>
    </row>
    <row r="93" spans="1:7" x14ac:dyDescent="0.2">
      <c r="A93" s="907" t="s">
        <v>481</v>
      </c>
      <c r="B93" s="907" t="s">
        <v>175</v>
      </c>
      <c r="C93" s="909">
        <f>'Revenues 9-14'!B58</f>
        <v>1444</v>
      </c>
      <c r="D93" s="910" t="str">
        <f>'Revenues 9-14'!A58</f>
        <v>Special Ed - Transp Fees from Other Sources (Out of State)</v>
      </c>
      <c r="E93" s="905"/>
      <c r="F93" s="1807">
        <f>'Revenues 9-14'!F58</f>
        <v>0</v>
      </c>
      <c r="G93" s="915"/>
    </row>
    <row r="94" spans="1:7" x14ac:dyDescent="0.2">
      <c r="A94" s="907" t="s">
        <v>479</v>
      </c>
      <c r="B94" s="907" t="s">
        <v>176</v>
      </c>
      <c r="C94" s="909">
        <v>1600</v>
      </c>
      <c r="D94" s="916" t="str">
        <f>'Revenues 9-14'!A75</f>
        <v>Total Food Service</v>
      </c>
      <c r="E94" s="905"/>
      <c r="F94" s="1807">
        <f>'Revenues 9-14'!C75</f>
        <v>468128</v>
      </c>
      <c r="G94" s="911"/>
    </row>
    <row r="95" spans="1:7" x14ac:dyDescent="0.2">
      <c r="A95" s="907" t="s">
        <v>142</v>
      </c>
      <c r="B95" s="907" t="s">
        <v>177</v>
      </c>
      <c r="C95" s="909">
        <v>1700</v>
      </c>
      <c r="D95" s="917" t="str">
        <f>'Revenues 9-14'!A82</f>
        <v>Total District/School Activity Income</v>
      </c>
      <c r="E95" s="905"/>
      <c r="F95" s="1807">
        <f>SUM('Revenues 9-14'!C82,'Revenues 9-14'!D82)</f>
        <v>190821</v>
      </c>
      <c r="G95" s="911"/>
    </row>
    <row r="96" spans="1:7" x14ac:dyDescent="0.2">
      <c r="A96" s="907" t="s">
        <v>479</v>
      </c>
      <c r="B96" s="907" t="s">
        <v>178</v>
      </c>
      <c r="C96" s="909">
        <f>'Revenues 9-14'!B84</f>
        <v>1811</v>
      </c>
      <c r="D96" s="910" t="str">
        <f>'Revenues 9-14'!A84</f>
        <v>Rentals - Regular Textbooks</v>
      </c>
      <c r="E96" s="905"/>
      <c r="F96" s="1807">
        <f>'Revenues 9-14'!C84</f>
        <v>718450</v>
      </c>
      <c r="G96" s="911"/>
    </row>
    <row r="97" spans="1:7" x14ac:dyDescent="0.2">
      <c r="A97" s="907" t="s">
        <v>479</v>
      </c>
      <c r="B97" s="907" t="s">
        <v>179</v>
      </c>
      <c r="C97" s="909">
        <f>'Revenues 9-14'!B87</f>
        <v>1819</v>
      </c>
      <c r="D97" s="910" t="str">
        <f>'Revenues 9-14'!A87</f>
        <v>Rentals - Other (Describe &amp; Itemize)</v>
      </c>
      <c r="E97" s="905"/>
      <c r="F97" s="1807">
        <f>'Revenues 9-14'!C87</f>
        <v>0</v>
      </c>
      <c r="G97" s="911"/>
    </row>
    <row r="98" spans="1:7" x14ac:dyDescent="0.2">
      <c r="A98" s="907" t="s">
        <v>479</v>
      </c>
      <c r="B98" s="907" t="s">
        <v>180</v>
      </c>
      <c r="C98" s="909">
        <f>'Revenues 9-14'!B88</f>
        <v>1821</v>
      </c>
      <c r="D98" s="910" t="str">
        <f>'Revenues 9-14'!A88</f>
        <v>Sales - Regular Textbooks</v>
      </c>
      <c r="E98" s="905"/>
      <c r="F98" s="1807">
        <f>'Revenues 9-14'!C88</f>
        <v>1377</v>
      </c>
      <c r="G98" s="911"/>
    </row>
    <row r="99" spans="1:7" x14ac:dyDescent="0.2">
      <c r="A99" s="907" t="s">
        <v>479</v>
      </c>
      <c r="B99" s="907" t="s">
        <v>181</v>
      </c>
      <c r="C99" s="909">
        <f>'Revenues 9-14'!B91</f>
        <v>1829</v>
      </c>
      <c r="D99" s="910" t="str">
        <f>'Revenues 9-14'!A91</f>
        <v>Sales - Other (Describe &amp; Itemize)</v>
      </c>
      <c r="E99" s="905"/>
      <c r="F99" s="1807">
        <f>'Revenues 9-14'!C91</f>
        <v>0</v>
      </c>
      <c r="G99" s="911"/>
    </row>
    <row r="100" spans="1:7" x14ac:dyDescent="0.2">
      <c r="A100" s="907" t="s">
        <v>479</v>
      </c>
      <c r="B100" s="907" t="s">
        <v>182</v>
      </c>
      <c r="C100" s="909">
        <f>'Revenues 9-14'!B92</f>
        <v>1890</v>
      </c>
      <c r="D100" s="910" t="str">
        <f>'Revenues 9-14'!A92</f>
        <v>Other (Describe &amp; Itemize)</v>
      </c>
      <c r="E100" s="905"/>
      <c r="F100" s="1807">
        <f>'Revenues 9-14'!C92</f>
        <v>0</v>
      </c>
      <c r="G100" s="911"/>
    </row>
    <row r="101" spans="1:7" x14ac:dyDescent="0.2">
      <c r="A101" s="907" t="s">
        <v>142</v>
      </c>
      <c r="B101" s="907" t="s">
        <v>183</v>
      </c>
      <c r="C101" s="909">
        <f>'Revenues 9-14'!B95</f>
        <v>1910</v>
      </c>
      <c r="D101" s="910" t="str">
        <f>'Revenues 9-14'!A95</f>
        <v>Rentals</v>
      </c>
      <c r="E101" s="905"/>
      <c r="F101" s="1807">
        <f>SUM('Revenues 9-14'!C95:D95)</f>
        <v>64756</v>
      </c>
      <c r="G101" s="911"/>
    </row>
    <row r="102" spans="1:7" x14ac:dyDescent="0.2">
      <c r="A102" s="907" t="s">
        <v>524</v>
      </c>
      <c r="B102" s="907" t="s">
        <v>184</v>
      </c>
      <c r="C102" s="909">
        <f>'Revenues 9-14'!B98</f>
        <v>1940</v>
      </c>
      <c r="D102" s="910" t="str">
        <f>'Revenues 9-14'!A98</f>
        <v>Services Provided Other Districts</v>
      </c>
      <c r="E102" s="905"/>
      <c r="F102" s="1807">
        <f>SUM('Revenues 9-14'!C98,'Revenues 9-14'!D98,'Revenues 9-14'!F98)</f>
        <v>0</v>
      </c>
      <c r="G102" s="911"/>
    </row>
    <row r="103" spans="1:7" x14ac:dyDescent="0.2">
      <c r="A103" s="907" t="s">
        <v>1066</v>
      </c>
      <c r="B103" s="907" t="s">
        <v>834</v>
      </c>
      <c r="C103" s="909">
        <f>'Revenues 9-14'!B104</f>
        <v>1991</v>
      </c>
      <c r="D103" s="918" t="str">
        <f>'Revenues 9-14'!A104</f>
        <v>Payment from Other Districts</v>
      </c>
      <c r="E103" s="905"/>
      <c r="F103" s="1807">
        <f>SUM('Revenues 9-14'!C104,'Revenues 9-14'!D104,'Revenues 9-14'!E104,'Revenues 9-14'!F104,'Revenues 9-14'!G104)</f>
        <v>0</v>
      </c>
      <c r="G103" s="911"/>
    </row>
    <row r="104" spans="1:7" x14ac:dyDescent="0.2">
      <c r="A104" s="907" t="s">
        <v>479</v>
      </c>
      <c r="B104" s="907" t="s">
        <v>841</v>
      </c>
      <c r="C104" s="909">
        <f>'Revenues 9-14'!B106</f>
        <v>1993</v>
      </c>
      <c r="D104" s="910" t="str">
        <f>'Revenues 9-14'!A106</f>
        <v>Other Local Fees (Describe &amp; Itemize)</v>
      </c>
      <c r="E104" s="905"/>
      <c r="F104" s="1807">
        <f>('Revenues 9-14'!C106)</f>
        <v>18573</v>
      </c>
      <c r="G104" s="911"/>
    </row>
    <row r="105" spans="1:7" x14ac:dyDescent="0.2">
      <c r="A105" s="907" t="s">
        <v>524</v>
      </c>
      <c r="B105" s="907" t="s">
        <v>842</v>
      </c>
      <c r="C105" s="912">
        <v>3100</v>
      </c>
      <c r="D105" s="918" t="str">
        <f>'Revenues 9-14'!A131</f>
        <v>Total Special Education</v>
      </c>
      <c r="E105" s="905"/>
      <c r="F105" s="1807">
        <f>SUM('Revenues 9-14'!C131:D131,'Revenues 9-14'!F131)</f>
        <v>482783</v>
      </c>
      <c r="G105" s="911"/>
    </row>
    <row r="106" spans="1:7" x14ac:dyDescent="0.2">
      <c r="A106" s="907" t="s">
        <v>694</v>
      </c>
      <c r="B106" s="907" t="s">
        <v>1483</v>
      </c>
      <c r="C106" s="919">
        <v>3200</v>
      </c>
      <c r="D106" s="910" t="str">
        <f>'Revenues 9-14'!A140</f>
        <v>Total Career and Technical Education</v>
      </c>
      <c r="E106" s="905"/>
      <c r="F106" s="1807">
        <f>SUM('Revenues 9-14'!C140,'Revenues 9-14'!D140,'Revenues 9-14'!G140)</f>
        <v>17300</v>
      </c>
      <c r="G106" s="911"/>
    </row>
    <row r="107" spans="1:7" x14ac:dyDescent="0.2">
      <c r="A107" s="920" t="s">
        <v>685</v>
      </c>
      <c r="B107" s="907" t="s">
        <v>843</v>
      </c>
      <c r="C107" s="919">
        <v>3300</v>
      </c>
      <c r="D107" s="910" t="str">
        <f>'Revenues 9-14'!A144</f>
        <v>Total Bilingual Ed</v>
      </c>
      <c r="E107" s="905"/>
      <c r="F107" s="1807">
        <f>SUM('Revenues 9-14'!C144,'Revenues 9-14'!G144)</f>
        <v>0</v>
      </c>
      <c r="G107" s="911"/>
    </row>
    <row r="108" spans="1:7" x14ac:dyDescent="0.2">
      <c r="A108" s="907" t="s">
        <v>479</v>
      </c>
      <c r="B108" s="907" t="s">
        <v>844</v>
      </c>
      <c r="C108" s="919">
        <f>'Revenues 9-14'!B145</f>
        <v>3360</v>
      </c>
      <c r="D108" s="910" t="str">
        <f>'Revenues 9-14'!A145</f>
        <v>State Free Lunch &amp; Breakfast</v>
      </c>
      <c r="E108" s="905"/>
      <c r="F108" s="1807">
        <f>'Revenues 9-14'!C145</f>
        <v>1751</v>
      </c>
      <c r="G108" s="911"/>
    </row>
    <row r="109" spans="1:7" x14ac:dyDescent="0.2">
      <c r="A109" s="907" t="s">
        <v>694</v>
      </c>
      <c r="B109" s="907" t="s">
        <v>845</v>
      </c>
      <c r="C109" s="919">
        <f>'Revenues 9-14'!B146</f>
        <v>3365</v>
      </c>
      <c r="D109" s="910" t="str">
        <f>'Revenues 9-14'!A146</f>
        <v>School Breakfast Initiative</v>
      </c>
      <c r="E109" s="905"/>
      <c r="F109" s="1807">
        <f>SUM('Revenues 9-14'!C146,'Revenues 9-14'!D146,'Revenues 9-14'!G146)</f>
        <v>0</v>
      </c>
      <c r="G109" s="911"/>
    </row>
    <row r="110" spans="1:7" x14ac:dyDescent="0.2">
      <c r="A110" s="907" t="s">
        <v>142</v>
      </c>
      <c r="B110" s="907" t="s">
        <v>846</v>
      </c>
      <c r="C110" s="919">
        <f>'Revenues 9-14'!B147</f>
        <v>3370</v>
      </c>
      <c r="D110" s="910" t="str">
        <f>'Revenues 9-14'!A147</f>
        <v>Driver Education</v>
      </c>
      <c r="E110" s="905"/>
      <c r="F110" s="1807">
        <f>SUM('Revenues 9-14'!C147,'Revenues 9-14'!D147)</f>
        <v>21887</v>
      </c>
      <c r="G110" s="911"/>
    </row>
    <row r="111" spans="1:7" x14ac:dyDescent="0.2">
      <c r="A111" s="907" t="s">
        <v>689</v>
      </c>
      <c r="B111" s="907" t="s">
        <v>802</v>
      </c>
      <c r="C111" s="921">
        <v>3500</v>
      </c>
      <c r="D111" s="910" t="str">
        <f>'Revenues 9-14'!A154</f>
        <v>Total Transportation</v>
      </c>
      <c r="E111" s="905"/>
      <c r="F111" s="1807">
        <f>SUM('Revenues 9-14'!C154,'Revenues 9-14'!D154,'Revenues 9-14'!F154,'Revenues 9-14'!G154)</f>
        <v>509512</v>
      </c>
      <c r="G111" s="911"/>
    </row>
    <row r="112" spans="1:7" x14ac:dyDescent="0.2">
      <c r="A112" s="907" t="s">
        <v>479</v>
      </c>
      <c r="B112" s="907" t="s">
        <v>847</v>
      </c>
      <c r="C112" s="919">
        <f>'Revenues 9-14'!B155</f>
        <v>3610</v>
      </c>
      <c r="D112" s="910" t="str">
        <f>'Revenues 9-14'!A155</f>
        <v>Learning Improvement - Change Grants</v>
      </c>
      <c r="E112" s="905"/>
      <c r="F112" s="1807">
        <f>'Revenues 9-14'!C155</f>
        <v>0</v>
      </c>
      <c r="G112" s="911"/>
    </row>
    <row r="113" spans="1:7" x14ac:dyDescent="0.2">
      <c r="A113" s="907" t="s">
        <v>689</v>
      </c>
      <c r="B113" s="907" t="s">
        <v>848</v>
      </c>
      <c r="C113" s="919">
        <f>'Revenues 9-14'!B156</f>
        <v>3660</v>
      </c>
      <c r="D113" s="910" t="str">
        <f>'Revenues 9-14'!A156</f>
        <v>Scientific Literacy</v>
      </c>
      <c r="E113" s="905"/>
      <c r="F113" s="1807">
        <f>SUM('Revenues 9-14'!C156,'Revenues 9-14'!D156,'Revenues 9-14'!F156,'Revenues 9-14'!G156)</f>
        <v>0</v>
      </c>
      <c r="G113" s="911"/>
    </row>
    <row r="114" spans="1:7" x14ac:dyDescent="0.2">
      <c r="A114" s="907" t="s">
        <v>5</v>
      </c>
      <c r="B114" s="907" t="s">
        <v>849</v>
      </c>
      <c r="C114" s="919">
        <f>'Revenues 9-14'!B157</f>
        <v>3695</v>
      </c>
      <c r="D114" s="910" t="str">
        <f>'Revenues 9-14'!A157</f>
        <v>Truant Alternative/Optional Education</v>
      </c>
      <c r="E114" s="905"/>
      <c r="F114" s="1807">
        <f>SUM('Revenues 9-14'!C157,'Revenues 9-14'!F157,'Revenues 9-14'!G157)</f>
        <v>0</v>
      </c>
      <c r="G114" s="911"/>
    </row>
    <row r="115" spans="1:7" x14ac:dyDescent="0.2">
      <c r="A115" s="907" t="s">
        <v>5</v>
      </c>
      <c r="B115" s="907" t="s">
        <v>185</v>
      </c>
      <c r="C115" s="919">
        <f>'Revenues 9-14'!B159</f>
        <v>3715</v>
      </c>
      <c r="D115" s="910" t="str">
        <f>'Revenues 9-14'!A159</f>
        <v>Reading Improvement Block Grant</v>
      </c>
      <c r="E115" s="905"/>
      <c r="F115" s="1807">
        <f>SUM('Revenues 9-14'!C159,'Revenues 9-14'!F159,'Revenues 9-14'!G159)</f>
        <v>0</v>
      </c>
      <c r="G115" s="911"/>
    </row>
    <row r="116" spans="1:7" x14ac:dyDescent="0.2">
      <c r="A116" s="922" t="s">
        <v>5</v>
      </c>
      <c r="B116" s="922" t="s">
        <v>186</v>
      </c>
      <c r="C116" s="923">
        <f>'Revenues 9-14'!B160</f>
        <v>3720</v>
      </c>
      <c r="D116" s="924" t="str">
        <f>'Revenues 9-14'!A160</f>
        <v>Reading Improvement Block Grant - Reading Recovery</v>
      </c>
      <c r="E116" s="925"/>
      <c r="F116" s="1807">
        <f>SUM('Revenues 9-14'!C160,'Revenues 9-14'!F160,'Revenues 9-14'!G160)</f>
        <v>0</v>
      </c>
      <c r="G116" s="911"/>
    </row>
    <row r="117" spans="1:7" x14ac:dyDescent="0.2">
      <c r="A117" s="922" t="s">
        <v>5</v>
      </c>
      <c r="B117" s="922" t="s">
        <v>187</v>
      </c>
      <c r="C117" s="923">
        <f>'Revenues 9-14'!B161</f>
        <v>3725</v>
      </c>
      <c r="D117" s="924" t="str">
        <f>'Revenues 9-14'!A161</f>
        <v>Continued Reading Improvement Block Grant</v>
      </c>
      <c r="E117" s="925"/>
      <c r="F117" s="1807">
        <f>SUM('Revenues 9-14'!C161,'Revenues 9-14'!F161,'Revenues 9-14'!G161)</f>
        <v>0</v>
      </c>
      <c r="G117" s="911"/>
    </row>
    <row r="118" spans="1:7" x14ac:dyDescent="0.2">
      <c r="A118" s="922" t="s">
        <v>5</v>
      </c>
      <c r="B118" s="922" t="s">
        <v>850</v>
      </c>
      <c r="C118" s="923">
        <f>'Revenues 9-14'!B162</f>
        <v>3726</v>
      </c>
      <c r="D118" s="924" t="str">
        <f>'Revenues 9-14'!A162</f>
        <v>Continued Reading Improvement Block Grant (2% Set Aside)</v>
      </c>
      <c r="E118" s="925"/>
      <c r="F118" s="1928">
        <f>SUM('Revenues 9-14'!C162,'Revenues 9-14'!F162,'Revenues 9-14'!G162)</f>
        <v>0</v>
      </c>
      <c r="G118" s="911"/>
    </row>
    <row r="119" spans="1:7" x14ac:dyDescent="0.2">
      <c r="A119" s="907" t="s">
        <v>689</v>
      </c>
      <c r="B119" s="907" t="s">
        <v>188</v>
      </c>
      <c r="C119" s="919">
        <f>'Revenues 9-14'!B163</f>
        <v>3766</v>
      </c>
      <c r="D119" s="910" t="str">
        <f>'Revenues 9-14'!A163</f>
        <v>Chicago General Education Block Grant</v>
      </c>
      <c r="E119" s="905"/>
      <c r="F119" s="1807">
        <f>SUM('Revenues 9-14'!C163,'Revenues 9-14'!D163,'Revenues 9-14'!F163,'Revenues 9-14'!G163)</f>
        <v>0</v>
      </c>
      <c r="G119" s="911"/>
    </row>
    <row r="120" spans="1:7" x14ac:dyDescent="0.2">
      <c r="A120" s="907" t="s">
        <v>689</v>
      </c>
      <c r="B120" s="907" t="s">
        <v>851</v>
      </c>
      <c r="C120" s="919">
        <f>'Revenues 9-14'!B164</f>
        <v>3767</v>
      </c>
      <c r="D120" s="910" t="str">
        <f>'Revenues 9-14'!A164</f>
        <v>Chicago Educational Services Block Grant</v>
      </c>
      <c r="E120" s="905"/>
      <c r="F120" s="1807">
        <f>SUM('Revenues 9-14'!C164,'Revenues 9-14'!D164,'Revenues 9-14'!F164,'Revenues 9-14'!G164)</f>
        <v>0</v>
      </c>
      <c r="G120" s="911"/>
    </row>
    <row r="121" spans="1:7" x14ac:dyDescent="0.2">
      <c r="A121" s="922" t="s">
        <v>1066</v>
      </c>
      <c r="B121" s="922" t="s">
        <v>189</v>
      </c>
      <c r="C121" s="923">
        <f>'Revenues 9-14'!B165</f>
        <v>3775</v>
      </c>
      <c r="D121" s="924" t="str">
        <f>'Revenues 9-14'!A165</f>
        <v>School Safety &amp; Educational Improvement Block Grant</v>
      </c>
      <c r="E121" s="905"/>
      <c r="F121" s="1929">
        <f>SUM('Revenues 9-14'!C165,'Revenues 9-14'!D165,'Revenues 9-14'!E165,'Revenues 9-14'!F165,'Revenues 9-14'!G165)</f>
        <v>0</v>
      </c>
      <c r="G121" s="911"/>
    </row>
    <row r="122" spans="1:7" x14ac:dyDescent="0.2">
      <c r="A122" s="922" t="s">
        <v>1066</v>
      </c>
      <c r="B122" s="922" t="s">
        <v>852</v>
      </c>
      <c r="C122" s="923">
        <f>'Revenues 9-14'!B166</f>
        <v>3780</v>
      </c>
      <c r="D122" s="924" t="str">
        <f>'Revenues 9-14'!A166</f>
        <v>Technology - Technology for Success</v>
      </c>
      <c r="E122" s="905"/>
      <c r="F122" s="1929">
        <f>SUM('Revenues 9-14'!C166:G166)</f>
        <v>0</v>
      </c>
      <c r="G122" s="911"/>
    </row>
    <row r="123" spans="1:7" x14ac:dyDescent="0.2">
      <c r="A123" s="922" t="s">
        <v>525</v>
      </c>
      <c r="B123" s="922" t="s">
        <v>853</v>
      </c>
      <c r="C123" s="923">
        <f>'Revenues 9-14'!B167</f>
        <v>3815</v>
      </c>
      <c r="D123" s="924" t="str">
        <f>'Revenues 9-14'!A167</f>
        <v>State Charter Schools</v>
      </c>
      <c r="E123" s="905"/>
      <c r="F123" s="1929">
        <f>SUM('Revenues 9-14'!C167,'Revenues 9-14'!F167)</f>
        <v>0</v>
      </c>
      <c r="G123" s="911"/>
    </row>
    <row r="124" spans="1:7" x14ac:dyDescent="0.2">
      <c r="A124" s="926" t="s">
        <v>480</v>
      </c>
      <c r="B124" s="926" t="s">
        <v>854</v>
      </c>
      <c r="C124" s="927">
        <f>'Revenues 9-14'!B170</f>
        <v>3925</v>
      </c>
      <c r="D124" s="928" t="str">
        <f>'Revenues 9-14'!A170</f>
        <v>School Infrastructure - Maintenance Projects</v>
      </c>
      <c r="E124" s="905"/>
      <c r="F124" s="1807">
        <f>'Revenues 9-14'!D170</f>
        <v>0</v>
      </c>
      <c r="G124" s="929"/>
    </row>
    <row r="125" spans="1:7" x14ac:dyDescent="0.2">
      <c r="A125" s="926" t="s">
        <v>521</v>
      </c>
      <c r="B125" s="926" t="s">
        <v>855</v>
      </c>
      <c r="C125" s="927">
        <f>'Revenues 9-14'!B171</f>
        <v>3999</v>
      </c>
      <c r="D125" s="928" t="s">
        <v>564</v>
      </c>
      <c r="E125" s="930"/>
      <c r="F125" s="1807">
        <f>SUM('Revenues 9-14'!C171:G171,'Revenues 9-14'!J171)</f>
        <v>2907</v>
      </c>
      <c r="G125" s="929"/>
    </row>
    <row r="126" spans="1:7" x14ac:dyDescent="0.2">
      <c r="A126" s="926" t="s">
        <v>479</v>
      </c>
      <c r="B126" s="926" t="s">
        <v>856</v>
      </c>
      <c r="C126" s="931">
        <f>'Revenues 9-14'!B180</f>
        <v>4045</v>
      </c>
      <c r="D126" s="928" t="str">
        <f>'Revenues 9-14'!A180 &amp; " (Subtract)"</f>
        <v>Head Start (Subtract)</v>
      </c>
      <c r="E126" s="905"/>
      <c r="F126" s="1807">
        <f>SUM(-'Revenues 9-14'!C180)</f>
        <v>0</v>
      </c>
      <c r="G126" s="929"/>
    </row>
    <row r="127" spans="1:7" x14ac:dyDescent="0.2">
      <c r="A127" s="926" t="s">
        <v>689</v>
      </c>
      <c r="B127" s="926" t="s">
        <v>857</v>
      </c>
      <c r="C127" s="931" t="s">
        <v>1039</v>
      </c>
      <c r="D127" s="928" t="str">
        <f>('Revenues 9-14'!A184)</f>
        <v>Total Restricted Grants-In-Aid Received Directly from Federal Govt</v>
      </c>
      <c r="E127" s="905"/>
      <c r="F127" s="1807">
        <f>SUM('Revenues 9-14'!C184,'Revenues 9-14'!D184,'Revenues 9-14'!F184,'Revenues 9-14'!G184)</f>
        <v>0</v>
      </c>
      <c r="G127" s="929"/>
    </row>
    <row r="128" spans="1:7" x14ac:dyDescent="0.2">
      <c r="A128" s="926" t="s">
        <v>689</v>
      </c>
      <c r="B128" s="926" t="s">
        <v>858</v>
      </c>
      <c r="C128" s="931">
        <v>4100</v>
      </c>
      <c r="D128" s="932" t="str">
        <f>'Revenues 9-14'!A191</f>
        <v>Total Title V</v>
      </c>
      <c r="E128" s="905"/>
      <c r="F128" s="1807">
        <f>SUM('Revenues 9-14'!C191,'Revenues 9-14'!D191,'Revenues 9-14'!F191,'Revenues 9-14'!G191)</f>
        <v>0</v>
      </c>
      <c r="G128" s="929"/>
    </row>
    <row r="129" spans="1:7" x14ac:dyDescent="0.2">
      <c r="A129" s="926" t="s">
        <v>685</v>
      </c>
      <c r="B129" s="926" t="s">
        <v>803</v>
      </c>
      <c r="C129" s="931">
        <v>4200</v>
      </c>
      <c r="D129" s="928" t="str">
        <f>'Revenues 9-14'!A201</f>
        <v>Total Food Service</v>
      </c>
      <c r="E129" s="905"/>
      <c r="F129" s="1807">
        <f>SUM('Revenues 9-14'!C201,'Revenues 9-14'!G201)</f>
        <v>167714</v>
      </c>
      <c r="G129" s="929"/>
    </row>
    <row r="130" spans="1:7" x14ac:dyDescent="0.2">
      <c r="A130" s="926" t="s">
        <v>689</v>
      </c>
      <c r="B130" s="926" t="s">
        <v>804</v>
      </c>
      <c r="C130" s="931">
        <v>4300</v>
      </c>
      <c r="D130" s="932" t="str">
        <f>'Revenues 9-14'!A211</f>
        <v>Total Title I</v>
      </c>
      <c r="E130" s="905"/>
      <c r="F130" s="1807">
        <f>SUM('Revenues 9-14'!C211,'Revenues 9-14'!D211,'Revenues 9-14'!F211,'Revenues 9-14'!G211)</f>
        <v>120092</v>
      </c>
      <c r="G130" s="929"/>
    </row>
    <row r="131" spans="1:7" x14ac:dyDescent="0.2">
      <c r="A131" s="926" t="s">
        <v>689</v>
      </c>
      <c r="B131" s="926" t="s">
        <v>805</v>
      </c>
      <c r="C131" s="931">
        <v>4400</v>
      </c>
      <c r="D131" s="932" t="str">
        <f>'Revenues 9-14'!A216</f>
        <v>Total Title IV</v>
      </c>
      <c r="E131" s="905"/>
      <c r="F131" s="1807">
        <f>SUM('Revenues 9-14'!C216,'Revenues 9-14'!D216,'Revenues 9-14'!F216,'Revenues 9-14'!G216)</f>
        <v>1445</v>
      </c>
      <c r="G131" s="929"/>
    </row>
    <row r="132" spans="1:7" x14ac:dyDescent="0.2">
      <c r="A132" s="926" t="s">
        <v>689</v>
      </c>
      <c r="B132" s="926" t="s">
        <v>190</v>
      </c>
      <c r="C132" s="931">
        <f>'Revenues 9-14'!B220</f>
        <v>4620</v>
      </c>
      <c r="D132" s="932" t="str">
        <f>'Revenues 9-14'!A220</f>
        <v>Fed - Spec Education - IDEA - Flow Through</v>
      </c>
      <c r="E132" s="905"/>
      <c r="F132" s="1807">
        <f>SUM('Revenues 9-14'!C220:D220,'Revenues 9-14'!F220:G220)</f>
        <v>394827</v>
      </c>
      <c r="G132" s="929"/>
    </row>
    <row r="133" spans="1:7" x14ac:dyDescent="0.2">
      <c r="A133" s="926" t="s">
        <v>689</v>
      </c>
      <c r="B133" s="926" t="s">
        <v>191</v>
      </c>
      <c r="C133" s="931">
        <f>'Revenues 9-14'!B221</f>
        <v>4625</v>
      </c>
      <c r="D133" s="932" t="str">
        <f>'Revenues 9-14'!A221</f>
        <v>Fed - Spec Education - IDEA - Room &amp; Board</v>
      </c>
      <c r="E133" s="905"/>
      <c r="F133" s="1807">
        <f>SUM('Revenues 9-14'!C221,'Revenues 9-14'!D221,'Revenues 9-14'!F221,'Revenues 9-14'!G221)</f>
        <v>98214</v>
      </c>
      <c r="G133" s="929"/>
    </row>
    <row r="134" spans="1:7" x14ac:dyDescent="0.2">
      <c r="A134" s="926" t="s">
        <v>689</v>
      </c>
      <c r="B134" s="926" t="s">
        <v>859</v>
      </c>
      <c r="C134" s="931">
        <f>'Revenues 9-14'!B222</f>
        <v>4630</v>
      </c>
      <c r="D134" s="932" t="str">
        <f>'Revenues 9-14'!A222</f>
        <v>Fed - Spec Education - IDEA - Discretionary</v>
      </c>
      <c r="E134" s="905"/>
      <c r="F134" s="1807">
        <f>SUM('Revenues 9-14'!C222:D222,'Revenues 9-14'!F222:G222)</f>
        <v>0</v>
      </c>
      <c r="G134" s="929">
        <v>6297</v>
      </c>
    </row>
    <row r="135" spans="1:7" x14ac:dyDescent="0.2">
      <c r="A135" s="926" t="s">
        <v>689</v>
      </c>
      <c r="B135" s="926" t="s">
        <v>806</v>
      </c>
      <c r="C135" s="931">
        <f>'Revenues 9-14'!B223</f>
        <v>4699</v>
      </c>
      <c r="D135" s="932" t="str">
        <f>'Revenues 9-14'!A223</f>
        <v>Fed - Spec Education - IDEA - Other (Describe &amp; Itemize)</v>
      </c>
      <c r="E135" s="905"/>
      <c r="F135" s="1807">
        <f>SUM('Revenues 9-14'!C223:D223,'Revenues 9-14'!F223:G223)</f>
        <v>0</v>
      </c>
      <c r="G135" s="929"/>
    </row>
    <row r="136" spans="1:7" x14ac:dyDescent="0.2">
      <c r="A136" s="926" t="s">
        <v>694</v>
      </c>
      <c r="B136" s="926" t="s">
        <v>807</v>
      </c>
      <c r="C136" s="931">
        <v>4700</v>
      </c>
      <c r="D136" s="928" t="str">
        <f>'Revenues 9-14'!A228</f>
        <v>Total CTE - Perkins</v>
      </c>
      <c r="E136" s="905"/>
      <c r="F136" s="1807">
        <f>SUM('Revenues 9-14'!C228,'Revenues 9-14'!D228,'Revenues 9-14'!G228)</f>
        <v>0</v>
      </c>
      <c r="G136" s="929">
        <v>6303</v>
      </c>
    </row>
    <row r="137" spans="1:7" s="866" customFormat="1" hidden="1" x14ac:dyDescent="0.2">
      <c r="A137" s="933" t="s">
        <v>215</v>
      </c>
      <c r="B137" s="933" t="s">
        <v>1484</v>
      </c>
      <c r="C137" s="934" t="s">
        <v>216</v>
      </c>
      <c r="D137" s="935" t="str">
        <f>'Revenues 9-14'!A231</f>
        <v>ARRA - Title I - Low Income</v>
      </c>
      <c r="E137" s="936"/>
      <c r="F137" s="1929">
        <f>SUM('Revenues 9-14'!$C$231:$D$231,'Revenues 9-14'!$F$231:$G$231)</f>
        <v>0</v>
      </c>
      <c r="G137" s="904"/>
    </row>
    <row r="138" spans="1:7" s="866" customFormat="1" hidden="1" x14ac:dyDescent="0.2">
      <c r="A138" s="933" t="s">
        <v>215</v>
      </c>
      <c r="B138" s="933" t="s">
        <v>1485</v>
      </c>
      <c r="C138" s="934" t="s">
        <v>217</v>
      </c>
      <c r="D138" s="935" t="str">
        <f>'Revenues 9-14'!A232</f>
        <v>ARRA - Title I - Neglected, Private</v>
      </c>
      <c r="E138" s="936"/>
      <c r="F138" s="1807">
        <f>SUM('Revenues 9-14'!C232:G232,'Revenues 9-14'!J232)</f>
        <v>0</v>
      </c>
      <c r="G138" s="904"/>
    </row>
    <row r="139" spans="1:7" s="866" customFormat="1" hidden="1" x14ac:dyDescent="0.2">
      <c r="A139" s="933" t="s">
        <v>215</v>
      </c>
      <c r="B139" s="933" t="s">
        <v>220</v>
      </c>
      <c r="C139" s="934" t="s">
        <v>218</v>
      </c>
      <c r="D139" s="935" t="str">
        <f>'Revenues 9-14'!A233</f>
        <v>ARRA - Title I - Delinquent, Private</v>
      </c>
      <c r="E139" s="936"/>
      <c r="F139" s="1807">
        <f>SUM('Revenues 9-14'!C233:G233,'Revenues 9-14'!J233)</f>
        <v>0</v>
      </c>
      <c r="G139" s="904"/>
    </row>
    <row r="140" spans="1:7" s="866" customFormat="1" hidden="1" x14ac:dyDescent="0.2">
      <c r="A140" s="933" t="s">
        <v>215</v>
      </c>
      <c r="B140" s="933" t="s">
        <v>222</v>
      </c>
      <c r="C140" s="934" t="s">
        <v>219</v>
      </c>
      <c r="D140" s="935" t="str">
        <f>'Revenues 9-14'!A234</f>
        <v>ARRA - Title I - School Improvement (Part A)</v>
      </c>
      <c r="E140" s="936"/>
      <c r="F140" s="1807">
        <f>SUM('Revenues 9-14'!C234:G234,'Revenues 9-14'!J234)</f>
        <v>0</v>
      </c>
      <c r="G140" s="904"/>
    </row>
    <row r="141" spans="1:7" s="866" customFormat="1" hidden="1" x14ac:dyDescent="0.2">
      <c r="A141" s="933" t="s">
        <v>215</v>
      </c>
      <c r="B141" s="933" t="s">
        <v>224</v>
      </c>
      <c r="C141" s="934" t="s">
        <v>221</v>
      </c>
      <c r="D141" s="935" t="str">
        <f>'Revenues 9-14'!A235</f>
        <v>ARRA - Title I - School Improvement (Section 1003g)</v>
      </c>
      <c r="E141" s="936"/>
      <c r="F141" s="1807">
        <f>SUM('Revenues 9-14'!C235:G235,'Revenues 9-14'!J235)</f>
        <v>0</v>
      </c>
      <c r="G141" s="904"/>
    </row>
    <row r="142" spans="1:7" s="866" customFormat="1" hidden="1" x14ac:dyDescent="0.2">
      <c r="A142" s="933" t="s">
        <v>215</v>
      </c>
      <c r="B142" s="933" t="s">
        <v>226</v>
      </c>
      <c r="C142" s="934" t="s">
        <v>223</v>
      </c>
      <c r="D142" s="935" t="str">
        <f>'Revenues 9-14'!A236</f>
        <v>ARRA - IDEA - Part B - Preschool</v>
      </c>
      <c r="E142" s="936"/>
      <c r="F142" s="1807">
        <v>0</v>
      </c>
      <c r="G142" s="904"/>
    </row>
    <row r="143" spans="1:7" s="866" customFormat="1" hidden="1" x14ac:dyDescent="0.2">
      <c r="A143" s="933" t="s">
        <v>215</v>
      </c>
      <c r="B143" s="933" t="s">
        <v>228</v>
      </c>
      <c r="C143" s="934" t="s">
        <v>225</v>
      </c>
      <c r="D143" s="935" t="str">
        <f>'Revenues 9-14'!A237</f>
        <v>ARRA - IDEA - Part B - Flow-Through</v>
      </c>
      <c r="E143" s="936"/>
      <c r="F143" s="1807">
        <f>SUM('Revenues 9-14'!C237:G237,'Revenues 9-14'!J237)</f>
        <v>0</v>
      </c>
      <c r="G143" s="904"/>
    </row>
    <row r="144" spans="1:7" s="866" customFormat="1" hidden="1" x14ac:dyDescent="0.2">
      <c r="A144" s="933" t="s">
        <v>215</v>
      </c>
      <c r="B144" s="933" t="s">
        <v>860</v>
      </c>
      <c r="C144" s="934" t="s">
        <v>227</v>
      </c>
      <c r="D144" s="935" t="str">
        <f>'Revenues 9-14'!A238</f>
        <v>ARRA - Title IID - Technology-Formula</v>
      </c>
      <c r="E144" s="936"/>
      <c r="F144" s="1807">
        <f>SUM('Revenues 9-14'!C238:G238,'Revenues 9-14'!J238)</f>
        <v>0</v>
      </c>
      <c r="G144" s="904"/>
    </row>
    <row r="145" spans="1:7" s="866" customFormat="1" hidden="1" x14ac:dyDescent="0.2">
      <c r="A145" s="933" t="s">
        <v>215</v>
      </c>
      <c r="B145" s="933" t="s">
        <v>1486</v>
      </c>
      <c r="C145" s="934" t="s">
        <v>229</v>
      </c>
      <c r="D145" s="935" t="str">
        <f>'Revenues 9-14'!A239</f>
        <v>ARRA - Title IID - Technology-Competitive</v>
      </c>
      <c r="E145" s="936"/>
      <c r="F145" s="1807">
        <f>SUM('Revenues 9-14'!C239:G239,'Revenues 9-14'!J239)</f>
        <v>0</v>
      </c>
      <c r="G145" s="904"/>
    </row>
    <row r="146" spans="1:7" s="866" customFormat="1" hidden="1" x14ac:dyDescent="0.2">
      <c r="A146" s="933" t="s">
        <v>689</v>
      </c>
      <c r="B146" s="933" t="s">
        <v>1487</v>
      </c>
      <c r="C146" s="934" t="s">
        <v>230</v>
      </c>
      <c r="D146" s="935" t="str">
        <f>'Revenues 9-14'!A240</f>
        <v>ARRA - McKinney - Vento Homeless Education</v>
      </c>
      <c r="E146" s="936"/>
      <c r="F146" s="1807">
        <f>SUM('Revenues 9-14'!C240:G240,'Revenues 9-14'!J240)</f>
        <v>0</v>
      </c>
      <c r="G146" s="904"/>
    </row>
    <row r="147" spans="1:7" s="866" customFormat="1" hidden="1" x14ac:dyDescent="0.2">
      <c r="A147" s="933" t="s">
        <v>215</v>
      </c>
      <c r="B147" s="933" t="s">
        <v>233</v>
      </c>
      <c r="C147" s="934" t="s">
        <v>231</v>
      </c>
      <c r="D147" s="935" t="str">
        <f>'Revenues 9-14'!A244</f>
        <v>Qualified Zone Academy Bond Tax Credits</v>
      </c>
      <c r="E147" s="936"/>
      <c r="F147" s="1807">
        <f>SUM('Revenues 9-14'!C244:G244,'Revenues 9-14'!J244)</f>
        <v>0</v>
      </c>
      <c r="G147" s="904"/>
    </row>
    <row r="148" spans="1:7" s="866" customFormat="1" hidden="1" x14ac:dyDescent="0.2">
      <c r="A148" s="933" t="s">
        <v>215</v>
      </c>
      <c r="B148" s="933" t="s">
        <v>235</v>
      </c>
      <c r="C148" s="934" t="s">
        <v>232</v>
      </c>
      <c r="D148" s="935" t="str">
        <f>'Revenues 9-14'!A245</f>
        <v>Qualified School Construction Bond Credits</v>
      </c>
      <c r="E148" s="936"/>
      <c r="F148" s="1807">
        <f>SUM('Revenues 9-14'!C245:G245,'Revenues 9-14'!J245)</f>
        <v>0</v>
      </c>
      <c r="G148" s="904"/>
    </row>
    <row r="149" spans="1:7" s="866" customFormat="1" hidden="1" x14ac:dyDescent="0.2">
      <c r="A149" s="933" t="s">
        <v>215</v>
      </c>
      <c r="B149" s="933" t="s">
        <v>237</v>
      </c>
      <c r="C149" s="934" t="s">
        <v>234</v>
      </c>
      <c r="D149" s="935" t="str">
        <f>'Revenues 9-14'!A246</f>
        <v>Build America Bond Tax Credits</v>
      </c>
      <c r="E149" s="936"/>
      <c r="F149" s="1807">
        <f>SUM('Revenues 9-14'!C246:G246,'Revenues 9-14'!J246)</f>
        <v>0</v>
      </c>
      <c r="G149" s="904"/>
    </row>
    <row r="150" spans="1:7" s="866" customFormat="1" hidden="1" x14ac:dyDescent="0.2">
      <c r="A150" s="933" t="s">
        <v>215</v>
      </c>
      <c r="B150" s="933" t="s">
        <v>1488</v>
      </c>
      <c r="C150" s="934" t="s">
        <v>236</v>
      </c>
      <c r="D150" s="935" t="str">
        <f>'Revenues 9-14'!A247</f>
        <v>Build America Bond Interest Reimbursement</v>
      </c>
      <c r="E150" s="936"/>
      <c r="F150" s="1807">
        <f>SUM('Revenues 9-14'!C247:G247,'Revenues 9-14'!J247)</f>
        <v>0</v>
      </c>
      <c r="G150" s="904"/>
    </row>
    <row r="151" spans="1:7" s="866" customFormat="1" hidden="1" x14ac:dyDescent="0.2">
      <c r="A151" s="933" t="s">
        <v>215</v>
      </c>
      <c r="B151" s="933" t="s">
        <v>240</v>
      </c>
      <c r="C151" s="934" t="s">
        <v>238</v>
      </c>
      <c r="D151" s="935" t="str">
        <f>'Revenues 9-14'!A249</f>
        <v>Other ARRA Funds - II</v>
      </c>
      <c r="E151" s="936"/>
      <c r="F151" s="1807">
        <f>SUM('Revenues 9-14'!C249:G249,'Revenues 9-14'!J249)</f>
        <v>0</v>
      </c>
      <c r="G151" s="904"/>
    </row>
    <row r="152" spans="1:7" s="866" customFormat="1" hidden="1" x14ac:dyDescent="0.2">
      <c r="A152" s="933" t="s">
        <v>215</v>
      </c>
      <c r="B152" s="933" t="s">
        <v>242</v>
      </c>
      <c r="C152" s="934" t="s">
        <v>239</v>
      </c>
      <c r="D152" s="935" t="str">
        <f>'Revenues 9-14'!A250</f>
        <v>Other ARRA Funds - III</v>
      </c>
      <c r="E152" s="936"/>
      <c r="F152" s="1807">
        <f>SUM('Revenues 9-14'!C250:G250,'Revenues 9-14'!J250)</f>
        <v>0</v>
      </c>
      <c r="G152" s="904"/>
    </row>
    <row r="153" spans="1:7" s="866" customFormat="1" hidden="1" x14ac:dyDescent="0.2">
      <c r="A153" s="933" t="s">
        <v>215</v>
      </c>
      <c r="B153" s="933" t="s">
        <v>244</v>
      </c>
      <c r="C153" s="934" t="s">
        <v>241</v>
      </c>
      <c r="D153" s="935" t="str">
        <f>'Revenues 9-14'!A251</f>
        <v>Other ARRA Funds - IV</v>
      </c>
      <c r="E153" s="936"/>
      <c r="F153" s="1807">
        <f>SUM('Revenues 9-14'!C251:G251,'Revenues 9-14'!J251)</f>
        <v>0</v>
      </c>
      <c r="G153" s="904"/>
    </row>
    <row r="154" spans="1:7" s="866" customFormat="1" hidden="1" x14ac:dyDescent="0.2">
      <c r="A154" s="933" t="s">
        <v>215</v>
      </c>
      <c r="B154" s="933" t="s">
        <v>246</v>
      </c>
      <c r="C154" s="934" t="s">
        <v>243</v>
      </c>
      <c r="D154" s="935" t="str">
        <f>'Revenues 9-14'!A252</f>
        <v>Other ARRA Funds - V</v>
      </c>
      <c r="E154" s="936"/>
      <c r="F154" s="1807">
        <f>SUM('Revenues 9-14'!C252:G252,'Revenues 9-14'!J252)</f>
        <v>0</v>
      </c>
      <c r="G154" s="904"/>
    </row>
    <row r="155" spans="1:7" s="866" customFormat="1" hidden="1" x14ac:dyDescent="0.2">
      <c r="A155" s="933" t="s">
        <v>215</v>
      </c>
      <c r="B155" s="933" t="s">
        <v>248</v>
      </c>
      <c r="C155" s="934" t="s">
        <v>245</v>
      </c>
      <c r="D155" s="935" t="str">
        <f>'Revenues 9-14'!A253</f>
        <v>ARRA - Early Childhood</v>
      </c>
      <c r="E155" s="936"/>
      <c r="F155" s="1807">
        <v>0</v>
      </c>
      <c r="G155" s="904"/>
    </row>
    <row r="156" spans="1:7" s="866" customFormat="1" hidden="1" x14ac:dyDescent="0.2">
      <c r="A156" s="933" t="s">
        <v>215</v>
      </c>
      <c r="B156" s="933" t="s">
        <v>250</v>
      </c>
      <c r="C156" s="934" t="s">
        <v>247</v>
      </c>
      <c r="D156" s="935" t="str">
        <f>'Revenues 9-14'!A254</f>
        <v>Other ARRA Funds VII</v>
      </c>
      <c r="E156" s="936"/>
      <c r="F156" s="1807">
        <f>SUM('Revenues 9-14'!C254:G254,'Revenues 9-14'!J254)</f>
        <v>0</v>
      </c>
      <c r="G156" s="904"/>
    </row>
    <row r="157" spans="1:7" s="866" customFormat="1" hidden="1" x14ac:dyDescent="0.2">
      <c r="A157" s="933" t="s">
        <v>215</v>
      </c>
      <c r="B157" s="933" t="s">
        <v>252</v>
      </c>
      <c r="C157" s="934" t="s">
        <v>249</v>
      </c>
      <c r="D157" s="935" t="str">
        <f>'Revenues 9-14'!A255</f>
        <v>Other ARRA Funds VIII</v>
      </c>
      <c r="E157" s="936"/>
      <c r="F157" s="1807">
        <f>SUM('Revenues 9-14'!C255:G255,'Revenues 9-14'!J255)</f>
        <v>0</v>
      </c>
      <c r="G157" s="904"/>
    </row>
    <row r="158" spans="1:7" s="866" customFormat="1" hidden="1" x14ac:dyDescent="0.2">
      <c r="A158" s="933" t="s">
        <v>215</v>
      </c>
      <c r="B158" s="933" t="s">
        <v>254</v>
      </c>
      <c r="C158" s="934" t="s">
        <v>251</v>
      </c>
      <c r="D158" s="935" t="str">
        <f>'Revenues 9-14'!A256</f>
        <v>Other ARRA Funds IX</v>
      </c>
      <c r="E158" s="936"/>
      <c r="F158" s="1807">
        <f>SUM('Revenues 9-14'!C256:G256,'Revenues 9-14'!J256)</f>
        <v>0</v>
      </c>
      <c r="G158" s="904"/>
    </row>
    <row r="159" spans="1:7" s="866" customFormat="1" hidden="1" x14ac:dyDescent="0.2">
      <c r="A159" s="933" t="s">
        <v>215</v>
      </c>
      <c r="B159" s="933" t="s">
        <v>863</v>
      </c>
      <c r="C159" s="934" t="s">
        <v>253</v>
      </c>
      <c r="D159" s="935" t="str">
        <f>'Revenues 9-14'!A257</f>
        <v>Other ARRA Funds X</v>
      </c>
      <c r="E159" s="936"/>
      <c r="F159" s="1807">
        <f>SUM('Revenues 9-14'!C257:G257,'Revenues 9-14'!J257)</f>
        <v>0</v>
      </c>
      <c r="G159" s="904"/>
    </row>
    <row r="160" spans="1:7" s="866" customFormat="1" hidden="1" x14ac:dyDescent="0.2">
      <c r="A160" s="933" t="s">
        <v>215</v>
      </c>
      <c r="B160" s="933" t="s">
        <v>1489</v>
      </c>
      <c r="C160" s="934" t="s">
        <v>255</v>
      </c>
      <c r="D160" s="935" t="str">
        <f>'Revenues 9-14'!A258</f>
        <v>Other ARRA Funds Ed Job Fund Program</v>
      </c>
      <c r="E160" s="936"/>
      <c r="F160" s="1807">
        <f>SUM('Revenues 9-14'!C258:G258,'Revenues 9-14'!J258)</f>
        <v>0</v>
      </c>
      <c r="G160" s="904"/>
    </row>
    <row r="161" spans="1:7" s="866" customFormat="1" x14ac:dyDescent="0.2">
      <c r="A161" s="937" t="s">
        <v>521</v>
      </c>
      <c r="B161" s="938" t="s">
        <v>1564</v>
      </c>
      <c r="C161" s="939" t="s">
        <v>896</v>
      </c>
      <c r="D161" s="940" t="s">
        <v>808</v>
      </c>
      <c r="E161" s="941"/>
      <c r="F161" s="1807">
        <f>SUM(F137:F160)</f>
        <v>0</v>
      </c>
      <c r="G161" s="904"/>
    </row>
    <row r="162" spans="1:7" s="866" customFormat="1" x14ac:dyDescent="0.2">
      <c r="A162" s="937" t="s">
        <v>479</v>
      </c>
      <c r="B162" s="938" t="s">
        <v>1501</v>
      </c>
      <c r="C162" s="939" t="s">
        <v>1499</v>
      </c>
      <c r="D162" s="940" t="s">
        <v>1500</v>
      </c>
      <c r="E162" s="941"/>
      <c r="F162" s="1807">
        <f>SUM('Revenues 9-14'!C260)</f>
        <v>0</v>
      </c>
      <c r="G162" s="904"/>
    </row>
    <row r="163" spans="1:7" s="866" customFormat="1" x14ac:dyDescent="0.2">
      <c r="A163" s="937" t="s">
        <v>521</v>
      </c>
      <c r="B163" s="938" t="s">
        <v>1541</v>
      </c>
      <c r="C163" s="939" t="s">
        <v>1542</v>
      </c>
      <c r="D163" s="940" t="s">
        <v>1543</v>
      </c>
      <c r="E163" s="941"/>
      <c r="F163" s="1807">
        <f>SUM('Revenues 9-14'!C261:H261,'Revenues 9-14'!J261:K261)</f>
        <v>0</v>
      </c>
      <c r="G163" s="904"/>
    </row>
    <row r="164" spans="1:7" x14ac:dyDescent="0.2">
      <c r="A164" s="926" t="s">
        <v>1067</v>
      </c>
      <c r="B164" s="926" t="s">
        <v>1556</v>
      </c>
      <c r="C164" s="931">
        <f>'Revenues 9-14'!B262</f>
        <v>4904</v>
      </c>
      <c r="D164" s="928" t="str">
        <f>'Revenues 9-14'!A262</f>
        <v>Advanced Placement Fee/International Baccalaureate</v>
      </c>
      <c r="E164" s="905"/>
      <c r="F164" s="1807">
        <f>SUM('Revenues 9-14'!C262,'Revenues 9-14'!D262,'Revenues 9-14'!G262)</f>
        <v>0</v>
      </c>
      <c r="G164" s="929"/>
    </row>
    <row r="165" spans="1:7" x14ac:dyDescent="0.2">
      <c r="A165" s="926" t="s">
        <v>5</v>
      </c>
      <c r="B165" s="926" t="s">
        <v>809</v>
      </c>
      <c r="C165" s="931">
        <f>'Revenues 9-14'!B263</f>
        <v>4905</v>
      </c>
      <c r="D165" s="928" t="str">
        <f>'Revenues 9-14'!A263</f>
        <v>Title III - Immigrant Education Program (IEP)</v>
      </c>
      <c r="E165" s="905"/>
      <c r="F165" s="1807">
        <f>SUM('Revenues 9-14'!C263,'Revenues 9-14'!F263,'Revenues 9-14'!G263)</f>
        <v>0</v>
      </c>
      <c r="G165" s="942">
        <v>6306</v>
      </c>
    </row>
    <row r="166" spans="1:7" x14ac:dyDescent="0.2">
      <c r="A166" s="926" t="s">
        <v>5</v>
      </c>
      <c r="B166" s="926" t="s">
        <v>1502</v>
      </c>
      <c r="C166" s="931">
        <f>'Revenues 9-14'!B264</f>
        <v>4909</v>
      </c>
      <c r="D166" s="928" t="str">
        <f>'Revenues 9-14'!A264</f>
        <v>Title III - Language Inst Program - Limited Eng (LIPLEP)</v>
      </c>
      <c r="E166" s="905"/>
      <c r="F166" s="1807">
        <f>SUM('Revenues 9-14'!C264,'Revenues 9-14'!F264,'Revenues 9-14'!G264)</f>
        <v>0</v>
      </c>
      <c r="G166" s="942"/>
    </row>
    <row r="167" spans="1:7" x14ac:dyDescent="0.2">
      <c r="A167" s="926" t="s">
        <v>5</v>
      </c>
      <c r="B167" s="926" t="s">
        <v>1557</v>
      </c>
      <c r="C167" s="931">
        <f>'Revenues 9-14'!B265</f>
        <v>4910</v>
      </c>
      <c r="D167" s="928" t="str">
        <f>'Revenues 9-14'!A265</f>
        <v>Learn &amp; Serve America</v>
      </c>
      <c r="E167" s="905"/>
      <c r="F167" s="1807">
        <f>SUM('Revenues 9-14'!C265,'Revenues 9-14'!F265,'Revenues 9-14'!G265)</f>
        <v>0</v>
      </c>
      <c r="G167" s="929"/>
    </row>
    <row r="168" spans="1:7" x14ac:dyDescent="0.2">
      <c r="A168" s="926" t="s">
        <v>689</v>
      </c>
      <c r="B168" s="926" t="s">
        <v>707</v>
      </c>
      <c r="C168" s="931">
        <f>'Revenues 9-14'!B266</f>
        <v>4920</v>
      </c>
      <c r="D168" s="928" t="str">
        <f>'Revenues 9-14'!A266</f>
        <v>McKinney Education for Homeless Children</v>
      </c>
      <c r="E168" s="905"/>
      <c r="F168" s="1807">
        <f>SUM('Revenues 9-14'!C266,'Revenues 9-14'!D266,'Revenues 9-14'!F266,'Revenues 9-14'!G266)</f>
        <v>0</v>
      </c>
      <c r="G168" s="929"/>
    </row>
    <row r="169" spans="1:7" x14ac:dyDescent="0.2">
      <c r="A169" s="943" t="s">
        <v>689</v>
      </c>
      <c r="B169" s="943" t="s">
        <v>708</v>
      </c>
      <c r="C169" s="944">
        <f>'Revenues 9-14'!B267</f>
        <v>4930</v>
      </c>
      <c r="D169" s="945" t="str">
        <f>'Revenues 9-14'!A267</f>
        <v>Title II - Eisenhower Professional Development Formula</v>
      </c>
      <c r="E169" s="925"/>
      <c r="F169" s="1929">
        <f>SUM('Revenues 9-14'!C267:D267,'Revenues 9-14'!F267,'Revenues 9-14'!G267)</f>
        <v>0</v>
      </c>
      <c r="G169" s="929"/>
    </row>
    <row r="170" spans="1:7" x14ac:dyDescent="0.2">
      <c r="A170" s="926" t="s">
        <v>689</v>
      </c>
      <c r="B170" s="926" t="s">
        <v>709</v>
      </c>
      <c r="C170" s="931">
        <f>'Revenues 9-14'!B268</f>
        <v>4932</v>
      </c>
      <c r="D170" s="932" t="str">
        <f>'Revenues 9-14'!A268</f>
        <v>Title II - Teacher Quality</v>
      </c>
      <c r="E170" s="905"/>
      <c r="F170" s="1929">
        <f>SUM('Revenues 9-14'!C268,'Revenues 9-14'!D268,'Revenues 9-14'!F268,'Revenues 9-14'!G268)</f>
        <v>21382</v>
      </c>
      <c r="G170" s="929"/>
    </row>
    <row r="171" spans="1:7" x14ac:dyDescent="0.2">
      <c r="A171" s="926" t="s">
        <v>689</v>
      </c>
      <c r="B171" s="926" t="s">
        <v>864</v>
      </c>
      <c r="C171" s="931">
        <f>'Revenues 9-14'!B269</f>
        <v>4960</v>
      </c>
      <c r="D171" s="928" t="str">
        <f>'Revenues 9-14'!A269</f>
        <v>Federal Charter Schools</v>
      </c>
      <c r="E171" s="905"/>
      <c r="F171" s="1807">
        <f>SUM('Revenues 9-14'!C269:D269,'Revenues 9-14'!F269:G269)</f>
        <v>0</v>
      </c>
      <c r="G171" s="929"/>
    </row>
    <row r="172" spans="1:7" x14ac:dyDescent="0.2">
      <c r="A172" s="926" t="s">
        <v>689</v>
      </c>
      <c r="B172" s="926" t="s">
        <v>810</v>
      </c>
      <c r="C172" s="931">
        <f>'Revenues 9-14'!B270</f>
        <v>4991</v>
      </c>
      <c r="D172" s="932" t="str">
        <f>'Revenues 9-14'!A270</f>
        <v>Medicaid Matching Funds - Administrative Outreach</v>
      </c>
      <c r="E172" s="905"/>
      <c r="F172" s="1807">
        <f>SUM('Revenues 9-14'!C270:D270,'Revenues 9-14'!F270:G270)</f>
        <v>12356</v>
      </c>
      <c r="G172" s="946">
        <v>6320</v>
      </c>
    </row>
    <row r="173" spans="1:7" x14ac:dyDescent="0.2">
      <c r="A173" s="926" t="s">
        <v>689</v>
      </c>
      <c r="B173" s="926" t="s">
        <v>1503</v>
      </c>
      <c r="C173" s="931">
        <f>'Revenues 9-14'!B271</f>
        <v>4992</v>
      </c>
      <c r="D173" s="932" t="str">
        <f>'Revenues 9-14'!A271</f>
        <v>Medicaid Matching Funds - Fee-for-Service Program</v>
      </c>
      <c r="E173" s="905"/>
      <c r="F173" s="1807">
        <f>SUM('Revenues 9-14'!C271:D271,'Revenues 9-14'!F271:G271)</f>
        <v>45152</v>
      </c>
      <c r="G173" s="946"/>
    </row>
    <row r="174" spans="1:7" x14ac:dyDescent="0.2">
      <c r="A174" s="947" t="s">
        <v>689</v>
      </c>
      <c r="B174" s="943" t="s">
        <v>1558</v>
      </c>
      <c r="C174" s="944">
        <f>'Revenues 9-14'!B272</f>
        <v>4999</v>
      </c>
      <c r="D174" s="945" t="str">
        <f>'Revenues 9-14'!A272</f>
        <v>Other Restricted Revenue from Federal Sources (Describe &amp; Itemize)</v>
      </c>
      <c r="E174" s="905"/>
      <c r="F174" s="1807">
        <f>SUM('Revenues 9-14'!C272:D272,'Revenues 9-14'!F272:G272)</f>
        <v>4999</v>
      </c>
      <c r="G174" s="926"/>
    </row>
    <row r="175" spans="1:7" x14ac:dyDescent="0.2">
      <c r="A175" s="1940" t="s">
        <v>5</v>
      </c>
      <c r="B175" s="1941" t="s">
        <v>2055</v>
      </c>
      <c r="C175" s="1942">
        <v>3100</v>
      </c>
      <c r="D175" s="1943" t="s">
        <v>2058</v>
      </c>
      <c r="E175" s="905"/>
      <c r="F175" s="1927">
        <v>570762.66</v>
      </c>
      <c r="G175" s="926"/>
    </row>
    <row r="176" spans="1:7" x14ac:dyDescent="0.2">
      <c r="A176" s="1940" t="s">
        <v>685</v>
      </c>
      <c r="B176" s="1941" t="s">
        <v>2055</v>
      </c>
      <c r="C176" s="1942">
        <v>3300</v>
      </c>
      <c r="D176" s="1943" t="s">
        <v>2059</v>
      </c>
      <c r="E176" s="905"/>
      <c r="F176" s="1927">
        <v>178.88</v>
      </c>
      <c r="G176" s="926"/>
    </row>
    <row r="177" spans="1:7" ht="6" customHeight="1" x14ac:dyDescent="0.2">
      <c r="A177" s="926"/>
      <c r="B177" s="926"/>
      <c r="C177" s="948"/>
      <c r="D177" s="926"/>
      <c r="E177" s="905"/>
      <c r="F177" s="949"/>
      <c r="G177" s="946"/>
    </row>
    <row r="178" spans="1:7" x14ac:dyDescent="0.2">
      <c r="A178" s="1788"/>
      <c r="B178" s="1802"/>
      <c r="C178" s="1803"/>
      <c r="D178" s="1804" t="s">
        <v>2011</v>
      </c>
      <c r="E178" s="1805" t="s">
        <v>1015</v>
      </c>
      <c r="F178" s="1806">
        <f>SUM(F84:F136,F161:F176)</f>
        <v>3935367.54</v>
      </c>
    </row>
    <row r="179" spans="1:7" ht="12" customHeight="1" x14ac:dyDescent="0.2">
      <c r="A179" s="1788"/>
      <c r="B179" s="1802"/>
      <c r="C179" s="1803"/>
      <c r="D179" s="1804" t="s">
        <v>2012</v>
      </c>
      <c r="E179" s="1805"/>
      <c r="F179" s="1807">
        <f>'PCTC-OEPP 27-28'!F77-F178</f>
        <v>21012822.460000001</v>
      </c>
    </row>
    <row r="180" spans="1:7" ht="12" customHeight="1" x14ac:dyDescent="0.2">
      <c r="A180" s="1788"/>
      <c r="B180" s="1802"/>
      <c r="C180" s="1803"/>
      <c r="D180" s="1804" t="s">
        <v>1921</v>
      </c>
      <c r="E180" s="1805"/>
      <c r="F180" s="1807">
        <f>'Cap Outlay Deprec 26'!I18</f>
        <v>1013825.7</v>
      </c>
    </row>
    <row r="181" spans="1:7" ht="12" customHeight="1" x14ac:dyDescent="0.2">
      <c r="A181" s="1788"/>
      <c r="B181" s="1802"/>
      <c r="C181" s="1803"/>
      <c r="D181" s="1804" t="s">
        <v>2013</v>
      </c>
      <c r="E181" s="1805"/>
      <c r="F181" s="1807">
        <f>F179+F180</f>
        <v>22026648.16</v>
      </c>
    </row>
    <row r="182" spans="1:7" ht="12" customHeight="1" x14ac:dyDescent="0.2">
      <c r="A182" s="1788"/>
      <c r="B182" s="1808"/>
      <c r="C182" s="1803"/>
      <c r="D182" s="1804" t="str">
        <f>D78</f>
        <v>9 Month ADA from District Average Daily Attendance/Prior General State Aid Inquiry 2017-2018</v>
      </c>
      <c r="E182" s="1805"/>
      <c r="F182" s="1809">
        <f>'PCTC-OEPP 27-28'!F78</f>
        <v>1812.75</v>
      </c>
      <c r="G182" s="929"/>
    </row>
    <row r="183" spans="1:7" ht="12" customHeight="1" thickBot="1" x14ac:dyDescent="0.25">
      <c r="A183" s="1788"/>
      <c r="B183" s="1808"/>
      <c r="C183" s="1803"/>
      <c r="D183" s="1804" t="s">
        <v>2014</v>
      </c>
      <c r="E183" s="1805" t="s">
        <v>1626</v>
      </c>
      <c r="F183" s="1810">
        <f>F181/F182</f>
        <v>12150.957473451937</v>
      </c>
      <c r="G183" s="855">
        <v>6323</v>
      </c>
    </row>
    <row r="184" spans="1:7" ht="12" thickTop="1" x14ac:dyDescent="0.2">
      <c r="B184" s="929"/>
      <c r="C184" s="948"/>
      <c r="D184" s="929"/>
      <c r="E184" s="948"/>
      <c r="F184" s="929"/>
      <c r="G184" s="950">
        <v>6326</v>
      </c>
    </row>
    <row r="185" spans="1:7" ht="12.2" customHeight="1" x14ac:dyDescent="0.2">
      <c r="A185" s="929" t="s">
        <v>2057</v>
      </c>
      <c r="B185" s="929"/>
      <c r="C185" s="948"/>
      <c r="D185" s="929"/>
      <c r="E185" s="948"/>
      <c r="F185" s="929"/>
      <c r="G185" s="929"/>
    </row>
    <row r="186" spans="1:7" s="1944" customFormat="1" ht="12.2" customHeight="1" x14ac:dyDescent="0.2">
      <c r="A186" s="1944" t="s">
        <v>2062</v>
      </c>
      <c r="B186" s="1945"/>
      <c r="C186" s="1946"/>
      <c r="D186" s="1945"/>
      <c r="E186" s="1946"/>
      <c r="F186" s="1945"/>
      <c r="G186" s="1945"/>
    </row>
    <row r="187" spans="1:7" s="1944" customFormat="1" ht="12.2" customHeight="1" x14ac:dyDescent="0.2">
      <c r="A187" s="1947" t="s">
        <v>2063</v>
      </c>
      <c r="C187" s="1946"/>
      <c r="D187" s="1945"/>
      <c r="E187" s="1946"/>
      <c r="F187" s="1945"/>
      <c r="G187" s="1945"/>
    </row>
    <row r="188" spans="1:7" ht="12" customHeight="1" x14ac:dyDescent="0.2">
      <c r="C188" s="948"/>
      <c r="D188" s="929"/>
      <c r="E188" s="948"/>
      <c r="F188" s="929"/>
      <c r="G188" s="929"/>
    </row>
    <row r="189" spans="1:7" x14ac:dyDescent="0.2">
      <c r="A189" s="1948" t="s">
        <v>2061</v>
      </c>
      <c r="B189" s="1949" t="s">
        <v>2060</v>
      </c>
      <c r="C189" s="948"/>
      <c r="D189" s="929"/>
      <c r="E189" s="948"/>
      <c r="F189" s="929"/>
      <c r="G189" s="929"/>
    </row>
    <row r="190" spans="1:7" x14ac:dyDescent="0.2">
      <c r="A190" s="929"/>
      <c r="B190" s="929"/>
      <c r="C190" s="948"/>
      <c r="D190" s="929"/>
      <c r="E190" s="948"/>
      <c r="F190" s="929"/>
      <c r="G190" s="929"/>
    </row>
    <row r="191" spans="1:7" x14ac:dyDescent="0.2">
      <c r="A191" s="929"/>
      <c r="B191" s="929"/>
      <c r="C191" s="948"/>
      <c r="D191" s="929"/>
      <c r="E191" s="948"/>
      <c r="F191" s="929"/>
      <c r="G191" s="929"/>
    </row>
    <row r="192" spans="1:7" x14ac:dyDescent="0.2">
      <c r="A192" s="929"/>
      <c r="B192" s="929"/>
      <c r="C192" s="948"/>
      <c r="D192" s="929"/>
      <c r="E192" s="948"/>
      <c r="F192" s="929"/>
      <c r="G192" s="929"/>
    </row>
    <row r="193" spans="1:7" x14ac:dyDescent="0.2">
      <c r="A193" s="929"/>
      <c r="B193" s="929"/>
      <c r="C193" s="948"/>
      <c r="D193" s="929"/>
      <c r="E193" s="948"/>
      <c r="F193" s="929"/>
      <c r="G193" s="929"/>
    </row>
    <row r="194" spans="1:7" x14ac:dyDescent="0.2">
      <c r="A194" s="929"/>
      <c r="B194" s="929"/>
      <c r="C194" s="948"/>
      <c r="D194" s="929"/>
      <c r="E194" s="948"/>
      <c r="F194" s="929"/>
      <c r="G194" s="929"/>
    </row>
    <row r="195" spans="1:7" x14ac:dyDescent="0.2">
      <c r="A195" s="929"/>
      <c r="B195" s="929"/>
      <c r="C195" s="948"/>
      <c r="D195" s="929"/>
      <c r="E195" s="948"/>
      <c r="F195" s="929"/>
      <c r="G195" s="929"/>
    </row>
    <row r="196" spans="1:7" x14ac:dyDescent="0.2">
      <c r="A196" s="929"/>
      <c r="B196" s="929"/>
      <c r="C196" s="948"/>
      <c r="D196" s="929"/>
      <c r="E196" s="948"/>
      <c r="F196" s="929"/>
      <c r="G196" s="929"/>
    </row>
    <row r="197" spans="1:7" x14ac:dyDescent="0.2">
      <c r="A197" s="929"/>
      <c r="B197" s="929"/>
      <c r="C197" s="948"/>
      <c r="D197" s="929"/>
      <c r="E197" s="948"/>
      <c r="F197" s="929"/>
      <c r="G197" s="929"/>
    </row>
    <row r="198" spans="1:7" x14ac:dyDescent="0.2">
      <c r="A198" s="929"/>
      <c r="B198" s="929"/>
      <c r="C198" s="948"/>
      <c r="D198" s="929"/>
      <c r="E198" s="948"/>
      <c r="F198" s="929"/>
      <c r="G198" s="929"/>
    </row>
    <row r="199" spans="1:7" x14ac:dyDescent="0.2">
      <c r="A199" s="929"/>
      <c r="B199" s="929"/>
      <c r="C199" s="948"/>
      <c r="D199" s="929"/>
      <c r="E199" s="948"/>
      <c r="F199" s="929"/>
      <c r="G199" s="929"/>
    </row>
    <row r="200" spans="1:7" x14ac:dyDescent="0.2">
      <c r="A200" s="929"/>
      <c r="B200" s="929"/>
      <c r="C200" s="948"/>
      <c r="D200" s="929"/>
      <c r="E200" s="948"/>
      <c r="F200" s="929"/>
      <c r="G200" s="929"/>
    </row>
    <row r="201" spans="1:7" x14ac:dyDescent="0.2">
      <c r="A201" s="929"/>
      <c r="B201" s="929"/>
      <c r="C201" s="948"/>
      <c r="D201" s="929"/>
      <c r="E201" s="948"/>
      <c r="F201" s="929"/>
      <c r="G201" s="929"/>
    </row>
    <row r="202" spans="1:7" x14ac:dyDescent="0.2">
      <c r="A202" s="929"/>
      <c r="B202" s="929"/>
      <c r="C202" s="948"/>
      <c r="D202" s="929"/>
      <c r="E202" s="948"/>
      <c r="F202" s="929"/>
      <c r="G202" s="929"/>
    </row>
    <row r="203" spans="1:7" x14ac:dyDescent="0.2">
      <c r="A203" s="929"/>
      <c r="B203" s="929"/>
      <c r="C203" s="948"/>
      <c r="D203" s="929"/>
      <c r="E203" s="948"/>
      <c r="F203" s="929"/>
      <c r="G203" s="929"/>
    </row>
    <row r="204" spans="1:7" x14ac:dyDescent="0.2">
      <c r="A204" s="929"/>
      <c r="B204" s="929"/>
      <c r="C204" s="948"/>
      <c r="D204" s="929"/>
      <c r="E204" s="948"/>
      <c r="F204" s="929"/>
      <c r="G204" s="929"/>
    </row>
    <row r="205" spans="1:7" x14ac:dyDescent="0.2">
      <c r="A205" s="929"/>
      <c r="B205" s="929"/>
      <c r="C205" s="948"/>
      <c r="D205" s="929"/>
      <c r="E205" s="948"/>
      <c r="F205" s="929"/>
      <c r="G205" s="929"/>
    </row>
    <row r="206" spans="1:7" x14ac:dyDescent="0.2">
      <c r="A206" s="929"/>
      <c r="B206" s="929"/>
      <c r="C206" s="948"/>
      <c r="D206" s="929"/>
      <c r="E206" s="948"/>
      <c r="F206" s="929"/>
      <c r="G206" s="929"/>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zoomScaleNormal="100" workbookViewId="0">
      <pane ySplit="16" topLeftCell="A17" activePane="bottomLeft" state="frozen"/>
      <selection activeCell="H12" sqref="H12"/>
      <selection pane="bottomLeft" activeCell="A17" sqref="A17"/>
    </sheetView>
  </sheetViews>
  <sheetFormatPr defaultColWidth="9.140625" defaultRowHeight="15" x14ac:dyDescent="0.25"/>
  <cols>
    <col min="1" max="1" width="52" style="1560" customWidth="1"/>
    <col min="2" max="2" width="16.42578125" style="1561" bestFit="1" customWidth="1"/>
    <col min="3" max="3" width="33.7109375" style="1561" customWidth="1"/>
    <col min="4" max="4" width="16.28515625" style="1562" customWidth="1"/>
    <col min="5" max="5" width="0.140625" style="1562" hidden="1" customWidth="1"/>
    <col min="6" max="6" width="23.5703125" style="1562" customWidth="1"/>
    <col min="7" max="7" width="23.28515625" style="1561" customWidth="1"/>
    <col min="8" max="16384" width="9.140625" style="1551"/>
  </cols>
  <sheetData>
    <row r="1" spans="1:7" ht="15" customHeight="1" x14ac:dyDescent="0.25">
      <c r="A1" s="1677" t="s">
        <v>1937</v>
      </c>
      <c r="B1" s="1678"/>
      <c r="C1" s="1678"/>
      <c r="D1" s="1678"/>
      <c r="E1" s="1678"/>
      <c r="F1" s="1678"/>
      <c r="G1" s="1678"/>
    </row>
    <row r="2" spans="1:7" x14ac:dyDescent="0.25">
      <c r="A2" s="1675"/>
      <c r="B2" s="1675"/>
      <c r="C2" s="1676" t="s">
        <v>1036</v>
      </c>
      <c r="D2" s="1675"/>
      <c r="E2" s="1675"/>
      <c r="F2" s="1675"/>
      <c r="G2" s="1675"/>
    </row>
    <row r="3" spans="1:7" ht="5.25" customHeight="1" x14ac:dyDescent="0.25">
      <c r="A3" s="1563"/>
      <c r="B3" s="1563"/>
      <c r="C3" s="1563"/>
      <c r="D3" s="1563"/>
      <c r="E3" s="1563"/>
      <c r="F3" s="1563"/>
      <c r="G3" s="1563"/>
    </row>
    <row r="4" spans="1:7" ht="18.75" customHeight="1" x14ac:dyDescent="0.25">
      <c r="A4" s="2473" t="s">
        <v>1922</v>
      </c>
      <c r="B4" s="2474"/>
      <c r="C4" s="2474"/>
      <c r="D4" s="2474"/>
      <c r="E4" s="2474"/>
      <c r="F4" s="2474"/>
      <c r="G4" s="2475"/>
    </row>
    <row r="5" spans="1:7" x14ac:dyDescent="0.25">
      <c r="A5" s="2476"/>
      <c r="B5" s="2477"/>
      <c r="C5" s="2477"/>
      <c r="D5" s="2477"/>
      <c r="E5" s="2477"/>
      <c r="F5" s="2477"/>
      <c r="G5" s="2478"/>
    </row>
    <row r="6" spans="1:7" ht="18.75" x14ac:dyDescent="0.25">
      <c r="A6" s="1552" t="s">
        <v>1923</v>
      </c>
      <c r="B6" s="1553"/>
      <c r="C6" s="1553"/>
      <c r="D6" s="1553"/>
      <c r="E6" s="1553"/>
      <c r="F6" s="1553"/>
      <c r="G6" s="1554"/>
    </row>
    <row r="7" spans="1:7" ht="30.75" customHeight="1" x14ac:dyDescent="0.25">
      <c r="A7" s="2479" t="s">
        <v>2072</v>
      </c>
      <c r="B7" s="2480"/>
      <c r="C7" s="2480"/>
      <c r="D7" s="2480"/>
      <c r="E7" s="2480"/>
      <c r="F7" s="2480"/>
      <c r="G7" s="2481"/>
    </row>
    <row r="8" spans="1:7" ht="15.75" customHeight="1" x14ac:dyDescent="0.25">
      <c r="A8" s="2482" t="s">
        <v>2021</v>
      </c>
      <c r="B8" s="2483"/>
      <c r="C8" s="2483"/>
      <c r="D8" s="2483"/>
      <c r="E8" s="2483"/>
      <c r="F8" s="2483"/>
      <c r="G8" s="2484"/>
    </row>
    <row r="9" spans="1:7" ht="35.25" customHeight="1" x14ac:dyDescent="0.25">
      <c r="A9" s="2479" t="s">
        <v>2020</v>
      </c>
      <c r="B9" s="2480"/>
      <c r="C9" s="2480"/>
      <c r="D9" s="2480"/>
      <c r="E9" s="2480"/>
      <c r="F9" s="2480"/>
      <c r="G9" s="2481"/>
    </row>
    <row r="10" spans="1:7" ht="15" customHeight="1" x14ac:dyDescent="0.25">
      <c r="A10" s="1555" t="s">
        <v>1924</v>
      </c>
      <c r="B10" s="1556"/>
      <c r="C10" s="1556"/>
      <c r="D10" s="1556"/>
      <c r="E10" s="1556"/>
      <c r="F10" s="1556"/>
      <c r="G10" s="1557"/>
    </row>
    <row r="11" spans="1:7" ht="17.25" customHeight="1" x14ac:dyDescent="0.25">
      <c r="A11" s="2479" t="s">
        <v>1938</v>
      </c>
      <c r="B11" s="2480"/>
      <c r="C11" s="2480"/>
      <c r="D11" s="2480"/>
      <c r="E11" s="2480"/>
      <c r="F11" s="2480"/>
      <c r="G11" s="2481"/>
    </row>
    <row r="12" spans="1:7" ht="15" customHeight="1" x14ac:dyDescent="0.25">
      <c r="A12" s="1555" t="s">
        <v>1929</v>
      </c>
      <c r="B12" s="1556"/>
      <c r="C12" s="1556"/>
      <c r="D12" s="1556"/>
      <c r="E12" s="1556"/>
      <c r="F12" s="1556"/>
      <c r="G12" s="1557"/>
    </row>
    <row r="13" spans="1:7" ht="32.25" customHeight="1" x14ac:dyDescent="0.25">
      <c r="A13" s="2470" t="s">
        <v>1930</v>
      </c>
      <c r="B13" s="2471"/>
      <c r="C13" s="2471"/>
      <c r="D13" s="2471"/>
      <c r="E13" s="2471"/>
      <c r="F13" s="2471"/>
      <c r="G13" s="2472"/>
    </row>
    <row r="14" spans="1:7" x14ac:dyDescent="0.25">
      <c r="A14" s="1679" t="s">
        <v>1939</v>
      </c>
      <c r="B14" s="1680"/>
      <c r="C14" s="1680"/>
      <c r="D14" s="1680"/>
      <c r="E14" s="1680"/>
      <c r="F14" s="1680"/>
      <c r="G14" s="1681"/>
    </row>
    <row r="15" spans="1:7" ht="61.5" customHeight="1" x14ac:dyDescent="0.25">
      <c r="A15" s="1564" t="s">
        <v>1931</v>
      </c>
      <c r="B15" s="1564" t="s">
        <v>1932</v>
      </c>
      <c r="C15" s="1564" t="s">
        <v>1933</v>
      </c>
      <c r="D15" s="1565" t="s">
        <v>1934</v>
      </c>
      <c r="E15" s="1565" t="s">
        <v>1925</v>
      </c>
      <c r="F15" s="1565" t="s">
        <v>1935</v>
      </c>
      <c r="G15" s="1565" t="s">
        <v>1936</v>
      </c>
    </row>
    <row r="16" spans="1:7" x14ac:dyDescent="0.25">
      <c r="A16" s="1666" t="s">
        <v>1940</v>
      </c>
      <c r="B16" s="1667" t="s">
        <v>1928</v>
      </c>
      <c r="C16" s="1668" t="s">
        <v>1926</v>
      </c>
      <c r="D16" s="1669">
        <v>500000</v>
      </c>
      <c r="E16" s="1669">
        <f>IF(D16&lt;=25000,D16,IF(D16&gt;25000,25000,0))</f>
        <v>25000</v>
      </c>
      <c r="F16" s="1669">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0">
        <f>IF(F16=0,"0",D16-F16)</f>
        <v>475000</v>
      </c>
    </row>
    <row r="17" spans="1:8" ht="30" x14ac:dyDescent="0.25">
      <c r="A17" s="2103" t="s">
        <v>2262</v>
      </c>
      <c r="B17" s="2104" t="s">
        <v>2263</v>
      </c>
      <c r="C17" s="2105" t="s">
        <v>2264</v>
      </c>
      <c r="D17" s="1863">
        <v>1127798</v>
      </c>
      <c r="E17" s="1558">
        <f t="shared" ref="E17:E141" si="1">IF(D17&lt;=25000,D17,IF(D17&gt;25000,25000,0))</f>
        <v>25000</v>
      </c>
      <c r="F17" s="1811">
        <f t="shared" si="0"/>
        <v>25000</v>
      </c>
      <c r="G17" s="1812">
        <f>IF(F17=0,0,D17-F17)</f>
        <v>1102798</v>
      </c>
      <c r="H17" s="1665"/>
    </row>
    <row r="18" spans="1:8" x14ac:dyDescent="0.25">
      <c r="A18" s="1671"/>
      <c r="B18" s="1864"/>
      <c r="C18" s="1674"/>
      <c r="D18" s="1863"/>
      <c r="E18" s="1558">
        <f t="shared" ref="E18:E140" si="2">IF(D18&lt;=25000,D18,IF(D18&gt;25000,25000,0))</f>
        <v>0</v>
      </c>
      <c r="F18" s="1811">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2">
        <f t="shared" ref="G18:G140" si="4">IF(F18=0,0,D18-F18)</f>
        <v>0</v>
      </c>
    </row>
    <row r="19" spans="1:8" x14ac:dyDescent="0.25">
      <c r="A19" s="1671"/>
      <c r="B19" s="1865"/>
      <c r="C19" s="1674"/>
      <c r="D19" s="1863"/>
      <c r="E19" s="1558">
        <f t="shared" si="2"/>
        <v>0</v>
      </c>
      <c r="F19" s="1811">
        <f t="shared" si="3"/>
        <v>0</v>
      </c>
      <c r="G19" s="1812">
        <f t="shared" si="4"/>
        <v>0</v>
      </c>
    </row>
    <row r="20" spans="1:8" x14ac:dyDescent="0.25">
      <c r="A20" s="1671"/>
      <c r="B20" s="1864"/>
      <c r="C20" s="1674"/>
      <c r="D20" s="1863"/>
      <c r="E20" s="1558">
        <f t="shared" si="2"/>
        <v>0</v>
      </c>
      <c r="F20" s="1811">
        <f t="shared" si="3"/>
        <v>0</v>
      </c>
      <c r="G20" s="1812">
        <f t="shared" si="4"/>
        <v>0</v>
      </c>
    </row>
    <row r="21" spans="1:8" x14ac:dyDescent="0.25">
      <c r="A21" s="1671"/>
      <c r="B21" s="1864"/>
      <c r="C21" s="1674"/>
      <c r="D21" s="1863"/>
      <c r="E21" s="1558">
        <f t="shared" si="2"/>
        <v>0</v>
      </c>
      <c r="F21" s="1811">
        <f t="shared" si="3"/>
        <v>0</v>
      </c>
      <c r="G21" s="1812">
        <f t="shared" si="4"/>
        <v>0</v>
      </c>
    </row>
    <row r="22" spans="1:8" x14ac:dyDescent="0.25">
      <c r="A22" s="1671"/>
      <c r="B22" s="1864"/>
      <c r="C22" s="1674"/>
      <c r="D22" s="1863"/>
      <c r="E22" s="1558">
        <f t="shared" si="2"/>
        <v>0</v>
      </c>
      <c r="F22" s="1811">
        <f t="shared" si="3"/>
        <v>0</v>
      </c>
      <c r="G22" s="1812">
        <f t="shared" si="4"/>
        <v>0</v>
      </c>
    </row>
    <row r="23" spans="1:8" x14ac:dyDescent="0.25">
      <c r="A23" s="1671"/>
      <c r="B23" s="1864"/>
      <c r="C23" s="1674"/>
      <c r="D23" s="1863"/>
      <c r="E23" s="1558">
        <f t="shared" si="2"/>
        <v>0</v>
      </c>
      <c r="F23" s="1811">
        <f t="shared" si="3"/>
        <v>0</v>
      </c>
      <c r="G23" s="1812">
        <f t="shared" si="4"/>
        <v>0</v>
      </c>
    </row>
    <row r="24" spans="1:8" x14ac:dyDescent="0.25">
      <c r="A24" s="1671"/>
      <c r="B24" s="1865"/>
      <c r="C24" s="1674"/>
      <c r="D24" s="1863"/>
      <c r="E24" s="1558">
        <f t="shared" si="2"/>
        <v>0</v>
      </c>
      <c r="F24" s="1811">
        <f t="shared" si="3"/>
        <v>0</v>
      </c>
      <c r="G24" s="1812">
        <f t="shared" si="4"/>
        <v>0</v>
      </c>
    </row>
    <row r="25" spans="1:8" x14ac:dyDescent="0.25">
      <c r="A25" s="1671"/>
      <c r="B25" s="1864"/>
      <c r="C25" s="1674"/>
      <c r="D25" s="1863"/>
      <c r="E25" s="1558">
        <f t="shared" si="2"/>
        <v>0</v>
      </c>
      <c r="F25" s="1811">
        <f t="shared" si="3"/>
        <v>0</v>
      </c>
      <c r="G25" s="1812">
        <f t="shared" si="4"/>
        <v>0</v>
      </c>
    </row>
    <row r="26" spans="1:8" x14ac:dyDescent="0.25">
      <c r="A26" s="1671"/>
      <c r="B26" s="1865"/>
      <c r="C26" s="1672"/>
      <c r="D26" s="1863"/>
      <c r="E26" s="1558">
        <f t="shared" si="2"/>
        <v>0</v>
      </c>
      <c r="F26" s="1811">
        <f t="shared" si="3"/>
        <v>0</v>
      </c>
      <c r="G26" s="1812">
        <f t="shared" si="4"/>
        <v>0</v>
      </c>
    </row>
    <row r="27" spans="1:8" x14ac:dyDescent="0.25">
      <c r="A27" s="1671"/>
      <c r="B27" s="1865"/>
      <c r="C27" s="1672"/>
      <c r="D27" s="1863"/>
      <c r="E27" s="1558">
        <f t="shared" si="2"/>
        <v>0</v>
      </c>
      <c r="F27" s="1811">
        <f t="shared" si="3"/>
        <v>0</v>
      </c>
      <c r="G27" s="1812">
        <f t="shared" si="4"/>
        <v>0</v>
      </c>
    </row>
    <row r="28" spans="1:8" x14ac:dyDescent="0.25">
      <c r="A28" s="1671"/>
      <c r="B28" s="1865"/>
      <c r="C28" s="1672"/>
      <c r="D28" s="1863"/>
      <c r="E28" s="1558">
        <f t="shared" si="2"/>
        <v>0</v>
      </c>
      <c r="F28" s="1811">
        <f t="shared" si="3"/>
        <v>0</v>
      </c>
      <c r="G28" s="1812">
        <f t="shared" si="4"/>
        <v>0</v>
      </c>
    </row>
    <row r="29" spans="1:8" x14ac:dyDescent="0.25">
      <c r="A29" s="1671"/>
      <c r="B29" s="1865"/>
      <c r="C29" s="1672"/>
      <c r="D29" s="1863"/>
      <c r="E29" s="1558">
        <f t="shared" si="2"/>
        <v>0</v>
      </c>
      <c r="F29" s="1811">
        <f t="shared" si="3"/>
        <v>0</v>
      </c>
      <c r="G29" s="1812">
        <f t="shared" si="4"/>
        <v>0</v>
      </c>
    </row>
    <row r="30" spans="1:8" x14ac:dyDescent="0.25">
      <c r="A30" s="1671"/>
      <c r="B30" s="1865"/>
      <c r="C30" s="1672"/>
      <c r="D30" s="1863"/>
      <c r="E30" s="1558">
        <f t="shared" si="2"/>
        <v>0</v>
      </c>
      <c r="F30" s="1811">
        <f t="shared" si="3"/>
        <v>0</v>
      </c>
      <c r="G30" s="1812">
        <f t="shared" si="4"/>
        <v>0</v>
      </c>
    </row>
    <row r="31" spans="1:8" x14ac:dyDescent="0.25">
      <c r="A31" s="1671"/>
      <c r="B31" s="1865"/>
      <c r="C31" s="1672"/>
      <c r="D31" s="1863"/>
      <c r="E31" s="1558">
        <f t="shared" si="2"/>
        <v>0</v>
      </c>
      <c r="F31" s="1811">
        <f t="shared" si="3"/>
        <v>0</v>
      </c>
      <c r="G31" s="1812">
        <f t="shared" si="4"/>
        <v>0</v>
      </c>
    </row>
    <row r="32" spans="1:8" x14ac:dyDescent="0.25">
      <c r="A32" s="1671"/>
      <c r="B32" s="1865"/>
      <c r="C32" s="1672"/>
      <c r="D32" s="1863"/>
      <c r="E32" s="1558">
        <f t="shared" si="2"/>
        <v>0</v>
      </c>
      <c r="F32" s="1811">
        <f t="shared" si="3"/>
        <v>0</v>
      </c>
      <c r="G32" s="1812">
        <f t="shared" si="4"/>
        <v>0</v>
      </c>
    </row>
    <row r="33" spans="1:7" x14ac:dyDescent="0.25">
      <c r="A33" s="1671"/>
      <c r="B33" s="1865"/>
      <c r="C33" s="1672"/>
      <c r="D33" s="1863"/>
      <c r="E33" s="1558">
        <f t="shared" si="2"/>
        <v>0</v>
      </c>
      <c r="F33" s="1811">
        <f t="shared" si="3"/>
        <v>0</v>
      </c>
      <c r="G33" s="1812">
        <f t="shared" si="4"/>
        <v>0</v>
      </c>
    </row>
    <row r="34" spans="1:7" x14ac:dyDescent="0.25">
      <c r="A34" s="1671"/>
      <c r="B34" s="1865"/>
      <c r="C34" s="1672"/>
      <c r="D34" s="1863"/>
      <c r="E34" s="1558">
        <f t="shared" si="2"/>
        <v>0</v>
      </c>
      <c r="F34" s="1811">
        <f t="shared" si="3"/>
        <v>0</v>
      </c>
      <c r="G34" s="1812">
        <f t="shared" si="4"/>
        <v>0</v>
      </c>
    </row>
    <row r="35" spans="1:7" x14ac:dyDescent="0.25">
      <c r="A35" s="1671"/>
      <c r="B35" s="1865"/>
      <c r="C35" s="1672"/>
      <c r="D35" s="1863"/>
      <c r="E35" s="1558">
        <f t="shared" si="2"/>
        <v>0</v>
      </c>
      <c r="F35" s="1811">
        <f t="shared" si="3"/>
        <v>0</v>
      </c>
      <c r="G35" s="1812">
        <f t="shared" si="4"/>
        <v>0</v>
      </c>
    </row>
    <row r="36" spans="1:7" x14ac:dyDescent="0.25">
      <c r="A36" s="1671"/>
      <c r="B36" s="1865"/>
      <c r="C36" s="1672"/>
      <c r="D36" s="1863"/>
      <c r="E36" s="1558">
        <f t="shared" si="2"/>
        <v>0</v>
      </c>
      <c r="F36" s="1811">
        <f t="shared" si="3"/>
        <v>0</v>
      </c>
      <c r="G36" s="1812">
        <f t="shared" si="4"/>
        <v>0</v>
      </c>
    </row>
    <row r="37" spans="1:7" x14ac:dyDescent="0.25">
      <c r="A37" s="1671"/>
      <c r="B37" s="1865"/>
      <c r="C37" s="1672"/>
      <c r="D37" s="1863"/>
      <c r="E37" s="1558">
        <f t="shared" si="2"/>
        <v>0</v>
      </c>
      <c r="F37" s="1811">
        <f t="shared" si="3"/>
        <v>0</v>
      </c>
      <c r="G37" s="1812">
        <f t="shared" si="4"/>
        <v>0</v>
      </c>
    </row>
    <row r="38" spans="1:7" hidden="1" x14ac:dyDescent="0.25">
      <c r="A38" s="1671"/>
      <c r="B38" s="1685"/>
      <c r="C38" s="1672"/>
      <c r="D38" s="1863"/>
      <c r="E38" s="1558">
        <f t="shared" si="2"/>
        <v>0</v>
      </c>
      <c r="F38" s="1811">
        <f t="shared" si="3"/>
        <v>0</v>
      </c>
      <c r="G38" s="1812">
        <f t="shared" si="4"/>
        <v>0</v>
      </c>
    </row>
    <row r="39" spans="1:7" hidden="1" x14ac:dyDescent="0.25">
      <c r="A39" s="1671"/>
      <c r="B39" s="1685"/>
      <c r="C39" s="1672"/>
      <c r="D39" s="1863"/>
      <c r="E39" s="1558">
        <f t="shared" si="2"/>
        <v>0</v>
      </c>
      <c r="F39" s="1811">
        <f t="shared" si="3"/>
        <v>0</v>
      </c>
      <c r="G39" s="1812">
        <f t="shared" si="4"/>
        <v>0</v>
      </c>
    </row>
    <row r="40" spans="1:7" hidden="1" x14ac:dyDescent="0.25">
      <c r="A40" s="1671"/>
      <c r="B40" s="1685"/>
      <c r="C40" s="1672"/>
      <c r="D40" s="1863"/>
      <c r="E40" s="1558">
        <f t="shared" si="2"/>
        <v>0</v>
      </c>
      <c r="F40" s="1811">
        <f t="shared" si="3"/>
        <v>0</v>
      </c>
      <c r="G40" s="1812">
        <f t="shared" si="4"/>
        <v>0</v>
      </c>
    </row>
    <row r="41" spans="1:7" hidden="1" x14ac:dyDescent="0.25">
      <c r="A41" s="1671"/>
      <c r="B41" s="1685"/>
      <c r="C41" s="1672"/>
      <c r="D41" s="1863"/>
      <c r="E41" s="1558">
        <f t="shared" si="2"/>
        <v>0</v>
      </c>
      <c r="F41" s="1811">
        <f t="shared" si="3"/>
        <v>0</v>
      </c>
      <c r="G41" s="1812">
        <f t="shared" si="4"/>
        <v>0</v>
      </c>
    </row>
    <row r="42" spans="1:7" hidden="1" x14ac:dyDescent="0.25">
      <c r="A42" s="1671"/>
      <c r="B42" s="1685"/>
      <c r="C42" s="1672"/>
      <c r="D42" s="1863"/>
      <c r="E42" s="1558">
        <f t="shared" si="2"/>
        <v>0</v>
      </c>
      <c r="F42" s="1811">
        <f t="shared" si="3"/>
        <v>0</v>
      </c>
      <c r="G42" s="1812">
        <f t="shared" si="4"/>
        <v>0</v>
      </c>
    </row>
    <row r="43" spans="1:7" hidden="1" x14ac:dyDescent="0.25">
      <c r="A43" s="1671"/>
      <c r="B43" s="1685"/>
      <c r="C43" s="1672"/>
      <c r="D43" s="1863"/>
      <c r="E43" s="1558">
        <f t="shared" si="2"/>
        <v>0</v>
      </c>
      <c r="F43" s="1811">
        <f t="shared" si="3"/>
        <v>0</v>
      </c>
      <c r="G43" s="1812">
        <f t="shared" si="4"/>
        <v>0</v>
      </c>
    </row>
    <row r="44" spans="1:7" hidden="1" x14ac:dyDescent="0.25">
      <c r="A44" s="1671"/>
      <c r="B44" s="1685"/>
      <c r="C44" s="1672"/>
      <c r="D44" s="1863"/>
      <c r="E44" s="1558">
        <f t="shared" si="2"/>
        <v>0</v>
      </c>
      <c r="F44" s="1811">
        <f t="shared" si="3"/>
        <v>0</v>
      </c>
      <c r="G44" s="1812">
        <f t="shared" si="4"/>
        <v>0</v>
      </c>
    </row>
    <row r="45" spans="1:7" hidden="1" x14ac:dyDescent="0.25">
      <c r="A45" s="1671"/>
      <c r="B45" s="1685"/>
      <c r="C45" s="1672"/>
      <c r="D45" s="1863"/>
      <c r="E45" s="1558">
        <f t="shared" si="2"/>
        <v>0</v>
      </c>
      <c r="F45" s="1811">
        <f t="shared" si="3"/>
        <v>0</v>
      </c>
      <c r="G45" s="1812">
        <f t="shared" si="4"/>
        <v>0</v>
      </c>
    </row>
    <row r="46" spans="1:7" hidden="1" x14ac:dyDescent="0.25">
      <c r="A46" s="1671"/>
      <c r="B46" s="1685"/>
      <c r="C46" s="1672"/>
      <c r="D46" s="1863"/>
      <c r="E46" s="1558">
        <f t="shared" si="2"/>
        <v>0</v>
      </c>
      <c r="F46" s="1811">
        <f t="shared" si="3"/>
        <v>0</v>
      </c>
      <c r="G46" s="1812">
        <f t="shared" si="4"/>
        <v>0</v>
      </c>
    </row>
    <row r="47" spans="1:7" hidden="1" x14ac:dyDescent="0.25">
      <c r="A47" s="1671"/>
      <c r="B47" s="1685"/>
      <c r="C47" s="1672"/>
      <c r="D47" s="1863"/>
      <c r="E47" s="1558">
        <f t="shared" si="2"/>
        <v>0</v>
      </c>
      <c r="F47" s="1811">
        <f t="shared" si="3"/>
        <v>0</v>
      </c>
      <c r="G47" s="1812">
        <f t="shared" si="4"/>
        <v>0</v>
      </c>
    </row>
    <row r="48" spans="1:7" hidden="1" x14ac:dyDescent="0.25">
      <c r="A48" s="1671"/>
      <c r="B48" s="1685"/>
      <c r="C48" s="1672"/>
      <c r="D48" s="1863"/>
      <c r="E48" s="1558">
        <f t="shared" si="2"/>
        <v>0</v>
      </c>
      <c r="F48" s="1811">
        <f t="shared" si="3"/>
        <v>0</v>
      </c>
      <c r="G48" s="1812">
        <f t="shared" si="4"/>
        <v>0</v>
      </c>
    </row>
    <row r="49" spans="1:7" hidden="1" x14ac:dyDescent="0.25">
      <c r="A49" s="1671"/>
      <c r="B49" s="1685"/>
      <c r="C49" s="1672"/>
      <c r="D49" s="1863"/>
      <c r="E49" s="1558">
        <f t="shared" si="2"/>
        <v>0</v>
      </c>
      <c r="F49" s="1811">
        <f t="shared" si="3"/>
        <v>0</v>
      </c>
      <c r="G49" s="1812">
        <f t="shared" si="4"/>
        <v>0</v>
      </c>
    </row>
    <row r="50" spans="1:7" hidden="1" x14ac:dyDescent="0.25">
      <c r="A50" s="1671"/>
      <c r="B50" s="1685"/>
      <c r="C50" s="1672"/>
      <c r="D50" s="1863"/>
      <c r="E50" s="1558">
        <f t="shared" si="2"/>
        <v>0</v>
      </c>
      <c r="F50" s="1811">
        <f t="shared" si="3"/>
        <v>0</v>
      </c>
      <c r="G50" s="1812">
        <f t="shared" si="4"/>
        <v>0</v>
      </c>
    </row>
    <row r="51" spans="1:7" hidden="1" x14ac:dyDescent="0.25">
      <c r="A51" s="1671"/>
      <c r="B51" s="1685"/>
      <c r="C51" s="1672"/>
      <c r="D51" s="1863"/>
      <c r="E51" s="1558">
        <f t="shared" si="2"/>
        <v>0</v>
      </c>
      <c r="F51" s="1811">
        <f t="shared" si="3"/>
        <v>0</v>
      </c>
      <c r="G51" s="1812">
        <f t="shared" si="4"/>
        <v>0</v>
      </c>
    </row>
    <row r="52" spans="1:7" hidden="1" x14ac:dyDescent="0.25">
      <c r="A52" s="1671"/>
      <c r="B52" s="1685"/>
      <c r="C52" s="1672"/>
      <c r="D52" s="1863"/>
      <c r="E52" s="1558">
        <f t="shared" si="2"/>
        <v>0</v>
      </c>
      <c r="F52" s="1811">
        <f t="shared" si="3"/>
        <v>0</v>
      </c>
      <c r="G52" s="1812">
        <f t="shared" si="4"/>
        <v>0</v>
      </c>
    </row>
    <row r="53" spans="1:7" hidden="1" x14ac:dyDescent="0.25">
      <c r="A53" s="1671"/>
      <c r="B53" s="1685"/>
      <c r="C53" s="1672"/>
      <c r="D53" s="1863"/>
      <c r="E53" s="1558">
        <f t="shared" si="2"/>
        <v>0</v>
      </c>
      <c r="F53" s="1811">
        <f t="shared" si="3"/>
        <v>0</v>
      </c>
      <c r="G53" s="1812">
        <f t="shared" si="4"/>
        <v>0</v>
      </c>
    </row>
    <row r="54" spans="1:7" hidden="1" x14ac:dyDescent="0.25">
      <c r="A54" s="1671"/>
      <c r="B54" s="1685"/>
      <c r="C54" s="1672"/>
      <c r="D54" s="1863"/>
      <c r="E54" s="1558">
        <f t="shared" si="2"/>
        <v>0</v>
      </c>
      <c r="F54" s="1811">
        <f t="shared" si="3"/>
        <v>0</v>
      </c>
      <c r="G54" s="1812">
        <f t="shared" si="4"/>
        <v>0</v>
      </c>
    </row>
    <row r="55" spans="1:7" hidden="1" x14ac:dyDescent="0.25">
      <c r="A55" s="1671"/>
      <c r="B55" s="1685"/>
      <c r="C55" s="1672"/>
      <c r="D55" s="1863"/>
      <c r="E55" s="1558">
        <f t="shared" si="2"/>
        <v>0</v>
      </c>
      <c r="F55" s="1811">
        <f t="shared" si="3"/>
        <v>0</v>
      </c>
      <c r="G55" s="1812">
        <f t="shared" si="4"/>
        <v>0</v>
      </c>
    </row>
    <row r="56" spans="1:7" hidden="1" x14ac:dyDescent="0.25">
      <c r="A56" s="1671"/>
      <c r="B56" s="1685"/>
      <c r="C56" s="1672"/>
      <c r="D56" s="1863"/>
      <c r="E56" s="1558">
        <f t="shared" si="2"/>
        <v>0</v>
      </c>
      <c r="F56" s="1811">
        <f t="shared" si="3"/>
        <v>0</v>
      </c>
      <c r="G56" s="1812">
        <f t="shared" si="4"/>
        <v>0</v>
      </c>
    </row>
    <row r="57" spans="1:7" hidden="1" x14ac:dyDescent="0.25">
      <c r="A57" s="1671"/>
      <c r="B57" s="1685"/>
      <c r="C57" s="1672"/>
      <c r="D57" s="1863"/>
      <c r="E57" s="1558">
        <f t="shared" si="2"/>
        <v>0</v>
      </c>
      <c r="F57" s="1811">
        <f t="shared" si="3"/>
        <v>0</v>
      </c>
      <c r="G57" s="1812">
        <f t="shared" si="4"/>
        <v>0</v>
      </c>
    </row>
    <row r="58" spans="1:7" hidden="1" x14ac:dyDescent="0.25">
      <c r="A58" s="1671"/>
      <c r="B58" s="1685"/>
      <c r="C58" s="1672"/>
      <c r="D58" s="1863"/>
      <c r="E58" s="1558">
        <f t="shared" si="2"/>
        <v>0</v>
      </c>
      <c r="F58" s="1811">
        <f t="shared" si="3"/>
        <v>0</v>
      </c>
      <c r="G58" s="1812">
        <f t="shared" si="4"/>
        <v>0</v>
      </c>
    </row>
    <row r="59" spans="1:7" hidden="1" x14ac:dyDescent="0.25">
      <c r="A59" s="1671"/>
      <c r="B59" s="1685"/>
      <c r="C59" s="1672"/>
      <c r="D59" s="1863"/>
      <c r="E59" s="1558">
        <f t="shared" si="2"/>
        <v>0</v>
      </c>
      <c r="F59" s="1811">
        <f t="shared" si="3"/>
        <v>0</v>
      </c>
      <c r="G59" s="1812">
        <f t="shared" si="4"/>
        <v>0</v>
      </c>
    </row>
    <row r="60" spans="1:7" hidden="1" x14ac:dyDescent="0.25">
      <c r="A60" s="1671"/>
      <c r="B60" s="1685"/>
      <c r="C60" s="1672"/>
      <c r="D60" s="1863"/>
      <c r="E60" s="1558">
        <f t="shared" si="2"/>
        <v>0</v>
      </c>
      <c r="F60" s="1811">
        <f t="shared" si="3"/>
        <v>0</v>
      </c>
      <c r="G60" s="1812">
        <f t="shared" si="4"/>
        <v>0</v>
      </c>
    </row>
    <row r="61" spans="1:7" hidden="1" x14ac:dyDescent="0.25">
      <c r="A61" s="1671"/>
      <c r="B61" s="1685"/>
      <c r="C61" s="1672"/>
      <c r="D61" s="1863"/>
      <c r="E61" s="1558">
        <f t="shared" si="2"/>
        <v>0</v>
      </c>
      <c r="F61" s="1811">
        <f t="shared" si="3"/>
        <v>0</v>
      </c>
      <c r="G61" s="1812">
        <f t="shared" si="4"/>
        <v>0</v>
      </c>
    </row>
    <row r="62" spans="1:7" hidden="1" x14ac:dyDescent="0.25">
      <c r="A62" s="1671"/>
      <c r="B62" s="1685"/>
      <c r="C62" s="1672"/>
      <c r="D62" s="1863"/>
      <c r="E62" s="1558">
        <f t="shared" si="2"/>
        <v>0</v>
      </c>
      <c r="F62" s="1811">
        <f t="shared" si="3"/>
        <v>0</v>
      </c>
      <c r="G62" s="1812">
        <f t="shared" si="4"/>
        <v>0</v>
      </c>
    </row>
    <row r="63" spans="1:7" hidden="1" x14ac:dyDescent="0.25">
      <c r="A63" s="1671"/>
      <c r="B63" s="1685"/>
      <c r="C63" s="1672"/>
      <c r="D63" s="1863"/>
      <c r="E63" s="1558">
        <f t="shared" si="2"/>
        <v>0</v>
      </c>
      <c r="F63" s="1811">
        <f t="shared" si="3"/>
        <v>0</v>
      </c>
      <c r="G63" s="1812">
        <f t="shared" si="4"/>
        <v>0</v>
      </c>
    </row>
    <row r="64" spans="1:7" hidden="1" x14ac:dyDescent="0.25">
      <c r="A64" s="1673"/>
      <c r="B64" s="1685"/>
      <c r="C64" s="1674"/>
      <c r="D64" s="1863"/>
      <c r="E64" s="1558">
        <f t="shared" si="2"/>
        <v>0</v>
      </c>
      <c r="F64" s="1811">
        <f t="shared" si="3"/>
        <v>0</v>
      </c>
      <c r="G64" s="1812">
        <f t="shared" si="4"/>
        <v>0</v>
      </c>
    </row>
    <row r="65" spans="1:7" hidden="1" x14ac:dyDescent="0.25">
      <c r="A65" s="1671"/>
      <c r="B65" s="1685"/>
      <c r="C65" s="1672"/>
      <c r="D65" s="1863"/>
      <c r="E65" s="1558">
        <f t="shared" si="2"/>
        <v>0</v>
      </c>
      <c r="F65" s="1811">
        <f t="shared" si="3"/>
        <v>0</v>
      </c>
      <c r="G65" s="1812">
        <f t="shared" si="4"/>
        <v>0</v>
      </c>
    </row>
    <row r="66" spans="1:7" hidden="1" x14ac:dyDescent="0.25">
      <c r="A66" s="1671"/>
      <c r="B66" s="1685"/>
      <c r="C66" s="1672"/>
      <c r="D66" s="1863"/>
      <c r="E66" s="1558">
        <f t="shared" si="2"/>
        <v>0</v>
      </c>
      <c r="F66" s="1811">
        <f t="shared" si="3"/>
        <v>0</v>
      </c>
      <c r="G66" s="1812">
        <f t="shared" si="4"/>
        <v>0</v>
      </c>
    </row>
    <row r="67" spans="1:7" hidden="1" x14ac:dyDescent="0.25">
      <c r="A67" s="1671"/>
      <c r="B67" s="1685"/>
      <c r="C67" s="1672"/>
      <c r="D67" s="1863"/>
      <c r="E67" s="1558">
        <f t="shared" si="2"/>
        <v>0</v>
      </c>
      <c r="F67" s="1811">
        <f t="shared" si="3"/>
        <v>0</v>
      </c>
      <c r="G67" s="1812">
        <f t="shared" si="4"/>
        <v>0</v>
      </c>
    </row>
    <row r="68" spans="1:7" hidden="1" x14ac:dyDescent="0.25">
      <c r="A68" s="1671"/>
      <c r="B68" s="1685"/>
      <c r="C68" s="1672"/>
      <c r="D68" s="1863"/>
      <c r="E68" s="1558">
        <f t="shared" si="2"/>
        <v>0</v>
      </c>
      <c r="F68" s="1811">
        <f t="shared" si="3"/>
        <v>0</v>
      </c>
      <c r="G68" s="1812">
        <f t="shared" si="4"/>
        <v>0</v>
      </c>
    </row>
    <row r="69" spans="1:7" hidden="1" x14ac:dyDescent="0.25">
      <c r="A69" s="1671"/>
      <c r="B69" s="1685"/>
      <c r="C69" s="1672"/>
      <c r="D69" s="1863"/>
      <c r="E69" s="1558">
        <f t="shared" si="2"/>
        <v>0</v>
      </c>
      <c r="F69" s="1811">
        <f t="shared" si="3"/>
        <v>0</v>
      </c>
      <c r="G69" s="1812">
        <f t="shared" si="4"/>
        <v>0</v>
      </c>
    </row>
    <row r="70" spans="1:7" hidden="1" x14ac:dyDescent="0.25">
      <c r="A70" s="1671"/>
      <c r="B70" s="1685"/>
      <c r="C70" s="1672"/>
      <c r="D70" s="1863"/>
      <c r="E70" s="1558">
        <f t="shared" si="2"/>
        <v>0</v>
      </c>
      <c r="F70" s="1811">
        <f t="shared" si="3"/>
        <v>0</v>
      </c>
      <c r="G70" s="1812">
        <f t="shared" si="4"/>
        <v>0</v>
      </c>
    </row>
    <row r="71" spans="1:7" hidden="1" x14ac:dyDescent="0.25">
      <c r="A71" s="1671"/>
      <c r="B71" s="1685"/>
      <c r="C71" s="1672"/>
      <c r="D71" s="1863"/>
      <c r="E71" s="1558">
        <f t="shared" si="2"/>
        <v>0</v>
      </c>
      <c r="F71" s="1811">
        <f t="shared" si="3"/>
        <v>0</v>
      </c>
      <c r="G71" s="1812">
        <f t="shared" si="4"/>
        <v>0</v>
      </c>
    </row>
    <row r="72" spans="1:7" hidden="1" x14ac:dyDescent="0.25">
      <c r="A72" s="1671"/>
      <c r="B72" s="1685"/>
      <c r="C72" s="1672"/>
      <c r="D72" s="1863"/>
      <c r="E72" s="1558">
        <f t="shared" si="2"/>
        <v>0</v>
      </c>
      <c r="F72" s="1811">
        <f t="shared" si="3"/>
        <v>0</v>
      </c>
      <c r="G72" s="1812">
        <f t="shared" si="4"/>
        <v>0</v>
      </c>
    </row>
    <row r="73" spans="1:7" hidden="1" x14ac:dyDescent="0.25">
      <c r="A73" s="1671"/>
      <c r="B73" s="1685"/>
      <c r="C73" s="1672"/>
      <c r="D73" s="1863"/>
      <c r="E73" s="1558">
        <f t="shared" ref="E73:E84" si="5">IF(D73&lt;=25000,D73,IF(D73&gt;25000,25000,0))</f>
        <v>0</v>
      </c>
      <c r="F73" s="1811">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2">
        <f t="shared" ref="G73:G84" si="7">IF(F73=0,0,D73-F73)</f>
        <v>0</v>
      </c>
    </row>
    <row r="74" spans="1:7" hidden="1" x14ac:dyDescent="0.25">
      <c r="A74" s="1671"/>
      <c r="B74" s="1685"/>
      <c r="C74" s="1672"/>
      <c r="D74" s="1863"/>
      <c r="E74" s="1558">
        <f t="shared" si="5"/>
        <v>0</v>
      </c>
      <c r="F74" s="1811">
        <f t="shared" si="6"/>
        <v>0</v>
      </c>
      <c r="G74" s="1812">
        <f t="shared" si="7"/>
        <v>0</v>
      </c>
    </row>
    <row r="75" spans="1:7" hidden="1" x14ac:dyDescent="0.25">
      <c r="A75" s="1671"/>
      <c r="B75" s="1685"/>
      <c r="C75" s="1672"/>
      <c r="D75" s="1863"/>
      <c r="E75" s="1558">
        <f t="shared" si="5"/>
        <v>0</v>
      </c>
      <c r="F75" s="1811">
        <f t="shared" si="6"/>
        <v>0</v>
      </c>
      <c r="G75" s="1812">
        <f t="shared" si="7"/>
        <v>0</v>
      </c>
    </row>
    <row r="76" spans="1:7" hidden="1" x14ac:dyDescent="0.25">
      <c r="A76" s="1671"/>
      <c r="B76" s="1685"/>
      <c r="C76" s="1672"/>
      <c r="D76" s="1863"/>
      <c r="E76" s="1558">
        <f t="shared" si="5"/>
        <v>0</v>
      </c>
      <c r="F76" s="1811">
        <f t="shared" si="6"/>
        <v>0</v>
      </c>
      <c r="G76" s="1812">
        <f t="shared" si="7"/>
        <v>0</v>
      </c>
    </row>
    <row r="77" spans="1:7" hidden="1" x14ac:dyDescent="0.25">
      <c r="A77" s="1671"/>
      <c r="B77" s="1685"/>
      <c r="C77" s="1672"/>
      <c r="D77" s="1863"/>
      <c r="E77" s="1558">
        <f t="shared" si="5"/>
        <v>0</v>
      </c>
      <c r="F77" s="1811">
        <f t="shared" si="6"/>
        <v>0</v>
      </c>
      <c r="G77" s="1812">
        <f t="shared" si="7"/>
        <v>0</v>
      </c>
    </row>
    <row r="78" spans="1:7" hidden="1" x14ac:dyDescent="0.25">
      <c r="A78" s="1671"/>
      <c r="B78" s="1685"/>
      <c r="C78" s="1672"/>
      <c r="D78" s="1863"/>
      <c r="E78" s="1558">
        <f t="shared" si="5"/>
        <v>0</v>
      </c>
      <c r="F78" s="1811">
        <f t="shared" si="6"/>
        <v>0</v>
      </c>
      <c r="G78" s="1812">
        <f t="shared" si="7"/>
        <v>0</v>
      </c>
    </row>
    <row r="79" spans="1:7" hidden="1" x14ac:dyDescent="0.25">
      <c r="A79" s="1671"/>
      <c r="B79" s="1685"/>
      <c r="C79" s="1672"/>
      <c r="D79" s="1863"/>
      <c r="E79" s="1558">
        <f t="shared" si="5"/>
        <v>0</v>
      </c>
      <c r="F79" s="1811">
        <f t="shared" si="6"/>
        <v>0</v>
      </c>
      <c r="G79" s="1812">
        <f t="shared" si="7"/>
        <v>0</v>
      </c>
    </row>
    <row r="80" spans="1:7" hidden="1" x14ac:dyDescent="0.25">
      <c r="A80" s="1671"/>
      <c r="B80" s="1685"/>
      <c r="C80" s="1672"/>
      <c r="D80" s="1863"/>
      <c r="E80" s="1558">
        <f t="shared" si="5"/>
        <v>0</v>
      </c>
      <c r="F80" s="1811">
        <f t="shared" si="6"/>
        <v>0</v>
      </c>
      <c r="G80" s="1812">
        <f t="shared" si="7"/>
        <v>0</v>
      </c>
    </row>
    <row r="81" spans="1:7" hidden="1" x14ac:dyDescent="0.25">
      <c r="A81" s="1671"/>
      <c r="B81" s="1685"/>
      <c r="C81" s="1672"/>
      <c r="D81" s="1863"/>
      <c r="E81" s="1558">
        <f t="shared" si="5"/>
        <v>0</v>
      </c>
      <c r="F81" s="1811">
        <f t="shared" si="6"/>
        <v>0</v>
      </c>
      <c r="G81" s="1812">
        <f t="shared" si="7"/>
        <v>0</v>
      </c>
    </row>
    <row r="82" spans="1:7" hidden="1" x14ac:dyDescent="0.25">
      <c r="A82" s="1671"/>
      <c r="B82" s="1685"/>
      <c r="C82" s="1672"/>
      <c r="D82" s="1863"/>
      <c r="E82" s="1558">
        <f t="shared" si="5"/>
        <v>0</v>
      </c>
      <c r="F82" s="1811">
        <f t="shared" si="6"/>
        <v>0</v>
      </c>
      <c r="G82" s="1812">
        <f t="shared" si="7"/>
        <v>0</v>
      </c>
    </row>
    <row r="83" spans="1:7" hidden="1" x14ac:dyDescent="0.25">
      <c r="A83" s="1671"/>
      <c r="B83" s="1685"/>
      <c r="C83" s="1672"/>
      <c r="D83" s="1863"/>
      <c r="E83" s="1558">
        <f t="shared" si="5"/>
        <v>0</v>
      </c>
      <c r="F83" s="1811">
        <f t="shared" si="6"/>
        <v>0</v>
      </c>
      <c r="G83" s="1812">
        <f t="shared" si="7"/>
        <v>0</v>
      </c>
    </row>
    <row r="84" spans="1:7" hidden="1" x14ac:dyDescent="0.25">
      <c r="A84" s="1671"/>
      <c r="B84" s="1685"/>
      <c r="C84" s="1672"/>
      <c r="D84" s="1863"/>
      <c r="E84" s="1558">
        <f t="shared" si="5"/>
        <v>0</v>
      </c>
      <c r="F84" s="1811">
        <f t="shared" si="6"/>
        <v>0</v>
      </c>
      <c r="G84" s="1812">
        <f t="shared" si="7"/>
        <v>0</v>
      </c>
    </row>
    <row r="85" spans="1:7" hidden="1" x14ac:dyDescent="0.25">
      <c r="A85" s="1671"/>
      <c r="B85" s="1685"/>
      <c r="C85" s="1672"/>
      <c r="D85" s="1863"/>
      <c r="E85" s="1558">
        <f t="shared" si="2"/>
        <v>0</v>
      </c>
      <c r="F85" s="1811">
        <f t="shared" si="3"/>
        <v>0</v>
      </c>
      <c r="G85" s="1812">
        <f t="shared" si="4"/>
        <v>0</v>
      </c>
    </row>
    <row r="86" spans="1:7" hidden="1" x14ac:dyDescent="0.25">
      <c r="A86" s="1671"/>
      <c r="B86" s="1685"/>
      <c r="C86" s="1672"/>
      <c r="D86" s="1863"/>
      <c r="E86" s="1558">
        <f t="shared" si="2"/>
        <v>0</v>
      </c>
      <c r="F86" s="1811">
        <f t="shared" si="3"/>
        <v>0</v>
      </c>
      <c r="G86" s="1812">
        <f t="shared" si="4"/>
        <v>0</v>
      </c>
    </row>
    <row r="87" spans="1:7" hidden="1" x14ac:dyDescent="0.25">
      <c r="A87" s="1671"/>
      <c r="B87" s="1685"/>
      <c r="C87" s="1672"/>
      <c r="D87" s="1863"/>
      <c r="E87" s="1558">
        <f t="shared" si="2"/>
        <v>0</v>
      </c>
      <c r="F87" s="1811">
        <f t="shared" si="3"/>
        <v>0</v>
      </c>
      <c r="G87" s="1812">
        <f t="shared" si="4"/>
        <v>0</v>
      </c>
    </row>
    <row r="88" spans="1:7" hidden="1" x14ac:dyDescent="0.25">
      <c r="A88" s="1671"/>
      <c r="B88" s="1685"/>
      <c r="C88" s="1672"/>
      <c r="D88" s="1863"/>
      <c r="E88" s="1558">
        <f t="shared" si="2"/>
        <v>0</v>
      </c>
      <c r="F88" s="1811">
        <f t="shared" si="3"/>
        <v>0</v>
      </c>
      <c r="G88" s="1812">
        <f t="shared" si="4"/>
        <v>0</v>
      </c>
    </row>
    <row r="89" spans="1:7" hidden="1" x14ac:dyDescent="0.25">
      <c r="A89" s="1671"/>
      <c r="B89" s="1685"/>
      <c r="C89" s="1672"/>
      <c r="D89" s="1863"/>
      <c r="E89" s="1558">
        <f t="shared" si="2"/>
        <v>0</v>
      </c>
      <c r="F89" s="1811">
        <f t="shared" si="3"/>
        <v>0</v>
      </c>
      <c r="G89" s="1812">
        <f t="shared" si="4"/>
        <v>0</v>
      </c>
    </row>
    <row r="90" spans="1:7" hidden="1" x14ac:dyDescent="0.25">
      <c r="A90" s="1671"/>
      <c r="B90" s="1685"/>
      <c r="C90" s="1672"/>
      <c r="D90" s="1863"/>
      <c r="E90" s="1558">
        <f t="shared" si="2"/>
        <v>0</v>
      </c>
      <c r="F90" s="1811">
        <f t="shared" si="3"/>
        <v>0</v>
      </c>
      <c r="G90" s="1812">
        <f t="shared" si="4"/>
        <v>0</v>
      </c>
    </row>
    <row r="91" spans="1:7" hidden="1" x14ac:dyDescent="0.25">
      <c r="A91" s="1671"/>
      <c r="B91" s="1685"/>
      <c r="C91" s="1672"/>
      <c r="D91" s="1863"/>
      <c r="E91" s="1558">
        <f t="shared" si="2"/>
        <v>0</v>
      </c>
      <c r="F91" s="1811">
        <f t="shared" si="3"/>
        <v>0</v>
      </c>
      <c r="G91" s="1812">
        <f t="shared" si="4"/>
        <v>0</v>
      </c>
    </row>
    <row r="92" spans="1:7" hidden="1" x14ac:dyDescent="0.25">
      <c r="A92" s="1671"/>
      <c r="B92" s="1685"/>
      <c r="C92" s="1672"/>
      <c r="D92" s="1863"/>
      <c r="E92" s="1558">
        <f t="shared" si="2"/>
        <v>0</v>
      </c>
      <c r="F92" s="1811">
        <f t="shared" si="3"/>
        <v>0</v>
      </c>
      <c r="G92" s="1812">
        <f t="shared" si="4"/>
        <v>0</v>
      </c>
    </row>
    <row r="93" spans="1:7" hidden="1" x14ac:dyDescent="0.25">
      <c r="A93" s="1671"/>
      <c r="B93" s="1685"/>
      <c r="C93" s="1672"/>
      <c r="D93" s="1863"/>
      <c r="E93" s="1558">
        <f t="shared" ref="E93" si="8">IF(D93&lt;=25000,D93,IF(D93&gt;25000,25000,0))</f>
        <v>0</v>
      </c>
      <c r="F93" s="1811">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2">
        <f t="shared" ref="G93" si="10">IF(F93=0,0,D93-F93)</f>
        <v>0</v>
      </c>
    </row>
    <row r="94" spans="1:7" hidden="1" x14ac:dyDescent="0.25">
      <c r="A94" s="1671"/>
      <c r="B94" s="1685"/>
      <c r="C94" s="1672"/>
      <c r="D94" s="1863"/>
      <c r="E94" s="1558">
        <f t="shared" si="2"/>
        <v>0</v>
      </c>
      <c r="F94" s="1811">
        <f t="shared" si="3"/>
        <v>0</v>
      </c>
      <c r="G94" s="1812">
        <f t="shared" si="4"/>
        <v>0</v>
      </c>
    </row>
    <row r="95" spans="1:7" hidden="1" x14ac:dyDescent="0.25">
      <c r="A95" s="1671"/>
      <c r="B95" s="1685"/>
      <c r="C95" s="1672"/>
      <c r="D95" s="1863"/>
      <c r="E95" s="1558">
        <f t="shared" ref="E95:E98" si="11">IF(D95&lt;=25000,D95,IF(D95&gt;25000,25000,0))</f>
        <v>0</v>
      </c>
      <c r="F95" s="1811">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2">
        <f t="shared" ref="G95:G98" si="13">IF(F95=0,0,D95-F95)</f>
        <v>0</v>
      </c>
    </row>
    <row r="96" spans="1:7" hidden="1" x14ac:dyDescent="0.25">
      <c r="A96" s="1671"/>
      <c r="B96" s="1685"/>
      <c r="C96" s="1672"/>
      <c r="D96" s="1863"/>
      <c r="E96" s="1558">
        <f t="shared" si="11"/>
        <v>0</v>
      </c>
      <c r="F96" s="1811">
        <f t="shared" si="12"/>
        <v>0</v>
      </c>
      <c r="G96" s="1812">
        <f t="shared" si="13"/>
        <v>0</v>
      </c>
    </row>
    <row r="97" spans="1:7" hidden="1" x14ac:dyDescent="0.25">
      <c r="A97" s="1671"/>
      <c r="B97" s="1685"/>
      <c r="C97" s="1672"/>
      <c r="D97" s="1863"/>
      <c r="E97" s="1558">
        <f t="shared" si="11"/>
        <v>0</v>
      </c>
      <c r="F97" s="1811">
        <f t="shared" si="12"/>
        <v>0</v>
      </c>
      <c r="G97" s="1812">
        <f t="shared" si="13"/>
        <v>0</v>
      </c>
    </row>
    <row r="98" spans="1:7" hidden="1" x14ac:dyDescent="0.25">
      <c r="A98" s="1671"/>
      <c r="B98" s="1685"/>
      <c r="C98" s="1672"/>
      <c r="D98" s="1863"/>
      <c r="E98" s="1558">
        <f t="shared" si="11"/>
        <v>0</v>
      </c>
      <c r="F98" s="1811">
        <f t="shared" si="12"/>
        <v>0</v>
      </c>
      <c r="G98" s="1812">
        <f t="shared" si="13"/>
        <v>0</v>
      </c>
    </row>
    <row r="99" spans="1:7" hidden="1" x14ac:dyDescent="0.25">
      <c r="A99" s="1671"/>
      <c r="B99" s="1685"/>
      <c r="C99" s="1672"/>
      <c r="D99" s="1863"/>
      <c r="E99" s="1558">
        <f t="shared" ref="E99" si="14">IF(D99&lt;=25000,D99,IF(D99&gt;25000,25000,0))</f>
        <v>0</v>
      </c>
      <c r="F99" s="1811">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2">
        <f t="shared" ref="G99" si="16">IF(F99=0,0,D99-F99)</f>
        <v>0</v>
      </c>
    </row>
    <row r="100" spans="1:7" hidden="1" x14ac:dyDescent="0.25">
      <c r="A100" s="1671"/>
      <c r="B100" s="1685"/>
      <c r="C100" s="1672"/>
      <c r="D100" s="1863"/>
      <c r="E100" s="1558">
        <f t="shared" ref="E100:E112" si="17">IF(D100&lt;=25000,D100,IF(D100&gt;25000,25000,0))</f>
        <v>0</v>
      </c>
      <c r="F100" s="1811">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2">
        <f t="shared" ref="G100:G112" si="19">IF(F100=0,0,D100-F100)</f>
        <v>0</v>
      </c>
    </row>
    <row r="101" spans="1:7" hidden="1" x14ac:dyDescent="0.25">
      <c r="A101" s="1671"/>
      <c r="B101" s="1685"/>
      <c r="C101" s="1672"/>
      <c r="D101" s="1863"/>
      <c r="E101" s="1558">
        <f t="shared" si="17"/>
        <v>0</v>
      </c>
      <c r="F101" s="1811">
        <f t="shared" si="18"/>
        <v>0</v>
      </c>
      <c r="G101" s="1812">
        <f t="shared" si="19"/>
        <v>0</v>
      </c>
    </row>
    <row r="102" spans="1:7" hidden="1" x14ac:dyDescent="0.25">
      <c r="A102" s="1671"/>
      <c r="B102" s="1685"/>
      <c r="C102" s="1672"/>
      <c r="D102" s="1863"/>
      <c r="E102" s="1558">
        <f t="shared" si="17"/>
        <v>0</v>
      </c>
      <c r="F102" s="1811">
        <f t="shared" si="18"/>
        <v>0</v>
      </c>
      <c r="G102" s="1812">
        <f t="shared" si="19"/>
        <v>0</v>
      </c>
    </row>
    <row r="103" spans="1:7" hidden="1" x14ac:dyDescent="0.25">
      <c r="A103" s="1671"/>
      <c r="B103" s="1685"/>
      <c r="C103" s="1672"/>
      <c r="D103" s="1863"/>
      <c r="E103" s="1558">
        <f t="shared" si="17"/>
        <v>0</v>
      </c>
      <c r="F103" s="1811">
        <f t="shared" si="18"/>
        <v>0</v>
      </c>
      <c r="G103" s="1812">
        <f t="shared" si="19"/>
        <v>0</v>
      </c>
    </row>
    <row r="104" spans="1:7" hidden="1" x14ac:dyDescent="0.25">
      <c r="A104" s="1671"/>
      <c r="B104" s="1685"/>
      <c r="C104" s="1672"/>
      <c r="D104" s="1863"/>
      <c r="E104" s="1558">
        <f t="shared" si="17"/>
        <v>0</v>
      </c>
      <c r="F104" s="1811">
        <f t="shared" si="18"/>
        <v>0</v>
      </c>
      <c r="G104" s="1812">
        <f t="shared" si="19"/>
        <v>0</v>
      </c>
    </row>
    <row r="105" spans="1:7" hidden="1" x14ac:dyDescent="0.25">
      <c r="A105" s="1671"/>
      <c r="B105" s="1685"/>
      <c r="C105" s="1672"/>
      <c r="D105" s="1863"/>
      <c r="E105" s="1558">
        <f t="shared" si="17"/>
        <v>0</v>
      </c>
      <c r="F105" s="1811">
        <f t="shared" si="18"/>
        <v>0</v>
      </c>
      <c r="G105" s="1812">
        <f t="shared" si="19"/>
        <v>0</v>
      </c>
    </row>
    <row r="106" spans="1:7" hidden="1" x14ac:dyDescent="0.25">
      <c r="A106" s="1671"/>
      <c r="B106" s="1685"/>
      <c r="C106" s="1672"/>
      <c r="D106" s="1863"/>
      <c r="E106" s="1558">
        <f t="shared" si="17"/>
        <v>0</v>
      </c>
      <c r="F106" s="1811">
        <f t="shared" si="18"/>
        <v>0</v>
      </c>
      <c r="G106" s="1812">
        <f t="shared" si="19"/>
        <v>0</v>
      </c>
    </row>
    <row r="107" spans="1:7" hidden="1" x14ac:dyDescent="0.25">
      <c r="A107" s="1671"/>
      <c r="B107" s="1685"/>
      <c r="C107" s="1672"/>
      <c r="D107" s="1863"/>
      <c r="E107" s="1558">
        <f t="shared" si="17"/>
        <v>0</v>
      </c>
      <c r="F107" s="1811">
        <f t="shared" si="18"/>
        <v>0</v>
      </c>
      <c r="G107" s="1812">
        <f t="shared" si="19"/>
        <v>0</v>
      </c>
    </row>
    <row r="108" spans="1:7" hidden="1" x14ac:dyDescent="0.25">
      <c r="A108" s="1671"/>
      <c r="B108" s="1685"/>
      <c r="C108" s="1672"/>
      <c r="D108" s="1863"/>
      <c r="E108" s="1558">
        <f t="shared" si="17"/>
        <v>0</v>
      </c>
      <c r="F108" s="1811">
        <f t="shared" si="18"/>
        <v>0</v>
      </c>
      <c r="G108" s="1812">
        <f t="shared" si="19"/>
        <v>0</v>
      </c>
    </row>
    <row r="109" spans="1:7" hidden="1" x14ac:dyDescent="0.25">
      <c r="A109" s="1671"/>
      <c r="B109" s="1685"/>
      <c r="C109" s="1672"/>
      <c r="D109" s="1863"/>
      <c r="E109" s="1558">
        <f t="shared" si="17"/>
        <v>0</v>
      </c>
      <c r="F109" s="1811">
        <f t="shared" si="18"/>
        <v>0</v>
      </c>
      <c r="G109" s="1812">
        <f t="shared" si="19"/>
        <v>0</v>
      </c>
    </row>
    <row r="110" spans="1:7" hidden="1" x14ac:dyDescent="0.25">
      <c r="A110" s="1671"/>
      <c r="B110" s="1685"/>
      <c r="C110" s="1672"/>
      <c r="D110" s="1863"/>
      <c r="E110" s="1558">
        <f t="shared" si="17"/>
        <v>0</v>
      </c>
      <c r="F110" s="1811">
        <f t="shared" si="18"/>
        <v>0</v>
      </c>
      <c r="G110" s="1812">
        <f t="shared" si="19"/>
        <v>0</v>
      </c>
    </row>
    <row r="111" spans="1:7" hidden="1" x14ac:dyDescent="0.25">
      <c r="A111" s="1671"/>
      <c r="B111" s="1685"/>
      <c r="C111" s="1672"/>
      <c r="D111" s="1863"/>
      <c r="E111" s="1558">
        <f t="shared" si="17"/>
        <v>0</v>
      </c>
      <c r="F111" s="1811">
        <f t="shared" si="18"/>
        <v>0</v>
      </c>
      <c r="G111" s="1812">
        <f t="shared" si="19"/>
        <v>0</v>
      </c>
    </row>
    <row r="112" spans="1:7" hidden="1" x14ac:dyDescent="0.25">
      <c r="A112" s="1671"/>
      <c r="B112" s="1685"/>
      <c r="C112" s="1672"/>
      <c r="D112" s="1863"/>
      <c r="E112" s="1558">
        <f t="shared" si="17"/>
        <v>0</v>
      </c>
      <c r="F112" s="1811">
        <f t="shared" si="18"/>
        <v>0</v>
      </c>
      <c r="G112" s="1812">
        <f t="shared" si="19"/>
        <v>0</v>
      </c>
    </row>
    <row r="113" spans="1:7" hidden="1" x14ac:dyDescent="0.25">
      <c r="A113" s="1671"/>
      <c r="B113" s="1685"/>
      <c r="C113" s="1672"/>
      <c r="D113" s="1863"/>
      <c r="E113" s="1558">
        <f t="shared" ref="E113:E125" si="20">IF(D113&lt;=25000,D113,IF(D113&gt;25000,25000,0))</f>
        <v>0</v>
      </c>
      <c r="F113" s="1811">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2">
        <f t="shared" ref="G113:G125" si="22">IF(F113=0,0,D113-F113)</f>
        <v>0</v>
      </c>
    </row>
    <row r="114" spans="1:7" hidden="1" x14ac:dyDescent="0.25">
      <c r="A114" s="1671"/>
      <c r="B114" s="1685"/>
      <c r="C114" s="1672"/>
      <c r="D114" s="1863"/>
      <c r="E114" s="1558">
        <f t="shared" si="20"/>
        <v>0</v>
      </c>
      <c r="F114" s="1811">
        <f t="shared" si="21"/>
        <v>0</v>
      </c>
      <c r="G114" s="1812">
        <f t="shared" si="22"/>
        <v>0</v>
      </c>
    </row>
    <row r="115" spans="1:7" hidden="1" x14ac:dyDescent="0.25">
      <c r="A115" s="1671"/>
      <c r="B115" s="1685"/>
      <c r="C115" s="1672"/>
      <c r="D115" s="1863"/>
      <c r="E115" s="1558">
        <f t="shared" si="20"/>
        <v>0</v>
      </c>
      <c r="F115" s="1811">
        <f t="shared" si="21"/>
        <v>0</v>
      </c>
      <c r="G115" s="1812">
        <f t="shared" si="22"/>
        <v>0</v>
      </c>
    </row>
    <row r="116" spans="1:7" hidden="1" x14ac:dyDescent="0.25">
      <c r="A116" s="1671"/>
      <c r="B116" s="1685"/>
      <c r="C116" s="1672"/>
      <c r="D116" s="1863"/>
      <c r="E116" s="1558">
        <f t="shared" si="20"/>
        <v>0</v>
      </c>
      <c r="F116" s="1811">
        <f t="shared" si="21"/>
        <v>0</v>
      </c>
      <c r="G116" s="1812">
        <f t="shared" si="22"/>
        <v>0</v>
      </c>
    </row>
    <row r="117" spans="1:7" hidden="1" x14ac:dyDescent="0.25">
      <c r="A117" s="1671"/>
      <c r="B117" s="1685"/>
      <c r="C117" s="1672"/>
      <c r="D117" s="1863"/>
      <c r="E117" s="1558">
        <f t="shared" si="20"/>
        <v>0</v>
      </c>
      <c r="F117" s="1811">
        <f t="shared" si="21"/>
        <v>0</v>
      </c>
      <c r="G117" s="1812">
        <f t="shared" si="22"/>
        <v>0</v>
      </c>
    </row>
    <row r="118" spans="1:7" hidden="1" x14ac:dyDescent="0.25">
      <c r="A118" s="1671"/>
      <c r="B118" s="1685"/>
      <c r="C118" s="1672"/>
      <c r="D118" s="1863"/>
      <c r="E118" s="1558">
        <f t="shared" si="20"/>
        <v>0</v>
      </c>
      <c r="F118" s="1811">
        <f t="shared" si="21"/>
        <v>0</v>
      </c>
      <c r="G118" s="1812">
        <f t="shared" si="22"/>
        <v>0</v>
      </c>
    </row>
    <row r="119" spans="1:7" hidden="1" x14ac:dyDescent="0.25">
      <c r="A119" s="1671"/>
      <c r="B119" s="1685"/>
      <c r="C119" s="1672"/>
      <c r="D119" s="1863"/>
      <c r="E119" s="1558">
        <f t="shared" si="20"/>
        <v>0</v>
      </c>
      <c r="F119" s="1811">
        <f t="shared" si="21"/>
        <v>0</v>
      </c>
      <c r="G119" s="1812">
        <f t="shared" si="22"/>
        <v>0</v>
      </c>
    </row>
    <row r="120" spans="1:7" hidden="1" x14ac:dyDescent="0.25">
      <c r="A120" s="1671"/>
      <c r="B120" s="1685"/>
      <c r="C120" s="1672"/>
      <c r="D120" s="1863"/>
      <c r="E120" s="1558">
        <f t="shared" si="20"/>
        <v>0</v>
      </c>
      <c r="F120" s="1811">
        <f t="shared" si="21"/>
        <v>0</v>
      </c>
      <c r="G120" s="1812">
        <f t="shared" si="22"/>
        <v>0</v>
      </c>
    </row>
    <row r="121" spans="1:7" hidden="1" x14ac:dyDescent="0.25">
      <c r="A121" s="1671"/>
      <c r="B121" s="1685"/>
      <c r="C121" s="1672"/>
      <c r="D121" s="1863"/>
      <c r="E121" s="1558">
        <f t="shared" si="20"/>
        <v>0</v>
      </c>
      <c r="F121" s="1811">
        <f t="shared" si="21"/>
        <v>0</v>
      </c>
      <c r="G121" s="1812">
        <f t="shared" si="22"/>
        <v>0</v>
      </c>
    </row>
    <row r="122" spans="1:7" hidden="1" x14ac:dyDescent="0.25">
      <c r="A122" s="1671"/>
      <c r="B122" s="1685"/>
      <c r="C122" s="1672"/>
      <c r="D122" s="1863"/>
      <c r="E122" s="1558">
        <f t="shared" si="20"/>
        <v>0</v>
      </c>
      <c r="F122" s="1811">
        <f t="shared" si="21"/>
        <v>0</v>
      </c>
      <c r="G122" s="1812">
        <f t="shared" si="22"/>
        <v>0</v>
      </c>
    </row>
    <row r="123" spans="1:7" hidden="1" x14ac:dyDescent="0.25">
      <c r="A123" s="1671"/>
      <c r="B123" s="1685"/>
      <c r="C123" s="1672"/>
      <c r="D123" s="1863"/>
      <c r="E123" s="1558">
        <f t="shared" si="20"/>
        <v>0</v>
      </c>
      <c r="F123" s="1811">
        <f t="shared" si="21"/>
        <v>0</v>
      </c>
      <c r="G123" s="1812">
        <f t="shared" si="22"/>
        <v>0</v>
      </c>
    </row>
    <row r="124" spans="1:7" hidden="1" x14ac:dyDescent="0.25">
      <c r="A124" s="1671"/>
      <c r="B124" s="1685"/>
      <c r="C124" s="1672"/>
      <c r="D124" s="1863"/>
      <c r="E124" s="1558">
        <f t="shared" si="20"/>
        <v>0</v>
      </c>
      <c r="F124" s="1811">
        <f t="shared" si="21"/>
        <v>0</v>
      </c>
      <c r="G124" s="1812">
        <f t="shared" si="22"/>
        <v>0</v>
      </c>
    </row>
    <row r="125" spans="1:7" hidden="1" x14ac:dyDescent="0.25">
      <c r="A125" s="1671"/>
      <c r="B125" s="1685"/>
      <c r="C125" s="1672"/>
      <c r="D125" s="1863"/>
      <c r="E125" s="1558">
        <f t="shared" si="20"/>
        <v>0</v>
      </c>
      <c r="F125" s="1811">
        <f t="shared" si="21"/>
        <v>0</v>
      </c>
      <c r="G125" s="1812">
        <f t="shared" si="22"/>
        <v>0</v>
      </c>
    </row>
    <row r="126" spans="1:7" hidden="1" x14ac:dyDescent="0.25">
      <c r="A126" s="1671"/>
      <c r="B126" s="1685"/>
      <c r="C126" s="1672"/>
      <c r="D126" s="1863"/>
      <c r="E126" s="1558">
        <f t="shared" ref="E126:E134" si="23">IF(D126&lt;=25000,D126,IF(D126&gt;25000,25000,0))</f>
        <v>0</v>
      </c>
      <c r="F126" s="1811">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2">
        <f t="shared" ref="G126:G134" si="25">IF(F126=0,0,D126-F126)</f>
        <v>0</v>
      </c>
    </row>
    <row r="127" spans="1:7" hidden="1" x14ac:dyDescent="0.25">
      <c r="A127" s="1671"/>
      <c r="B127" s="1685"/>
      <c r="C127" s="1672"/>
      <c r="D127" s="1863"/>
      <c r="E127" s="1558">
        <f t="shared" si="23"/>
        <v>0</v>
      </c>
      <c r="F127" s="1811">
        <f t="shared" si="24"/>
        <v>0</v>
      </c>
      <c r="G127" s="1812">
        <f t="shared" si="25"/>
        <v>0</v>
      </c>
    </row>
    <row r="128" spans="1:7" hidden="1" x14ac:dyDescent="0.25">
      <c r="A128" s="1671"/>
      <c r="B128" s="1685"/>
      <c r="C128" s="1672"/>
      <c r="D128" s="1863"/>
      <c r="E128" s="1558">
        <f t="shared" si="23"/>
        <v>0</v>
      </c>
      <c r="F128" s="1811">
        <f t="shared" si="24"/>
        <v>0</v>
      </c>
      <c r="G128" s="1812">
        <f t="shared" si="25"/>
        <v>0</v>
      </c>
    </row>
    <row r="129" spans="1:7" hidden="1" x14ac:dyDescent="0.25">
      <c r="A129" s="1671"/>
      <c r="B129" s="1685"/>
      <c r="C129" s="1672"/>
      <c r="D129" s="1863"/>
      <c r="E129" s="1558">
        <f t="shared" si="23"/>
        <v>0</v>
      </c>
      <c r="F129" s="1811">
        <f t="shared" si="24"/>
        <v>0</v>
      </c>
      <c r="G129" s="1812">
        <f t="shared" si="25"/>
        <v>0</v>
      </c>
    </row>
    <row r="130" spans="1:7" hidden="1" x14ac:dyDescent="0.25">
      <c r="A130" s="1671"/>
      <c r="B130" s="1685"/>
      <c r="C130" s="1672"/>
      <c r="D130" s="1863"/>
      <c r="E130" s="1558">
        <f t="shared" si="23"/>
        <v>0</v>
      </c>
      <c r="F130" s="1811">
        <f t="shared" si="24"/>
        <v>0</v>
      </c>
      <c r="G130" s="1812">
        <f t="shared" si="25"/>
        <v>0</v>
      </c>
    </row>
    <row r="131" spans="1:7" hidden="1" x14ac:dyDescent="0.25">
      <c r="A131" s="1671"/>
      <c r="B131" s="1856"/>
      <c r="C131" s="1672"/>
      <c r="D131" s="1863"/>
      <c r="E131" s="1558">
        <f t="shared" si="23"/>
        <v>0</v>
      </c>
      <c r="F131" s="1811">
        <f t="shared" si="24"/>
        <v>0</v>
      </c>
      <c r="G131" s="1812">
        <f t="shared" si="25"/>
        <v>0</v>
      </c>
    </row>
    <row r="132" spans="1:7" hidden="1" x14ac:dyDescent="0.25">
      <c r="A132" s="1671"/>
      <c r="B132" s="1856"/>
      <c r="C132" s="1672"/>
      <c r="D132" s="1863"/>
      <c r="E132" s="1558">
        <f t="shared" si="23"/>
        <v>0</v>
      </c>
      <c r="F132" s="1811">
        <f t="shared" si="24"/>
        <v>0</v>
      </c>
      <c r="G132" s="1812">
        <f t="shared" si="25"/>
        <v>0</v>
      </c>
    </row>
    <row r="133" spans="1:7" hidden="1" x14ac:dyDescent="0.25">
      <c r="A133" s="1671"/>
      <c r="B133" s="1685"/>
      <c r="C133" s="1672"/>
      <c r="D133" s="1863"/>
      <c r="E133" s="1558">
        <f t="shared" si="23"/>
        <v>0</v>
      </c>
      <c r="F133" s="1811">
        <f t="shared" si="24"/>
        <v>0</v>
      </c>
      <c r="G133" s="1812">
        <f t="shared" si="25"/>
        <v>0</v>
      </c>
    </row>
    <row r="134" spans="1:7" hidden="1" x14ac:dyDescent="0.25">
      <c r="A134" s="1671"/>
      <c r="B134" s="1685"/>
      <c r="C134" s="1672"/>
      <c r="D134" s="1863"/>
      <c r="E134" s="1558">
        <f t="shared" si="23"/>
        <v>0</v>
      </c>
      <c r="F134" s="1811">
        <f t="shared" si="24"/>
        <v>0</v>
      </c>
      <c r="G134" s="1812">
        <f t="shared" si="25"/>
        <v>0</v>
      </c>
    </row>
    <row r="135" spans="1:7" hidden="1" x14ac:dyDescent="0.25">
      <c r="A135" s="1671"/>
      <c r="B135" s="1685"/>
      <c r="C135" s="1672"/>
      <c r="D135" s="1863"/>
      <c r="E135" s="1558">
        <f t="shared" ref="E135:E139" si="26">IF(D135&lt;=25000,D135,IF(D135&gt;25000,25000,0))</f>
        <v>0</v>
      </c>
      <c r="F135" s="1811">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2">
        <f t="shared" ref="G135:G139" si="28">IF(F135=0,0,D135-F135)</f>
        <v>0</v>
      </c>
    </row>
    <row r="136" spans="1:7" hidden="1" x14ac:dyDescent="0.25">
      <c r="A136" s="1671"/>
      <c r="B136" s="1685"/>
      <c r="C136" s="1672"/>
      <c r="D136" s="1863"/>
      <c r="E136" s="1558">
        <f t="shared" si="26"/>
        <v>0</v>
      </c>
      <c r="F136" s="1811">
        <f t="shared" si="27"/>
        <v>0</v>
      </c>
      <c r="G136" s="1812">
        <f t="shared" si="28"/>
        <v>0</v>
      </c>
    </row>
    <row r="137" spans="1:7" hidden="1" x14ac:dyDescent="0.25">
      <c r="A137" s="1671"/>
      <c r="B137" s="1685"/>
      <c r="C137" s="1672"/>
      <c r="D137" s="1863"/>
      <c r="E137" s="1558">
        <f t="shared" si="26"/>
        <v>0</v>
      </c>
      <c r="F137" s="1811">
        <f t="shared" si="27"/>
        <v>0</v>
      </c>
      <c r="G137" s="1812">
        <f t="shared" si="28"/>
        <v>0</v>
      </c>
    </row>
    <row r="138" spans="1:7" hidden="1" x14ac:dyDescent="0.25">
      <c r="A138" s="1671"/>
      <c r="B138" s="1685"/>
      <c r="C138" s="1672"/>
      <c r="D138" s="1863"/>
      <c r="E138" s="1558">
        <f t="shared" si="26"/>
        <v>0</v>
      </c>
      <c r="F138" s="1811">
        <f t="shared" si="27"/>
        <v>0</v>
      </c>
      <c r="G138" s="1812">
        <f t="shared" si="28"/>
        <v>0</v>
      </c>
    </row>
    <row r="139" spans="1:7" hidden="1" x14ac:dyDescent="0.25">
      <c r="A139" s="1671"/>
      <c r="B139" s="1685"/>
      <c r="C139" s="1672"/>
      <c r="D139" s="1863"/>
      <c r="E139" s="1558">
        <f t="shared" si="26"/>
        <v>0</v>
      </c>
      <c r="F139" s="1811">
        <f t="shared" si="27"/>
        <v>0</v>
      </c>
      <c r="G139" s="1812">
        <f t="shared" si="28"/>
        <v>0</v>
      </c>
    </row>
    <row r="140" spans="1:7" hidden="1" x14ac:dyDescent="0.25">
      <c r="A140" s="1671"/>
      <c r="B140" s="1684"/>
      <c r="C140" s="1672"/>
      <c r="D140" s="1863"/>
      <c r="E140" s="1558">
        <f t="shared" si="2"/>
        <v>0</v>
      </c>
      <c r="F140" s="1811">
        <f t="shared" si="3"/>
        <v>0</v>
      </c>
      <c r="G140" s="1812">
        <f t="shared" si="4"/>
        <v>0</v>
      </c>
    </row>
    <row r="141" spans="1:7" x14ac:dyDescent="0.25">
      <c r="A141" s="1815" t="s">
        <v>158</v>
      </c>
      <c r="B141" s="1816"/>
      <c r="C141" s="1817"/>
      <c r="D141" s="1813">
        <f>SUM(D17:D140)</f>
        <v>1127798</v>
      </c>
      <c r="E141" s="1559">
        <f t="shared" si="1"/>
        <v>25000</v>
      </c>
      <c r="F141" s="1813">
        <f>SUM(F17:F140)</f>
        <v>25000</v>
      </c>
      <c r="G141" s="1814">
        <f>SUM(G17:G140)</f>
        <v>1102798</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2" t="s">
        <v>1177</v>
      </c>
      <c r="B1" s="1653"/>
      <c r="C1" s="1654"/>
    </row>
    <row r="2" spans="1:9" x14ac:dyDescent="0.2">
      <c r="A2" s="951" t="s">
        <v>1178</v>
      </c>
      <c r="B2" s="952"/>
      <c r="C2" s="952"/>
      <c r="D2" s="952"/>
      <c r="E2" s="953"/>
      <c r="F2" s="953"/>
      <c r="G2" s="954"/>
    </row>
    <row r="3" spans="1:9" ht="12" customHeight="1" x14ac:dyDescent="0.2">
      <c r="A3" s="955" t="s">
        <v>1423</v>
      </c>
      <c r="B3" s="956"/>
      <c r="C3" s="956"/>
      <c r="D3" s="956"/>
      <c r="E3" s="957"/>
      <c r="F3" s="957"/>
      <c r="G3" s="958"/>
    </row>
    <row r="4" spans="1:9" x14ac:dyDescent="0.2">
      <c r="A4" s="959" t="s">
        <v>779</v>
      </c>
      <c r="B4" s="960"/>
      <c r="C4" s="960"/>
      <c r="D4" s="960"/>
      <c r="E4" s="961"/>
      <c r="F4" s="962"/>
      <c r="G4" s="963"/>
      <c r="H4" s="252"/>
      <c r="I4" s="252"/>
    </row>
    <row r="5" spans="1:9" s="343" customFormat="1" ht="57" customHeight="1" x14ac:dyDescent="0.2">
      <c r="A5" s="2485" t="s">
        <v>1778</v>
      </c>
      <c r="B5" s="2486"/>
      <c r="C5" s="2486"/>
      <c r="D5" s="2486"/>
      <c r="E5" s="2486"/>
      <c r="F5" s="2486"/>
      <c r="G5" s="2487"/>
      <c r="H5" s="252"/>
      <c r="I5" s="608"/>
    </row>
    <row r="6" spans="1:9" s="667" customFormat="1" x14ac:dyDescent="0.2">
      <c r="A6" s="1655" t="s">
        <v>214</v>
      </c>
      <c r="B6" s="965"/>
      <c r="C6" s="965"/>
      <c r="D6" s="966"/>
      <c r="E6" s="966"/>
      <c r="F6" s="967"/>
      <c r="G6" s="968"/>
      <c r="H6" s="162"/>
      <c r="I6" s="162"/>
    </row>
    <row r="7" spans="1:9" s="667" customFormat="1" ht="12" customHeight="1" x14ac:dyDescent="0.2">
      <c r="A7" s="969" t="s">
        <v>964</v>
      </c>
      <c r="B7" s="970"/>
      <c r="C7" s="970"/>
      <c r="D7" s="971"/>
      <c r="E7" s="972"/>
      <c r="F7" s="973"/>
      <c r="G7" s="974"/>
      <c r="H7" s="162"/>
      <c r="I7" s="162"/>
    </row>
    <row r="8" spans="1:9" s="667" customFormat="1" ht="12" customHeight="1" x14ac:dyDescent="0.2">
      <c r="A8" s="969" t="s">
        <v>131</v>
      </c>
      <c r="B8" s="970"/>
      <c r="C8" s="970"/>
      <c r="D8" s="971"/>
      <c r="E8" s="972"/>
      <c r="F8" s="973"/>
      <c r="G8" s="974"/>
      <c r="H8" s="162"/>
      <c r="I8" s="162"/>
    </row>
    <row r="9" spans="1:9" s="667" customFormat="1" ht="12" customHeight="1" x14ac:dyDescent="0.2">
      <c r="A9" s="969" t="s">
        <v>132</v>
      </c>
      <c r="B9" s="970"/>
      <c r="C9" s="970"/>
      <c r="D9" s="971"/>
      <c r="E9" s="972"/>
      <c r="F9" s="973"/>
      <c r="G9" s="974"/>
      <c r="H9" s="162"/>
      <c r="I9" s="162"/>
    </row>
    <row r="10" spans="1:9" s="667" customFormat="1" ht="12" customHeight="1" x14ac:dyDescent="0.2">
      <c r="A10" s="969" t="s">
        <v>2073</v>
      </c>
      <c r="B10" s="970"/>
      <c r="C10" s="975"/>
      <c r="D10" s="971"/>
      <c r="E10" s="972">
        <v>393744</v>
      </c>
      <c r="F10" s="973"/>
      <c r="G10" s="974"/>
      <c r="H10" s="162"/>
      <c r="I10" s="162"/>
    </row>
    <row r="11" spans="1:9" s="667" customFormat="1" ht="22.5" customHeight="1" x14ac:dyDescent="0.2">
      <c r="A11" s="2490" t="s">
        <v>1942</v>
      </c>
      <c r="B11" s="2491"/>
      <c r="C11" s="2491"/>
      <c r="D11" s="2492"/>
      <c r="E11" s="976">
        <v>52142</v>
      </c>
      <c r="F11" s="973"/>
      <c r="G11" s="977"/>
      <c r="H11" s="162"/>
      <c r="I11" s="162"/>
    </row>
    <row r="12" spans="1:9" s="667" customFormat="1" ht="12" customHeight="1" x14ac:dyDescent="0.2">
      <c r="A12" s="969" t="s">
        <v>133</v>
      </c>
      <c r="B12" s="970"/>
      <c r="C12" s="970"/>
      <c r="D12" s="971"/>
      <c r="E12" s="972"/>
      <c r="F12" s="973"/>
      <c r="G12" s="974"/>
      <c r="H12" s="162"/>
      <c r="I12" s="162"/>
    </row>
    <row r="13" spans="1:9" s="667" customFormat="1" ht="12" customHeight="1" x14ac:dyDescent="0.2">
      <c r="A13" s="969" t="s">
        <v>212</v>
      </c>
      <c r="B13" s="970"/>
      <c r="C13" s="970"/>
      <c r="D13" s="971"/>
      <c r="E13" s="972"/>
      <c r="F13" s="973"/>
      <c r="G13" s="974"/>
      <c r="H13" s="162"/>
      <c r="I13" s="162"/>
    </row>
    <row r="14" spans="1:9" s="667" customFormat="1" ht="12" customHeight="1" x14ac:dyDescent="0.2">
      <c r="A14" s="969" t="s">
        <v>213</v>
      </c>
      <c r="B14" s="970"/>
      <c r="C14" s="970"/>
      <c r="D14" s="971"/>
      <c r="E14" s="972"/>
      <c r="F14" s="978"/>
      <c r="G14" s="979"/>
      <c r="H14" s="162"/>
      <c r="I14" s="162"/>
    </row>
    <row r="15" spans="1:9" s="667" customFormat="1" ht="12" customHeight="1" x14ac:dyDescent="0.2">
      <c r="A15" s="964" t="s">
        <v>389</v>
      </c>
      <c r="B15" s="966"/>
      <c r="C15" s="966"/>
      <c r="D15" s="966"/>
      <c r="E15" s="966"/>
      <c r="F15" s="966"/>
      <c r="G15" s="980"/>
      <c r="H15" s="162"/>
      <c r="I15" s="162"/>
    </row>
    <row r="16" spans="1:9" s="667" customFormat="1" x14ac:dyDescent="0.2">
      <c r="A16" s="981" t="s">
        <v>1443</v>
      </c>
      <c r="B16" s="982"/>
      <c r="C16" s="983"/>
      <c r="D16" s="962"/>
      <c r="E16" s="957"/>
      <c r="F16" s="957"/>
      <c r="G16" s="958"/>
      <c r="H16" s="162"/>
      <c r="I16" s="162"/>
    </row>
    <row r="17" spans="1:9" s="667" customFormat="1" ht="12" customHeight="1" x14ac:dyDescent="0.2">
      <c r="A17" s="984"/>
      <c r="B17" s="985"/>
      <c r="C17" s="329"/>
      <c r="D17" s="1656" t="s">
        <v>553</v>
      </c>
      <c r="E17" s="1657"/>
      <c r="F17" s="1656" t="s">
        <v>453</v>
      </c>
      <c r="G17" s="1658"/>
      <c r="H17" s="162"/>
      <c r="I17" s="162"/>
    </row>
    <row r="18" spans="1:9" s="259" customFormat="1" ht="11.25" x14ac:dyDescent="0.2">
      <c r="A18" s="987"/>
      <c r="C18" s="988" t="s">
        <v>454</v>
      </c>
      <c r="D18" s="1659" t="s">
        <v>455</v>
      </c>
      <c r="E18" s="1659" t="s">
        <v>55</v>
      </c>
      <c r="F18" s="1659" t="s">
        <v>455</v>
      </c>
      <c r="G18" s="1659" t="s">
        <v>55</v>
      </c>
      <c r="H18" s="178"/>
      <c r="I18" s="178"/>
    </row>
    <row r="19" spans="1:9" s="667" customFormat="1" ht="12" customHeight="1" x14ac:dyDescent="0.2">
      <c r="A19" s="989" t="s">
        <v>476</v>
      </c>
      <c r="B19" s="990"/>
      <c r="C19" s="991" t="s">
        <v>591</v>
      </c>
      <c r="D19" s="1818"/>
      <c r="E19" s="1819">
        <f>'Expenditures 15-22'!K33-SUM('Expenditures 15-22'!G33,'Expenditures 15-22'!I33)+'Expenditures 15-22'!D229</f>
        <v>16004473</v>
      </c>
      <c r="F19" s="1818"/>
      <c r="G19" s="1820">
        <f>'Expenditures 15-22'!K33-SUM('Expenditures 15-22'!G33,'Expenditures 15-22'!I33)+'Expenditures 15-22'!D229</f>
        <v>16004473</v>
      </c>
      <c r="H19" s="986"/>
      <c r="I19" s="162"/>
    </row>
    <row r="20" spans="1:9" s="667" customFormat="1" ht="12" customHeight="1" x14ac:dyDescent="0.2">
      <c r="A20" s="989" t="s">
        <v>56</v>
      </c>
      <c r="B20" s="990"/>
      <c r="C20" s="992"/>
      <c r="D20" s="1821"/>
      <c r="E20" s="1821"/>
      <c r="F20" s="1821"/>
      <c r="G20" s="1822"/>
      <c r="H20" s="986"/>
      <c r="I20" s="162"/>
    </row>
    <row r="21" spans="1:9" s="667" customFormat="1" ht="12" customHeight="1" x14ac:dyDescent="0.2">
      <c r="A21" s="993" t="s">
        <v>421</v>
      </c>
      <c r="B21" s="994"/>
      <c r="C21" s="992">
        <v>2100</v>
      </c>
      <c r="D21" s="1821"/>
      <c r="E21" s="1823">
        <f>'Expenditures 15-22'!K42-SUM('Expenditures 15-22'!G42,'Expenditures 15-22'!I42)+'Expenditures 15-22'!K120-SUM('Expenditures 15-22'!G120,'Expenditures 15-22'!I120)+'Expenditures 15-22'!K180-SUM('Expenditures 15-22'!G180,'Expenditures 15-22'!I180)+'Expenditures 15-22'!D238</f>
        <v>2039058</v>
      </c>
      <c r="F21" s="1821"/>
      <c r="G21" s="1824">
        <f>'Expenditures 15-22'!K42-SUM('Expenditures 15-22'!G42,'Expenditures 15-22'!I42)+'Expenditures 15-22'!K120-SUM('Expenditures 15-22'!G120,'Expenditures 15-22'!I120)+'Expenditures 15-22'!K180-SUM('Expenditures 15-22'!G180,'Expenditures 15-22'!I180)+'Expenditures 15-22'!D238</f>
        <v>2039058</v>
      </c>
      <c r="H21" s="986"/>
      <c r="I21" s="162"/>
    </row>
    <row r="22" spans="1:9" s="667" customFormat="1" ht="12" customHeight="1" x14ac:dyDescent="0.2">
      <c r="A22" s="993" t="s">
        <v>585</v>
      </c>
      <c r="B22" s="994"/>
      <c r="C22" s="992">
        <v>2200</v>
      </c>
      <c r="D22" s="1821"/>
      <c r="E22" s="1823">
        <f>'Expenditures 15-22'!K47-SUM('Expenditures 15-22'!G47,'Expenditures 15-22'!I47)+'Expenditures 15-22'!D243</f>
        <v>188108</v>
      </c>
      <c r="F22" s="1821"/>
      <c r="G22" s="1824">
        <f>'Expenditures 15-22'!K47-SUM('Expenditures 15-22'!G47,'Expenditures 15-22'!I47)+'Expenditures 15-22'!D243</f>
        <v>188108</v>
      </c>
      <c r="H22" s="986"/>
      <c r="I22" s="162"/>
    </row>
    <row r="23" spans="1:9" s="667" customFormat="1" ht="12" customHeight="1" x14ac:dyDescent="0.2">
      <c r="A23" s="993" t="s">
        <v>586</v>
      </c>
      <c r="B23" s="994"/>
      <c r="C23" s="992">
        <v>2300</v>
      </c>
      <c r="D23" s="1821"/>
      <c r="E23" s="1823">
        <f>'Expenditures 15-22'!K53-SUM('Expenditures 15-22'!G53,'Expenditures 15-22'!I53)+'Expenditures 15-22'!D257+'Expenditures 15-22'!K330-SUM('Expenditures 15-22'!G330,'Expenditures 15-22'!I330)</f>
        <v>944156</v>
      </c>
      <c r="F23" s="1821"/>
      <c r="G23" s="1823">
        <f>'Expenditures 15-22'!K53-SUM('Expenditures 15-22'!G53,'Expenditures 15-22'!I53)+'Expenditures 15-22'!D257+'Expenditures 15-22'!K330-SUM('Expenditures 15-22'!G330,'Expenditures 15-22'!I330)</f>
        <v>944156</v>
      </c>
      <c r="H23" s="986"/>
      <c r="I23" s="162"/>
    </row>
    <row r="24" spans="1:9" s="667" customFormat="1" ht="12" customHeight="1" x14ac:dyDescent="0.2">
      <c r="A24" s="993" t="s">
        <v>587</v>
      </c>
      <c r="B24" s="994"/>
      <c r="C24" s="992">
        <v>2400</v>
      </c>
      <c r="D24" s="1821"/>
      <c r="E24" s="1823">
        <f>'Expenditures 15-22'!K57-SUM('Expenditures 15-22'!G57,'Expenditures 15-22'!I57)+'Expenditures 15-22'!D261</f>
        <v>1233611</v>
      </c>
      <c r="F24" s="1821"/>
      <c r="G24" s="1824">
        <f>'Expenditures 15-22'!K57-SUM('Expenditures 15-22'!G57,'Expenditures 15-22'!I57)+'Expenditures 15-22'!D261</f>
        <v>1233611</v>
      </c>
      <c r="H24" s="986"/>
      <c r="I24" s="162"/>
    </row>
    <row r="25" spans="1:9" s="667" customFormat="1" ht="12" customHeight="1" x14ac:dyDescent="0.2">
      <c r="A25" s="989" t="s">
        <v>588</v>
      </c>
      <c r="B25" s="995"/>
      <c r="C25" s="992"/>
      <c r="D25" s="1821"/>
      <c r="E25" s="1823"/>
      <c r="F25" s="1821"/>
      <c r="G25" s="1824"/>
      <c r="H25" s="986"/>
      <c r="I25" s="162"/>
    </row>
    <row r="26" spans="1:9" s="667" customFormat="1" ht="12" customHeight="1" x14ac:dyDescent="0.2">
      <c r="A26" s="993" t="s">
        <v>536</v>
      </c>
      <c r="B26" s="996"/>
      <c r="C26" s="992">
        <v>2510</v>
      </c>
      <c r="D26" s="1823">
        <f>'Expenditures 15-22'!K59-SUM('Expenditures 15-22'!G59,'Expenditures 15-22'!I59)+'Expenditures 15-22'!D263-E7</f>
        <v>0</v>
      </c>
      <c r="E26" s="1823">
        <f>'Expenditures 15-22'!K122-SUM('Expenditures 15-22'!G122,'Expenditures 15-22'!I122)+E7</f>
        <v>0</v>
      </c>
      <c r="F26" s="1823">
        <f>'Expenditures 15-22'!K59-SUM('Expenditures 15-22'!G59,'Expenditures 15-22'!I59)+'Expenditures 15-22'!D263-E7</f>
        <v>0</v>
      </c>
      <c r="G26" s="1824">
        <f>'Expenditures 15-22'!K122-SUM('Expenditures 15-22'!G122,'Expenditures 15-22'!I122)+E7</f>
        <v>0</v>
      </c>
      <c r="H26" s="986"/>
      <c r="I26" s="162"/>
    </row>
    <row r="27" spans="1:9" s="667" customFormat="1" ht="12" customHeight="1" x14ac:dyDescent="0.2">
      <c r="A27" s="993" t="s">
        <v>483</v>
      </c>
      <c r="B27" s="996"/>
      <c r="C27" s="992">
        <v>2520</v>
      </c>
      <c r="D27" s="1823">
        <f>'Expenditures 15-22'!K60-SUM('Expenditures 15-22'!G60,'Expenditures 15-22'!I60)+'Expenditures 15-22'!D264-E8</f>
        <v>392101</v>
      </c>
      <c r="E27" s="1823">
        <f>E8</f>
        <v>0</v>
      </c>
      <c r="F27" s="1823">
        <f>'Expenditures 15-22'!K60-SUM('Expenditures 15-22'!G60,'Expenditures 15-22'!I60)+'Expenditures 15-22'!D264-E8</f>
        <v>392101</v>
      </c>
      <c r="G27" s="1824">
        <f>E8</f>
        <v>0</v>
      </c>
      <c r="H27" s="986"/>
      <c r="I27" s="162"/>
    </row>
    <row r="28" spans="1:9" s="667" customFormat="1" ht="12" customHeight="1" x14ac:dyDescent="0.2">
      <c r="A28" s="993" t="s">
        <v>537</v>
      </c>
      <c r="B28" s="996"/>
      <c r="C28" s="992">
        <v>2540</v>
      </c>
      <c r="D28" s="1825"/>
      <c r="E28" s="1823">
        <f>'Expenditures 15-22'!K61-SUM('Expenditures 15-22'!G61,'Expenditures 15-22'!I61)+'Expenditures 15-22'!K124-SUM('Expenditures 15-22'!G124,'Expenditures 15-22'!I124)+'Expenditures 15-22'!D266</f>
        <v>2071591</v>
      </c>
      <c r="F28" s="1825">
        <f>'Expenditures 15-22'!K61-SUM('Expenditures 15-22'!G61,'Expenditures 15-22'!I61)+'Expenditures 15-22'!K124-SUM('Expenditures 15-22'!G124,'Expenditures 15-22'!I124)+'Expenditures 15-22'!D266-E9</f>
        <v>2071591</v>
      </c>
      <c r="G28" s="1824">
        <f>E9</f>
        <v>0</v>
      </c>
      <c r="H28" s="986"/>
      <c r="I28" s="162"/>
    </row>
    <row r="29" spans="1:9" ht="12" customHeight="1" x14ac:dyDescent="0.2">
      <c r="A29" s="993" t="s">
        <v>538</v>
      </c>
      <c r="B29" s="996"/>
      <c r="C29" s="992">
        <v>2550</v>
      </c>
      <c r="D29" s="1821"/>
      <c r="E29" s="1823">
        <f>'Expenditures 15-22'!K62-SUM('Expenditures 15-22'!G62,'Expenditures 15-22'!I62)+'Expenditures 15-22'!K125-SUM('Expenditures 15-22'!G125,'Expenditures 15-22'!I125)+'Expenditures 15-22'!K182-SUM('Expenditures 15-22'!G182,'Expenditures 15-22'!I182)+'Expenditures 15-22'!D267</f>
        <v>1183140</v>
      </c>
      <c r="F29" s="1821"/>
      <c r="G29" s="1824">
        <f>'Expenditures 15-22'!K62-SUM('Expenditures 15-22'!G62,'Expenditures 15-22'!I62)+'Expenditures 15-22'!K125-SUM('Expenditures 15-22'!G125,'Expenditures 15-22'!I125)+'Expenditures 15-22'!K182-SUM('Expenditures 15-22'!G182,'Expenditures 15-22'!I182)+'Expenditures 15-22'!D267</f>
        <v>1183140</v>
      </c>
      <c r="H29" s="984"/>
    </row>
    <row r="30" spans="1:9" ht="12" customHeight="1" x14ac:dyDescent="0.2">
      <c r="A30" s="993" t="s">
        <v>102</v>
      </c>
      <c r="B30" s="996"/>
      <c r="C30" s="992">
        <v>2560</v>
      </c>
      <c r="D30" s="1821"/>
      <c r="E30" s="1823">
        <f>'Expenditures 15-22'!K63-SUM('Expenditures 15-22'!G63,'Expenditures 15-22'!I63)+'Expenditures 15-22'!D268-E10</f>
        <v>404387</v>
      </c>
      <c r="F30" s="1821"/>
      <c r="G30" s="1823">
        <f>'Expenditures 15-22'!K63-SUM('Expenditures 15-22'!G63,'Expenditures 15-22'!I63)+'Expenditures 15-22'!D268-E10</f>
        <v>404387</v>
      </c>
    </row>
    <row r="31" spans="1:9" ht="12" customHeight="1" x14ac:dyDescent="0.2">
      <c r="A31" s="993" t="s">
        <v>103</v>
      </c>
      <c r="B31" s="996"/>
      <c r="C31" s="992">
        <v>2570</v>
      </c>
      <c r="D31" s="1823">
        <f>'Expenditures 15-22'!K64-SUM('Expenditures 15-22'!G64,'Expenditures 15-22'!I64)+'Expenditures 15-22'!D269-E12</f>
        <v>24755</v>
      </c>
      <c r="E31" s="1823">
        <f>E12</f>
        <v>0</v>
      </c>
      <c r="F31" s="1823">
        <f>'Expenditures 15-22'!K64-SUM('Expenditures 15-22'!G64,'Expenditures 15-22'!I64)+'Expenditures 15-22'!D269-E12</f>
        <v>24755</v>
      </c>
      <c r="G31" s="1823">
        <f>E12</f>
        <v>0</v>
      </c>
    </row>
    <row r="32" spans="1:9" ht="12" customHeight="1" x14ac:dyDescent="0.2">
      <c r="A32" s="989" t="s">
        <v>539</v>
      </c>
      <c r="B32" s="995"/>
      <c r="C32" s="992"/>
      <c r="D32" s="1821"/>
      <c r="E32" s="1821"/>
      <c r="F32" s="1821"/>
      <c r="G32" s="1821"/>
    </row>
    <row r="33" spans="1:7" ht="12" customHeight="1" x14ac:dyDescent="0.2">
      <c r="A33" s="993" t="s">
        <v>540</v>
      </c>
      <c r="B33" s="996"/>
      <c r="C33" s="992">
        <v>2610</v>
      </c>
      <c r="D33" s="1821"/>
      <c r="E33" s="1823">
        <f>'Expenditures 15-22'!K67-SUM('Expenditures 15-22'!G67,'Expenditures 15-22'!I67)+'Expenditures 15-22'!D272</f>
        <v>0</v>
      </c>
      <c r="F33" s="1821"/>
      <c r="G33" s="1823">
        <f>'Expenditures 15-22'!K67-SUM('Expenditures 15-22'!G67,'Expenditures 15-22'!I67)+'Expenditures 15-22'!D272</f>
        <v>0</v>
      </c>
    </row>
    <row r="34" spans="1:7" ht="12" customHeight="1" x14ac:dyDescent="0.2">
      <c r="A34" s="993" t="s">
        <v>541</v>
      </c>
      <c r="B34" s="996"/>
      <c r="C34" s="992">
        <v>2620</v>
      </c>
      <c r="D34" s="1821"/>
      <c r="E34" s="1823">
        <f>'Expenditures 15-22'!K68-SUM('Expenditures 15-22'!G68,'Expenditures 15-22'!I68)+'Expenditures 15-22'!D273</f>
        <v>0</v>
      </c>
      <c r="F34" s="1821"/>
      <c r="G34" s="1823">
        <f>'Expenditures 15-22'!K68-SUM('Expenditures 15-22'!G68,'Expenditures 15-22'!I68)+'Expenditures 15-22'!D273</f>
        <v>0</v>
      </c>
    </row>
    <row r="35" spans="1:7" ht="12" customHeight="1" x14ac:dyDescent="0.2">
      <c r="A35" s="993" t="s">
        <v>1121</v>
      </c>
      <c r="B35" s="996"/>
      <c r="C35" s="992">
        <v>2630</v>
      </c>
      <c r="D35" s="1821"/>
      <c r="E35" s="1823">
        <f>'Expenditures 15-22'!K69-SUM('Expenditures 15-22'!G69,'Expenditures 15-22'!I69)+'Expenditures 15-22'!D274</f>
        <v>10202</v>
      </c>
      <c r="F35" s="1821"/>
      <c r="G35" s="1823">
        <f>'Expenditures 15-22'!K69-SUM('Expenditures 15-22'!G69,'Expenditures 15-22'!I69)+'Expenditures 15-22'!D274</f>
        <v>10202</v>
      </c>
    </row>
    <row r="36" spans="1:7" ht="12" customHeight="1" x14ac:dyDescent="0.2">
      <c r="A36" s="993" t="s">
        <v>423</v>
      </c>
      <c r="B36" s="996"/>
      <c r="C36" s="992">
        <v>2640</v>
      </c>
      <c r="D36" s="1823">
        <f>'Expenditures 15-22'!K70-SUM('Expenditures 15-22'!G70,'Expenditures 15-22'!I70)+'Expenditures 15-22'!D275-E13</f>
        <v>0</v>
      </c>
      <c r="E36" s="1823">
        <f>E13</f>
        <v>0</v>
      </c>
      <c r="F36" s="1823">
        <f>'Expenditures 15-22'!K70-SUM('Expenditures 15-22'!G70,'Expenditures 15-22'!I70)+'Expenditures 15-22'!D275-E13</f>
        <v>0</v>
      </c>
      <c r="G36" s="1823">
        <f>E13</f>
        <v>0</v>
      </c>
    </row>
    <row r="37" spans="1:7" ht="12" customHeight="1" x14ac:dyDescent="0.2">
      <c r="A37" s="993" t="s">
        <v>424</v>
      </c>
      <c r="B37" s="996"/>
      <c r="C37" s="992">
        <v>2660</v>
      </c>
      <c r="D37" s="1823">
        <f>'Expenditures 15-22'!K71-SUM('Expenditures 15-22'!G71,'Expenditures 15-22'!I71)+'Expenditures 15-22'!D276-E14</f>
        <v>447816</v>
      </c>
      <c r="E37" s="1823">
        <f>E14</f>
        <v>0</v>
      </c>
      <c r="F37" s="1823">
        <f>'Expenditures 15-22'!K71-SUM('Expenditures 15-22'!G71,'Expenditures 15-22'!I71)+'Expenditures 15-22'!D276-E14</f>
        <v>447816</v>
      </c>
      <c r="G37" s="1823">
        <f>E14</f>
        <v>0</v>
      </c>
    </row>
    <row r="38" spans="1:7" ht="12" customHeight="1" x14ac:dyDescent="0.2">
      <c r="A38" s="989" t="s">
        <v>542</v>
      </c>
      <c r="B38" s="990"/>
      <c r="C38" s="992">
        <v>2900</v>
      </c>
      <c r="D38" s="1821"/>
      <c r="E38" s="1823">
        <f>'Expenditures 15-22'!K73-SUM('Expenditures 15-22'!G73,'Expenditures 15-22'!I73)+'Expenditures 15-22'!K128-SUM('Expenditures 15-22'!G128,'Expenditures 15-22'!I128)+'Expenditures 15-22'!K183-SUM('Expenditures 15-22'!G183,'Expenditures 15-22'!I183)+'Expenditures 15-22'!D278</f>
        <v>11918</v>
      </c>
      <c r="F38" s="1821"/>
      <c r="G38" s="1823">
        <f>'Expenditures 15-22'!K73-SUM('Expenditures 15-22'!G73,'Expenditures 15-22'!I73)+'Expenditures 15-22'!K128-SUM('Expenditures 15-22'!G128,'Expenditures 15-22'!I128)+'Expenditures 15-22'!K183-SUM('Expenditures 15-22'!G183,'Expenditures 15-22'!I183)+'Expenditures 15-22'!D278</f>
        <v>11918</v>
      </c>
    </row>
    <row r="39" spans="1:7" ht="12" customHeight="1" x14ac:dyDescent="0.2">
      <c r="A39" s="989" t="s">
        <v>469</v>
      </c>
      <c r="B39" s="990"/>
      <c r="C39" s="992">
        <v>3000</v>
      </c>
      <c r="D39" s="1821"/>
      <c r="E39" s="1823">
        <f>'Expenditures 15-22'!K75-SUM('Expenditures 15-22'!G75,'Expenditures 15-22'!I75)+'Expenditures 15-22'!K130-SUM('Expenditures 15-22'!G130,'Expenditures 15-22'!I130)+'Expenditures 15-22'!K185-SUM('Expenditures 15-22'!G185,'Expenditures 15-22'!I185)+'Expenditures 15-22'!D280</f>
        <v>0</v>
      </c>
      <c r="F39" s="1821"/>
      <c r="G39" s="1823">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89" t="s">
        <v>1927</v>
      </c>
      <c r="B40" s="990"/>
      <c r="C40" s="992"/>
      <c r="D40" s="1821"/>
      <c r="E40" s="1825">
        <f>-'Contracts Paid in CY 29'!G141</f>
        <v>-1102798</v>
      </c>
      <c r="F40" s="1821"/>
      <c r="G40" s="1825">
        <f>-'Contracts Paid in CY 29'!G141</f>
        <v>-1102798</v>
      </c>
    </row>
    <row r="41" spans="1:7" ht="12" customHeight="1" x14ac:dyDescent="0.2">
      <c r="A41" s="997" t="s">
        <v>158</v>
      </c>
      <c r="B41" s="998"/>
      <c r="C41" s="999"/>
      <c r="D41" s="1825">
        <f>SUM(D19:D39)</f>
        <v>864672</v>
      </c>
      <c r="E41" s="1825">
        <f>SUM(E19:E40)</f>
        <v>22987846</v>
      </c>
      <c r="F41" s="1825">
        <f>SUM(F19:F39)</f>
        <v>2936263</v>
      </c>
      <c r="G41" s="1825">
        <f>SUM(G19:G40)</f>
        <v>20916255</v>
      </c>
    </row>
    <row r="42" spans="1:7" x14ac:dyDescent="0.2">
      <c r="A42" s="986"/>
      <c r="B42" s="162"/>
      <c r="C42" s="1000"/>
      <c r="D42" s="2488" t="s">
        <v>543</v>
      </c>
      <c r="E42" s="2489"/>
      <c r="F42" s="1001" t="s">
        <v>544</v>
      </c>
      <c r="G42" s="1002"/>
    </row>
    <row r="43" spans="1:7" ht="12" customHeight="1" x14ac:dyDescent="0.2">
      <c r="A43" s="986"/>
      <c r="B43" s="162"/>
      <c r="C43" s="1000"/>
      <c r="D43" s="1826" t="s">
        <v>493</v>
      </c>
      <c r="E43" s="1827">
        <f>D41</f>
        <v>864672</v>
      </c>
      <c r="F43" s="1826" t="s">
        <v>495</v>
      </c>
      <c r="G43" s="1827">
        <f>F41</f>
        <v>2936263</v>
      </c>
    </row>
    <row r="44" spans="1:7" ht="12" customHeight="1" x14ac:dyDescent="0.2">
      <c r="A44" s="986"/>
      <c r="B44" s="162"/>
      <c r="C44" s="1000"/>
      <c r="D44" s="1826" t="s">
        <v>494</v>
      </c>
      <c r="E44" s="1827">
        <f>E41</f>
        <v>22987846</v>
      </c>
      <c r="F44" s="1826" t="s">
        <v>494</v>
      </c>
      <c r="G44" s="1827">
        <f>G41</f>
        <v>20916255</v>
      </c>
    </row>
    <row r="45" spans="1:7" ht="12" customHeight="1" x14ac:dyDescent="0.2">
      <c r="A45" s="986"/>
      <c r="B45" s="162"/>
      <c r="C45" s="162"/>
      <c r="D45" s="1828" t="s">
        <v>1063</v>
      </c>
      <c r="E45" s="1829">
        <f>(E43/E44)</f>
        <v>3.7614311493125538E-2</v>
      </c>
      <c r="F45" s="1828" t="s">
        <v>1063</v>
      </c>
      <c r="G45" s="1829">
        <f>(G43/G44)</f>
        <v>0.14038187046390474</v>
      </c>
    </row>
    <row r="46" spans="1:7" x14ac:dyDescent="0.2">
      <c r="A46" s="1003"/>
      <c r="B46" s="1004"/>
      <c r="C46" s="1004"/>
      <c r="D46" s="1005"/>
      <c r="E46" s="1006"/>
      <c r="F46" s="1005"/>
      <c r="G46" s="1006"/>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tabSelected="1" zoomScale="110" zoomScaleNormal="110" workbookViewId="0">
      <pane ySplit="4" topLeftCell="A5" activePane="bottomLeft" state="frozen"/>
      <selection activeCell="H12" sqref="H12"/>
      <selection pane="bottomLeft" activeCell="A5" sqref="A5:F5"/>
    </sheetView>
  </sheetViews>
  <sheetFormatPr defaultColWidth="9.140625" defaultRowHeight="12.75" x14ac:dyDescent="0.2"/>
  <cols>
    <col min="1" max="1" width="54.5703125" style="1897" customWidth="1"/>
    <col min="2" max="2" width="4.140625" style="1897" customWidth="1"/>
    <col min="3" max="4" width="9.85546875" style="1868" customWidth="1"/>
    <col min="5" max="5" width="12.5703125" style="1898" customWidth="1"/>
    <col min="6" max="6" width="67.5703125" style="1868" customWidth="1"/>
    <col min="7" max="7" width="9.140625" style="1868" customWidth="1"/>
    <col min="8" max="8" width="5.5703125" style="1899" bestFit="1" customWidth="1"/>
    <col min="9" max="10" width="2" style="1899" bestFit="1" customWidth="1"/>
    <col min="11" max="11" width="9" style="1899" customWidth="1"/>
    <col min="12" max="16384" width="9.140625" style="1868"/>
  </cols>
  <sheetData>
    <row r="1" spans="1:10" x14ac:dyDescent="0.2">
      <c r="A1" s="2507" t="s">
        <v>1446</v>
      </c>
      <c r="B1" s="2507"/>
      <c r="C1" s="2507"/>
      <c r="D1" s="2507"/>
      <c r="E1" s="2507"/>
      <c r="F1" s="2507"/>
    </row>
    <row r="2" spans="1:10" x14ac:dyDescent="0.2">
      <c r="A2" s="1908" t="s">
        <v>2045</v>
      </c>
      <c r="B2" s="1869"/>
      <c r="C2" s="1908"/>
      <c r="D2" s="1869"/>
      <c r="E2" s="1869"/>
      <c r="F2" s="1870"/>
    </row>
    <row r="3" spans="1:10" x14ac:dyDescent="0.2">
      <c r="A3" s="1908" t="s">
        <v>1700</v>
      </c>
      <c r="B3" s="1869"/>
      <c r="C3" s="1908"/>
      <c r="D3" s="1869"/>
      <c r="E3" s="1869"/>
      <c r="F3" s="1870"/>
    </row>
    <row r="4" spans="1:10" ht="3.75" customHeight="1" x14ac:dyDescent="0.2">
      <c r="A4" s="1869"/>
      <c r="B4" s="1869"/>
      <c r="C4" s="1869"/>
      <c r="D4" s="1869"/>
      <c r="E4" s="1869"/>
      <c r="F4" s="1870"/>
    </row>
    <row r="5" spans="1:10" ht="15" x14ac:dyDescent="0.25">
      <c r="A5" s="2508" t="s">
        <v>1627</v>
      </c>
      <c r="B5" s="2509"/>
      <c r="C5" s="2510"/>
      <c r="D5" s="2510"/>
      <c r="E5" s="2510"/>
      <c r="F5" s="2510"/>
    </row>
    <row r="6" spans="1:10" ht="12" customHeight="1" x14ac:dyDescent="0.25">
      <c r="A6" s="1871"/>
      <c r="B6" s="1872"/>
      <c r="C6" s="2511" t="str">
        <f>COVER!A17</f>
        <v>Hononegah Community High School District No. 207</v>
      </c>
      <c r="D6" s="2511"/>
      <c r="E6" s="2511"/>
      <c r="F6" s="1873"/>
    </row>
    <row r="7" spans="1:10" ht="11.25" customHeight="1" thickBot="1" x14ac:dyDescent="0.3">
      <c r="A7" s="1871"/>
      <c r="B7" s="1872"/>
      <c r="C7" s="2512" t="str">
        <f>COVER!A13</f>
        <v>04-101-2070-16</v>
      </c>
      <c r="D7" s="2512"/>
      <c r="E7" s="2512"/>
      <c r="F7" s="1873"/>
    </row>
    <row r="8" spans="1:10" ht="25.5" customHeight="1" thickBot="1" x14ac:dyDescent="0.25">
      <c r="A8" s="1914" t="s">
        <v>2022</v>
      </c>
      <c r="B8" s="1874"/>
      <c r="C8" s="1910" t="s">
        <v>1780</v>
      </c>
      <c r="D8" s="1909" t="s">
        <v>1781</v>
      </c>
      <c r="E8" s="1911" t="s">
        <v>1447</v>
      </c>
      <c r="F8" s="1909" t="s">
        <v>1782</v>
      </c>
      <c r="H8" s="1875" t="b">
        <v>0</v>
      </c>
    </row>
    <row r="9" spans="1:10" ht="15.75" customHeight="1" x14ac:dyDescent="0.2">
      <c r="A9" s="1876" t="s">
        <v>1623</v>
      </c>
      <c r="B9" s="1877"/>
      <c r="C9" s="1878"/>
      <c r="D9" s="1878"/>
      <c r="E9" s="1879"/>
      <c r="F9" s="1880"/>
    </row>
    <row r="10" spans="1:10" ht="27.75" customHeight="1" x14ac:dyDescent="0.2">
      <c r="A10" s="1881" t="s">
        <v>1779</v>
      </c>
      <c r="B10" s="1882"/>
      <c r="C10" s="1883"/>
      <c r="D10" s="1883"/>
      <c r="E10" s="1912" t="s">
        <v>1448</v>
      </c>
      <c r="F10" s="1913" t="s">
        <v>1449</v>
      </c>
    </row>
    <row r="11" spans="1:10" ht="12" customHeight="1" x14ac:dyDescent="0.2">
      <c r="A11" s="1884" t="s">
        <v>1450</v>
      </c>
      <c r="B11" s="1885"/>
      <c r="C11" s="1886"/>
      <c r="D11" s="1886"/>
      <c r="E11" s="1887"/>
      <c r="F11" s="1888"/>
      <c r="H11" s="1899">
        <f>IF(C11="X",5,0)</f>
        <v>0</v>
      </c>
      <c r="I11" s="1899">
        <f>IF(D11="X",5,0)</f>
        <v>0</v>
      </c>
      <c r="J11" s="1899">
        <f>IF(E11="X",5,0)</f>
        <v>0</v>
      </c>
    </row>
    <row r="12" spans="1:10" ht="12" customHeight="1" x14ac:dyDescent="0.2">
      <c r="A12" s="1884" t="s">
        <v>1451</v>
      </c>
      <c r="B12" s="1885"/>
      <c r="C12" s="1886"/>
      <c r="D12" s="1886"/>
      <c r="E12" s="1889"/>
      <c r="F12" s="1888"/>
      <c r="H12" s="1899">
        <f t="shared" ref="H12:H33" si="0">IF(C12="X",5,0)</f>
        <v>0</v>
      </c>
      <c r="I12" s="1899">
        <f t="shared" ref="I12:I33" si="1">IF(D12="X",5,0)</f>
        <v>0</v>
      </c>
      <c r="J12" s="1899">
        <f t="shared" ref="J12:J33" si="2">IF(E12="X",5,0)</f>
        <v>0</v>
      </c>
    </row>
    <row r="13" spans="1:10" ht="12" customHeight="1" x14ac:dyDescent="0.2">
      <c r="A13" s="1884" t="s">
        <v>1452</v>
      </c>
      <c r="B13" s="1885"/>
      <c r="C13" s="1886"/>
      <c r="D13" s="1886"/>
      <c r="E13" s="1889"/>
      <c r="F13" s="1888"/>
      <c r="H13" s="1899">
        <f t="shared" si="0"/>
        <v>0</v>
      </c>
      <c r="I13" s="1899">
        <f t="shared" si="1"/>
        <v>0</v>
      </c>
      <c r="J13" s="1899">
        <f t="shared" si="2"/>
        <v>0</v>
      </c>
    </row>
    <row r="14" spans="1:10" ht="12" customHeight="1" x14ac:dyDescent="0.2">
      <c r="A14" s="1884" t="s">
        <v>1453</v>
      </c>
      <c r="B14" s="1885"/>
      <c r="C14" s="1886"/>
      <c r="D14" s="1886"/>
      <c r="E14" s="1889"/>
      <c r="F14" s="1888"/>
      <c r="H14" s="1899">
        <f t="shared" si="0"/>
        <v>0</v>
      </c>
      <c r="I14" s="1899">
        <f t="shared" si="1"/>
        <v>0</v>
      </c>
      <c r="J14" s="1899">
        <f t="shared" si="2"/>
        <v>0</v>
      </c>
    </row>
    <row r="15" spans="1:10" ht="12" customHeight="1" x14ac:dyDescent="0.2">
      <c r="A15" s="1884" t="s">
        <v>1454</v>
      </c>
      <c r="B15" s="1885"/>
      <c r="C15" s="1886"/>
      <c r="D15" s="1886"/>
      <c r="E15" s="1889"/>
      <c r="F15" s="1888"/>
      <c r="H15" s="1899">
        <f t="shared" si="0"/>
        <v>0</v>
      </c>
      <c r="I15" s="1899">
        <f t="shared" si="1"/>
        <v>0</v>
      </c>
      <c r="J15" s="1899">
        <f t="shared" si="2"/>
        <v>0</v>
      </c>
    </row>
    <row r="16" spans="1:10" ht="12" customHeight="1" x14ac:dyDescent="0.2">
      <c r="A16" s="1884" t="s">
        <v>1455</v>
      </c>
      <c r="B16" s="1885"/>
      <c r="C16" s="1886"/>
      <c r="D16" s="1886"/>
      <c r="E16" s="1889"/>
      <c r="F16" s="1888"/>
      <c r="H16" s="1899">
        <f t="shared" si="0"/>
        <v>0</v>
      </c>
      <c r="I16" s="1899">
        <f t="shared" si="1"/>
        <v>0</v>
      </c>
      <c r="J16" s="1899">
        <f t="shared" si="2"/>
        <v>0</v>
      </c>
    </row>
    <row r="17" spans="1:12" ht="12" customHeight="1" x14ac:dyDescent="0.2">
      <c r="A17" s="1884" t="s">
        <v>1456</v>
      </c>
      <c r="B17" s="1885"/>
      <c r="C17" s="1886"/>
      <c r="D17" s="1886"/>
      <c r="E17" s="1889"/>
      <c r="F17" s="1888"/>
      <c r="H17" s="1899">
        <f t="shared" si="0"/>
        <v>0</v>
      </c>
      <c r="I17" s="1899">
        <f t="shared" si="1"/>
        <v>0</v>
      </c>
      <c r="J17" s="1899">
        <f t="shared" si="2"/>
        <v>0</v>
      </c>
    </row>
    <row r="18" spans="1:12" ht="12" customHeight="1" x14ac:dyDescent="0.2">
      <c r="A18" s="1884" t="s">
        <v>1457</v>
      </c>
      <c r="B18" s="1885"/>
      <c r="C18" s="1886"/>
      <c r="D18" s="1886"/>
      <c r="E18" s="1889"/>
      <c r="F18" s="1888"/>
      <c r="H18" s="1899">
        <f t="shared" si="0"/>
        <v>0</v>
      </c>
      <c r="I18" s="1899">
        <f t="shared" si="1"/>
        <v>0</v>
      </c>
      <c r="J18" s="1899">
        <f t="shared" si="2"/>
        <v>0</v>
      </c>
    </row>
    <row r="19" spans="1:12" ht="12" customHeight="1" x14ac:dyDescent="0.2">
      <c r="A19" s="1884" t="s">
        <v>1608</v>
      </c>
      <c r="B19" s="1885"/>
      <c r="C19" s="1886"/>
      <c r="D19" s="1886"/>
      <c r="E19" s="1889"/>
      <c r="F19" s="1888"/>
      <c r="H19" s="1899">
        <f t="shared" si="0"/>
        <v>0</v>
      </c>
      <c r="I19" s="1899">
        <f t="shared" si="1"/>
        <v>0</v>
      </c>
      <c r="J19" s="1899">
        <f t="shared" si="2"/>
        <v>0</v>
      </c>
    </row>
    <row r="20" spans="1:12" ht="12" customHeight="1" x14ac:dyDescent="0.2">
      <c r="A20" s="1884" t="s">
        <v>1609</v>
      </c>
      <c r="B20" s="1885"/>
      <c r="C20" s="1886"/>
      <c r="D20" s="1886"/>
      <c r="E20" s="1889"/>
      <c r="F20" s="1888"/>
      <c r="H20" s="1899">
        <f t="shared" si="0"/>
        <v>0</v>
      </c>
      <c r="I20" s="1899">
        <f t="shared" si="1"/>
        <v>0</v>
      </c>
      <c r="J20" s="1899">
        <f t="shared" si="2"/>
        <v>0</v>
      </c>
    </row>
    <row r="21" spans="1:12" ht="12" customHeight="1" x14ac:dyDescent="0.2">
      <c r="A21" s="1884" t="s">
        <v>1610</v>
      </c>
      <c r="B21" s="1885"/>
      <c r="C21" s="1886"/>
      <c r="D21" s="1886"/>
      <c r="E21" s="1889"/>
      <c r="F21" s="1888"/>
      <c r="H21" s="1899">
        <f t="shared" si="0"/>
        <v>0</v>
      </c>
      <c r="I21" s="1899">
        <f t="shared" si="1"/>
        <v>0</v>
      </c>
      <c r="J21" s="1899">
        <f t="shared" si="2"/>
        <v>0</v>
      </c>
    </row>
    <row r="22" spans="1:12" ht="12" customHeight="1" x14ac:dyDescent="0.2">
      <c r="A22" s="1884" t="s">
        <v>1611</v>
      </c>
      <c r="B22" s="1885"/>
      <c r="C22" s="1886"/>
      <c r="D22" s="1886"/>
      <c r="E22" s="1889"/>
      <c r="F22" s="1888"/>
      <c r="H22" s="1899">
        <f t="shared" si="0"/>
        <v>0</v>
      </c>
      <c r="I22" s="1899">
        <f t="shared" si="1"/>
        <v>0</v>
      </c>
      <c r="J22" s="1899">
        <f t="shared" si="2"/>
        <v>0</v>
      </c>
    </row>
    <row r="23" spans="1:12" ht="12" customHeight="1" x14ac:dyDescent="0.2">
      <c r="A23" s="1884" t="s">
        <v>1612</v>
      </c>
      <c r="B23" s="1885"/>
      <c r="C23" s="1886"/>
      <c r="D23" s="1886"/>
      <c r="E23" s="1889"/>
      <c r="F23" s="1888"/>
      <c r="H23" s="1899">
        <f t="shared" si="0"/>
        <v>0</v>
      </c>
      <c r="I23" s="1899">
        <f t="shared" si="1"/>
        <v>0</v>
      </c>
      <c r="J23" s="1899">
        <f t="shared" si="2"/>
        <v>0</v>
      </c>
    </row>
    <row r="24" spans="1:12" ht="12" customHeight="1" x14ac:dyDescent="0.2">
      <c r="A24" s="1884" t="s">
        <v>1613</v>
      </c>
      <c r="B24" s="1885"/>
      <c r="C24" s="1886"/>
      <c r="D24" s="1886"/>
      <c r="E24" s="1889"/>
      <c r="F24" s="1888"/>
      <c r="H24" s="1899">
        <f t="shared" si="0"/>
        <v>0</v>
      </c>
      <c r="I24" s="1899">
        <f t="shared" si="1"/>
        <v>0</v>
      </c>
      <c r="J24" s="1899">
        <f t="shared" si="2"/>
        <v>0</v>
      </c>
    </row>
    <row r="25" spans="1:12" ht="12" customHeight="1" x14ac:dyDescent="0.2">
      <c r="A25" s="1884" t="s">
        <v>1614</v>
      </c>
      <c r="B25" s="1885"/>
      <c r="C25" s="1886"/>
      <c r="D25" s="1886"/>
      <c r="E25" s="1889"/>
      <c r="F25" s="1888"/>
      <c r="H25" s="1899">
        <f t="shared" si="0"/>
        <v>0</v>
      </c>
      <c r="I25" s="1899">
        <f t="shared" si="1"/>
        <v>0</v>
      </c>
      <c r="J25" s="1899">
        <f t="shared" si="2"/>
        <v>0</v>
      </c>
    </row>
    <row r="26" spans="1:12" ht="12" customHeight="1" x14ac:dyDescent="0.2">
      <c r="A26" s="1884" t="s">
        <v>1615</v>
      </c>
      <c r="B26" s="1885"/>
      <c r="C26" s="1886" t="s">
        <v>2100</v>
      </c>
      <c r="D26" s="1886" t="s">
        <v>2100</v>
      </c>
      <c r="E26" s="1889"/>
      <c r="F26" s="1888" t="s">
        <v>2101</v>
      </c>
      <c r="H26" s="1899">
        <f t="shared" si="0"/>
        <v>5</v>
      </c>
      <c r="I26" s="1899">
        <f t="shared" si="1"/>
        <v>5</v>
      </c>
      <c r="J26" s="1899">
        <f t="shared" si="2"/>
        <v>0</v>
      </c>
    </row>
    <row r="27" spans="1:12" ht="18.75" x14ac:dyDescent="0.2">
      <c r="A27" s="1884" t="s">
        <v>1616</v>
      </c>
      <c r="B27" s="1885"/>
      <c r="C27" s="1886"/>
      <c r="D27" s="1886"/>
      <c r="E27" s="1889"/>
      <c r="F27" s="1888"/>
      <c r="H27" s="1899">
        <f t="shared" si="0"/>
        <v>0</v>
      </c>
      <c r="I27" s="1899">
        <f t="shared" si="1"/>
        <v>0</v>
      </c>
      <c r="J27" s="1899">
        <f t="shared" si="2"/>
        <v>0</v>
      </c>
    </row>
    <row r="28" spans="1:12" ht="12" customHeight="1" x14ac:dyDescent="0.2">
      <c r="A28" s="1884" t="s">
        <v>1617</v>
      </c>
      <c r="B28" s="1885"/>
      <c r="C28" s="1886"/>
      <c r="D28" s="1886"/>
      <c r="E28" s="1889"/>
      <c r="F28" s="1888"/>
      <c r="H28" s="1899">
        <f t="shared" si="0"/>
        <v>0</v>
      </c>
      <c r="I28" s="1899">
        <f t="shared" si="1"/>
        <v>0</v>
      </c>
      <c r="J28" s="1899">
        <f t="shared" si="2"/>
        <v>0</v>
      </c>
    </row>
    <row r="29" spans="1:12" ht="12" customHeight="1" x14ac:dyDescent="0.2">
      <c r="A29" s="1884" t="s">
        <v>1618</v>
      </c>
      <c r="B29" s="1885"/>
      <c r="C29" s="1886"/>
      <c r="D29" s="1886"/>
      <c r="E29" s="1889"/>
      <c r="F29" s="1888"/>
      <c r="H29" s="1899">
        <f t="shared" si="0"/>
        <v>0</v>
      </c>
      <c r="I29" s="1899">
        <f t="shared" si="1"/>
        <v>0</v>
      </c>
      <c r="J29" s="1899">
        <f t="shared" si="2"/>
        <v>0</v>
      </c>
    </row>
    <row r="30" spans="1:12" ht="12" customHeight="1" x14ac:dyDescent="0.2">
      <c r="A30" s="1884" t="s">
        <v>1619</v>
      </c>
      <c r="B30" s="1885"/>
      <c r="C30" s="1886"/>
      <c r="D30" s="1886"/>
      <c r="E30" s="1889"/>
      <c r="F30" s="1888"/>
      <c r="H30" s="1899">
        <f t="shared" si="0"/>
        <v>0</v>
      </c>
      <c r="I30" s="1899">
        <f t="shared" si="1"/>
        <v>0</v>
      </c>
      <c r="J30" s="1899">
        <f t="shared" si="2"/>
        <v>0</v>
      </c>
    </row>
    <row r="31" spans="1:12" ht="12" customHeight="1" x14ac:dyDescent="0.2">
      <c r="A31" s="1884" t="s">
        <v>1620</v>
      </c>
      <c r="B31" s="1885"/>
      <c r="C31" s="1886" t="s">
        <v>2100</v>
      </c>
      <c r="D31" s="1886" t="s">
        <v>2100</v>
      </c>
      <c r="E31" s="1889"/>
      <c r="F31" s="1888" t="s">
        <v>2102</v>
      </c>
      <c r="H31" s="1899">
        <f t="shared" si="0"/>
        <v>5</v>
      </c>
      <c r="I31" s="1899">
        <f t="shared" si="1"/>
        <v>5</v>
      </c>
      <c r="J31" s="1899">
        <f t="shared" si="2"/>
        <v>0</v>
      </c>
      <c r="L31" s="1890"/>
    </row>
    <row r="32" spans="1:12" ht="12" customHeight="1" x14ac:dyDescent="0.2">
      <c r="A32" s="1884" t="s">
        <v>1621</v>
      </c>
      <c r="B32" s="1885"/>
      <c r="C32" s="1886"/>
      <c r="D32" s="1886"/>
      <c r="E32" s="1889"/>
      <c r="F32" s="1888"/>
      <c r="H32" s="1899">
        <f t="shared" si="0"/>
        <v>0</v>
      </c>
      <c r="I32" s="1899">
        <f t="shared" si="1"/>
        <v>0</v>
      </c>
      <c r="J32" s="1899">
        <f t="shared" si="2"/>
        <v>0</v>
      </c>
    </row>
    <row r="33" spans="1:11" ht="12" customHeight="1" x14ac:dyDescent="0.2">
      <c r="A33" s="1884" t="s">
        <v>1622</v>
      </c>
      <c r="B33" s="1885"/>
      <c r="C33" s="1886"/>
      <c r="D33" s="1886"/>
      <c r="E33" s="1889"/>
      <c r="F33" s="1888"/>
      <c r="H33" s="1899">
        <f t="shared" si="0"/>
        <v>0</v>
      </c>
      <c r="I33" s="1899">
        <f t="shared" si="1"/>
        <v>0</v>
      </c>
      <c r="J33" s="1899">
        <f t="shared" si="2"/>
        <v>0</v>
      </c>
    </row>
    <row r="34" spans="1:11" ht="12" customHeight="1" x14ac:dyDescent="0.25">
      <c r="A34" s="1891"/>
      <c r="B34" s="1891"/>
      <c r="C34" s="1891"/>
      <c r="D34" s="1891"/>
      <c r="E34" s="1891"/>
      <c r="F34" s="1891"/>
      <c r="H34" s="1899">
        <f>SUM(H11:H32)</f>
        <v>10</v>
      </c>
      <c r="I34" s="1899">
        <f>SUM(I11:I32)</f>
        <v>10</v>
      </c>
      <c r="J34" s="1899">
        <f>SUM(J11:J32)</f>
        <v>0</v>
      </c>
      <c r="K34" s="1899">
        <f>SUM(H34:J34)</f>
        <v>20</v>
      </c>
    </row>
    <row r="35" spans="1:11" ht="12" customHeight="1" x14ac:dyDescent="0.2">
      <c r="A35" s="1892" t="s">
        <v>1459</v>
      </c>
      <c r="B35" s="1893"/>
      <c r="C35" s="2513"/>
      <c r="D35" s="2513"/>
      <c r="E35" s="2513"/>
      <c r="F35" s="2514"/>
    </row>
    <row r="36" spans="1:11" ht="12" customHeight="1" x14ac:dyDescent="0.2">
      <c r="A36" s="2496"/>
      <c r="B36" s="2497"/>
      <c r="C36" s="2497"/>
      <c r="D36" s="2497"/>
      <c r="E36" s="2497"/>
      <c r="F36" s="2498"/>
    </row>
    <row r="37" spans="1:11" ht="12" customHeight="1" x14ac:dyDescent="0.2">
      <c r="A37" s="2496"/>
      <c r="B37" s="2497"/>
      <c r="C37" s="2497"/>
      <c r="D37" s="2497"/>
      <c r="E37" s="2497"/>
      <c r="F37" s="2498"/>
    </row>
    <row r="38" spans="1:11" ht="12" customHeight="1" x14ac:dyDescent="0.2">
      <c r="A38" s="2499"/>
      <c r="B38" s="2500"/>
      <c r="C38" s="2500"/>
      <c r="D38" s="2500"/>
      <c r="E38" s="2500"/>
      <c r="F38" s="2501"/>
    </row>
    <row r="39" spans="1:11" ht="4.5" hidden="1" customHeight="1" x14ac:dyDescent="0.2">
      <c r="A39" s="1894"/>
      <c r="B39" s="1894"/>
      <c r="C39" s="1894"/>
      <c r="D39" s="1894"/>
      <c r="E39" s="1894"/>
      <c r="F39" s="1894"/>
    </row>
    <row r="40" spans="1:11" s="1891" customFormat="1" ht="12" customHeight="1" x14ac:dyDescent="0.25">
      <c r="A40" s="1895" t="s">
        <v>1458</v>
      </c>
      <c r="B40" s="1896"/>
      <c r="C40" s="2502"/>
      <c r="D40" s="2502"/>
      <c r="E40" s="2502"/>
      <c r="F40" s="2503"/>
      <c r="H40" s="1900"/>
      <c r="I40" s="1900"/>
      <c r="J40" s="1900"/>
      <c r="K40" s="1900"/>
    </row>
    <row r="41" spans="1:11" s="1891" customFormat="1" ht="12" customHeight="1" x14ac:dyDescent="0.25">
      <c r="A41" s="2504"/>
      <c r="B41" s="2505"/>
      <c r="C41" s="2505"/>
      <c r="D41" s="2505"/>
      <c r="E41" s="2505"/>
      <c r="F41" s="2506"/>
      <c r="H41" s="1900"/>
      <c r="I41" s="1900"/>
      <c r="J41" s="1900"/>
      <c r="K41" s="1900"/>
    </row>
    <row r="42" spans="1:11" s="1891" customFormat="1" ht="12" customHeight="1" x14ac:dyDescent="0.25">
      <c r="A42" s="2504"/>
      <c r="B42" s="2505"/>
      <c r="C42" s="2505"/>
      <c r="D42" s="2505"/>
      <c r="E42" s="2505"/>
      <c r="F42" s="2506"/>
      <c r="H42" s="1900"/>
      <c r="I42" s="1900"/>
      <c r="J42" s="1900"/>
      <c r="K42" s="1900"/>
    </row>
    <row r="43" spans="1:11" s="1891" customFormat="1" ht="15" x14ac:dyDescent="0.25">
      <c r="A43" s="2493"/>
      <c r="B43" s="2494"/>
      <c r="C43" s="2494"/>
      <c r="D43" s="2494"/>
      <c r="E43" s="2494"/>
      <c r="F43" s="2495"/>
      <c r="H43" s="1900"/>
      <c r="I43" s="1900"/>
      <c r="J43" s="1900"/>
      <c r="K43" s="1900"/>
    </row>
    <row r="44" spans="1:11" s="1891" customFormat="1" ht="12" hidden="1" customHeight="1" x14ac:dyDescent="0.25">
      <c r="A44" s="2493"/>
      <c r="B44" s="2494"/>
      <c r="C44" s="2494"/>
      <c r="D44" s="2494"/>
      <c r="E44" s="2494"/>
      <c r="F44" s="2495"/>
      <c r="H44" s="1900"/>
      <c r="I44" s="1900"/>
      <c r="J44" s="1900"/>
      <c r="K44" s="1900"/>
    </row>
    <row r="45" spans="1:11" s="1891" customFormat="1" ht="12" customHeight="1" x14ac:dyDescent="0.25">
      <c r="H45" s="1900"/>
      <c r="I45" s="1900"/>
      <c r="J45" s="1900"/>
      <c r="K45" s="1900"/>
    </row>
    <row r="46" spans="1:11" s="1891" customFormat="1" ht="9.75" customHeight="1" x14ac:dyDescent="0.25">
      <c r="H46" s="1900"/>
      <c r="I46" s="1900"/>
      <c r="J46" s="1900"/>
      <c r="K46" s="1900"/>
    </row>
    <row r="47" spans="1:11" s="1891" customFormat="1" ht="13.5" customHeight="1" x14ac:dyDescent="0.25">
      <c r="H47" s="1900"/>
      <c r="I47" s="1900"/>
      <c r="J47" s="1900"/>
      <c r="K47" s="1900"/>
    </row>
    <row r="48" spans="1:11" s="1891" customFormat="1" ht="15" x14ac:dyDescent="0.25">
      <c r="H48" s="1900"/>
      <c r="I48" s="1900"/>
      <c r="J48" s="1900"/>
      <c r="K48" s="1900"/>
    </row>
    <row r="49" spans="1:11" s="1891" customFormat="1" ht="15" hidden="1" x14ac:dyDescent="0.25">
      <c r="A49" s="1891" t="b">
        <v>0</v>
      </c>
      <c r="H49" s="1900"/>
      <c r="I49" s="1900"/>
      <c r="J49" s="1900"/>
      <c r="K49" s="1900"/>
    </row>
    <row r="50" spans="1:11" s="1891" customFormat="1" ht="15" x14ac:dyDescent="0.25">
      <c r="H50" s="1900"/>
      <c r="I50" s="1900"/>
      <c r="J50" s="1900"/>
      <c r="K50" s="1900"/>
    </row>
    <row r="51" spans="1:11" s="1891" customFormat="1" ht="15" x14ac:dyDescent="0.25">
      <c r="H51" s="1900"/>
      <c r="I51" s="1900"/>
      <c r="J51" s="1900"/>
      <c r="K51" s="1900"/>
    </row>
    <row r="52" spans="1:11" s="1891" customFormat="1" ht="15" x14ac:dyDescent="0.25">
      <c r="H52" s="1900"/>
      <c r="I52" s="1900"/>
      <c r="J52" s="1900"/>
      <c r="K52" s="1900"/>
    </row>
    <row r="53" spans="1:11" s="1891" customFormat="1" ht="15" x14ac:dyDescent="0.25">
      <c r="H53" s="1900"/>
      <c r="I53" s="1900"/>
      <c r="J53" s="1900"/>
      <c r="K53" s="1900"/>
    </row>
    <row r="54" spans="1:11" s="1891" customFormat="1" ht="15" x14ac:dyDescent="0.25">
      <c r="H54" s="1900"/>
      <c r="I54" s="1900"/>
      <c r="J54" s="1900"/>
      <c r="K54" s="1900"/>
    </row>
    <row r="55" spans="1:11" s="1891" customFormat="1" ht="15" x14ac:dyDescent="0.25">
      <c r="H55" s="1900"/>
      <c r="I55" s="1900"/>
      <c r="J55" s="1900"/>
      <c r="K55" s="1900"/>
    </row>
    <row r="56" spans="1:11" s="1891" customFormat="1" ht="15" x14ac:dyDescent="0.25">
      <c r="H56" s="1900"/>
      <c r="I56" s="1900"/>
      <c r="J56" s="1900"/>
      <c r="K56" s="1900"/>
    </row>
    <row r="57" spans="1:11" s="1891" customFormat="1" ht="15" x14ac:dyDescent="0.25">
      <c r="H57" s="1900"/>
      <c r="I57" s="1900"/>
      <c r="J57" s="1900"/>
      <c r="K57" s="1900"/>
    </row>
    <row r="58" spans="1:11" s="1891" customFormat="1" ht="15" x14ac:dyDescent="0.25">
      <c r="H58" s="1900"/>
      <c r="I58" s="1900"/>
      <c r="J58" s="1900"/>
      <c r="K58" s="1900"/>
    </row>
    <row r="59" spans="1:11" s="1891" customFormat="1" ht="15" x14ac:dyDescent="0.25">
      <c r="H59" s="1900"/>
      <c r="I59" s="1900"/>
      <c r="J59" s="1900"/>
      <c r="K59" s="1900"/>
    </row>
    <row r="60" spans="1:11" s="1891" customFormat="1" ht="15" x14ac:dyDescent="0.25">
      <c r="H60" s="1900"/>
      <c r="I60" s="1900"/>
      <c r="J60" s="1900"/>
      <c r="K60" s="1900"/>
    </row>
    <row r="61" spans="1:11" s="1891" customFormat="1" ht="15" x14ac:dyDescent="0.25">
      <c r="H61" s="1900"/>
      <c r="I61" s="1900"/>
      <c r="J61" s="1900"/>
      <c r="K61" s="1900"/>
    </row>
    <row r="62" spans="1:11" s="1891" customFormat="1" ht="15" x14ac:dyDescent="0.25">
      <c r="H62" s="1900"/>
      <c r="I62" s="1900"/>
      <c r="J62" s="1900"/>
      <c r="K62" s="1900"/>
    </row>
    <row r="63" spans="1:11" s="1891" customFormat="1" ht="15" x14ac:dyDescent="0.25">
      <c r="H63" s="1900"/>
      <c r="I63" s="1900"/>
      <c r="J63" s="1900"/>
      <c r="K63" s="1900"/>
    </row>
    <row r="64" spans="1:11" s="1891" customFormat="1" ht="15" x14ac:dyDescent="0.25">
      <c r="H64" s="1900"/>
      <c r="I64" s="1900"/>
      <c r="J64" s="1900"/>
      <c r="K64" s="1900"/>
    </row>
    <row r="65" spans="8:11" s="1891" customFormat="1" ht="15" x14ac:dyDescent="0.25">
      <c r="H65" s="1900"/>
      <c r="I65" s="1900"/>
      <c r="J65" s="1900"/>
      <c r="K65" s="1900"/>
    </row>
    <row r="66" spans="8:11" s="1891" customFormat="1" ht="15" x14ac:dyDescent="0.25">
      <c r="H66" s="1900"/>
      <c r="I66" s="1900"/>
      <c r="J66" s="1900"/>
      <c r="K66" s="1900"/>
    </row>
    <row r="67" spans="8:11" s="1891" customFormat="1" ht="15" x14ac:dyDescent="0.25">
      <c r="H67" s="1900"/>
      <c r="I67" s="1900"/>
      <c r="J67" s="1900"/>
      <c r="K67" s="1900"/>
    </row>
    <row r="68" spans="8:11" s="1891" customFormat="1" ht="15" x14ac:dyDescent="0.25">
      <c r="H68" s="1900"/>
      <c r="I68" s="1900"/>
      <c r="J68" s="1900"/>
      <c r="K68" s="1900"/>
    </row>
    <row r="69" spans="8:11" s="1891" customFormat="1" ht="15" x14ac:dyDescent="0.25">
      <c r="H69" s="1900"/>
      <c r="I69" s="1900"/>
      <c r="J69" s="1900"/>
      <c r="K69" s="1900"/>
    </row>
    <row r="70" spans="8:11" s="1891" customFormat="1" ht="15" x14ac:dyDescent="0.25">
      <c r="H70" s="1900"/>
      <c r="I70" s="1900"/>
      <c r="J70" s="1900"/>
      <c r="K70" s="1900"/>
    </row>
    <row r="71" spans="8:11" s="1891" customFormat="1" ht="15" x14ac:dyDescent="0.25">
      <c r="H71" s="1900"/>
      <c r="I71" s="1900"/>
      <c r="J71" s="1900"/>
      <c r="K71" s="1900"/>
    </row>
    <row r="72" spans="8:11" s="1891" customFormat="1" ht="15" x14ac:dyDescent="0.25">
      <c r="H72" s="1900"/>
      <c r="I72" s="1900"/>
      <c r="J72" s="1900"/>
      <c r="K72" s="1900"/>
    </row>
    <row r="73" spans="8:11" s="1891" customFormat="1" ht="15" x14ac:dyDescent="0.25">
      <c r="H73" s="1900"/>
      <c r="I73" s="1900"/>
      <c r="J73" s="1900"/>
      <c r="K73" s="1900"/>
    </row>
    <row r="74" spans="8:11" s="1891" customFormat="1" ht="15" x14ac:dyDescent="0.25">
      <c r="H74" s="1900"/>
      <c r="I74" s="1900"/>
      <c r="J74" s="1900"/>
      <c r="K74" s="1900"/>
    </row>
    <row r="75" spans="8:11" s="1891" customFormat="1" ht="15" x14ac:dyDescent="0.25">
      <c r="H75" s="1900"/>
      <c r="I75" s="1900"/>
      <c r="J75" s="1900"/>
      <c r="K75" s="1900"/>
    </row>
    <row r="76" spans="8:11" s="1891" customFormat="1" ht="15" x14ac:dyDescent="0.25">
      <c r="H76" s="1900"/>
      <c r="I76" s="1900"/>
      <c r="J76" s="1900"/>
      <c r="K76" s="1900"/>
    </row>
    <row r="77" spans="8:11" s="1891" customFormat="1" ht="15" x14ac:dyDescent="0.25">
      <c r="H77" s="1900"/>
      <c r="I77" s="1900"/>
      <c r="J77" s="1900"/>
      <c r="K77" s="1900"/>
    </row>
    <row r="78" spans="8:11" s="1891" customFormat="1" ht="15" x14ac:dyDescent="0.25">
      <c r="H78" s="1900"/>
      <c r="I78" s="1900"/>
      <c r="J78" s="1900"/>
      <c r="K78" s="1900"/>
    </row>
    <row r="79" spans="8:11" s="1891" customFormat="1" ht="15" x14ac:dyDescent="0.25">
      <c r="H79" s="1900"/>
      <c r="I79" s="1900"/>
      <c r="J79" s="1900"/>
      <c r="K79" s="1900"/>
    </row>
    <row r="80" spans="8:11" s="1891" customFormat="1" ht="15" x14ac:dyDescent="0.25">
      <c r="H80" s="1900"/>
      <c r="I80" s="1900"/>
      <c r="J80" s="1900"/>
      <c r="K80" s="1900"/>
    </row>
    <row r="81" spans="8:11" s="1891" customFormat="1" ht="15" x14ac:dyDescent="0.25">
      <c r="H81" s="1900"/>
      <c r="I81" s="1900"/>
      <c r="J81" s="1900"/>
      <c r="K81" s="1900"/>
    </row>
    <row r="82" spans="8:11" s="1891" customFormat="1" ht="15" x14ac:dyDescent="0.25">
      <c r="H82" s="1900"/>
      <c r="I82" s="1900"/>
      <c r="J82" s="1900"/>
      <c r="K82" s="1900"/>
    </row>
    <row r="83" spans="8:11" s="1891" customFormat="1" ht="15" x14ac:dyDescent="0.25">
      <c r="H83" s="1900"/>
      <c r="I83" s="1900"/>
      <c r="J83" s="1900"/>
      <c r="K83" s="1900"/>
    </row>
    <row r="84" spans="8:11" s="1891" customFormat="1" ht="15" x14ac:dyDescent="0.25">
      <c r="H84" s="1900"/>
      <c r="I84" s="1900"/>
      <c r="J84" s="1900"/>
      <c r="K84" s="1900"/>
    </row>
    <row r="85" spans="8:11" s="1891" customFormat="1" ht="15" x14ac:dyDescent="0.25">
      <c r="H85" s="1900"/>
      <c r="I85" s="1900"/>
      <c r="J85" s="1900"/>
      <c r="K85" s="1900"/>
    </row>
    <row r="86" spans="8:11" s="1891" customFormat="1" ht="15" x14ac:dyDescent="0.25">
      <c r="H86" s="1900"/>
      <c r="I86" s="1900"/>
      <c r="J86" s="1900"/>
      <c r="K86" s="1900"/>
    </row>
    <row r="87" spans="8:11" s="1891" customFormat="1" ht="15" x14ac:dyDescent="0.25">
      <c r="H87" s="1900"/>
      <c r="I87" s="1900"/>
      <c r="J87" s="1900"/>
      <c r="K87" s="1900"/>
    </row>
    <row r="88" spans="8:11" s="1891" customFormat="1" ht="15" x14ac:dyDescent="0.25">
      <c r="H88" s="1900"/>
      <c r="I88" s="1900"/>
      <c r="J88" s="1900"/>
      <c r="K88" s="1900"/>
    </row>
    <row r="89" spans="8:11" s="1891" customFormat="1" ht="15" x14ac:dyDescent="0.25">
      <c r="H89" s="1900"/>
      <c r="I89" s="1900"/>
      <c r="J89" s="1900"/>
      <c r="K89" s="1900"/>
    </row>
    <row r="90" spans="8:11" s="1891" customFormat="1" ht="15" x14ac:dyDescent="0.25">
      <c r="H90" s="1900"/>
      <c r="I90" s="1900"/>
      <c r="J90" s="1900"/>
      <c r="K90" s="1900"/>
    </row>
    <row r="91" spans="8:11" s="1891" customFormat="1" ht="15" x14ac:dyDescent="0.25">
      <c r="H91" s="1900"/>
      <c r="I91" s="1900"/>
      <c r="J91" s="1900"/>
      <c r="K91" s="1900"/>
    </row>
    <row r="92" spans="8:11" s="1891" customFormat="1" ht="15" x14ac:dyDescent="0.25">
      <c r="H92" s="1900"/>
      <c r="I92" s="1900"/>
      <c r="J92" s="1900"/>
      <c r="K92" s="1900"/>
    </row>
    <row r="93" spans="8:11" s="1891" customFormat="1" ht="15" x14ac:dyDescent="0.25">
      <c r="H93" s="1900"/>
      <c r="I93" s="1900"/>
      <c r="J93" s="1900"/>
      <c r="K93" s="1900"/>
    </row>
    <row r="94" spans="8:11" s="1891" customFormat="1" ht="15" x14ac:dyDescent="0.25">
      <c r="H94" s="1900"/>
      <c r="I94" s="1900"/>
      <c r="J94" s="1900"/>
      <c r="K94" s="1900"/>
    </row>
    <row r="95" spans="8:11" s="1891" customFormat="1" ht="15" x14ac:dyDescent="0.25">
      <c r="H95" s="1900"/>
      <c r="I95" s="1900"/>
      <c r="J95" s="1900"/>
      <c r="K95" s="1900"/>
    </row>
    <row r="96" spans="8:11" s="1891" customFormat="1" ht="15" x14ac:dyDescent="0.25">
      <c r="H96" s="1900"/>
      <c r="I96" s="1900"/>
      <c r="J96" s="1900"/>
      <c r="K96" s="1900"/>
    </row>
    <row r="97" spans="8:11" s="1891" customFormat="1" ht="15" x14ac:dyDescent="0.25">
      <c r="H97" s="1900"/>
      <c r="I97" s="1900"/>
      <c r="J97" s="1900"/>
      <c r="K97" s="1900"/>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ageMargins left="0.3" right="0.2" top="0.68" bottom="0.37" header="0.17" footer="0.17"/>
  <pageSetup scale="83"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heetViews>
  <sheetFormatPr defaultColWidth="9.140625" defaultRowHeight="12.75" x14ac:dyDescent="0.2"/>
  <cols>
    <col min="1" max="1" width="3" style="1009" customWidth="1"/>
    <col min="2" max="2" width="2.7109375" style="1009" customWidth="1"/>
    <col min="3" max="3" width="38.5703125" style="1009" customWidth="1"/>
    <col min="4" max="4" width="6.42578125" style="1009" customWidth="1"/>
    <col min="5" max="10" width="15.7109375" style="1009" customWidth="1"/>
    <col min="11" max="14" width="4.7109375" style="1009" customWidth="1"/>
    <col min="15" max="16384" width="9.140625" style="1009"/>
  </cols>
  <sheetData>
    <row r="1" spans="1:17" ht="11.85" customHeight="1" x14ac:dyDescent="0.2">
      <c r="A1" s="1007"/>
      <c r="B1" s="1008"/>
      <c r="E1" s="1010"/>
      <c r="F1" s="1011" t="s">
        <v>425</v>
      </c>
      <c r="G1" s="1012"/>
    </row>
    <row r="2" spans="1:17" ht="11.85" customHeight="1" x14ac:dyDescent="0.2">
      <c r="A2" s="1007"/>
      <c r="B2" s="1008"/>
      <c r="E2" s="1010"/>
      <c r="F2" s="1013" t="s">
        <v>308</v>
      </c>
      <c r="G2" s="1012"/>
    </row>
    <row r="3" spans="1:17" ht="11.85" customHeight="1" x14ac:dyDescent="0.2">
      <c r="E3" s="1010"/>
      <c r="F3" s="1013" t="s">
        <v>426</v>
      </c>
      <c r="G3" s="1010"/>
    </row>
    <row r="4" spans="1:17" ht="11.85" customHeight="1" x14ac:dyDescent="0.2">
      <c r="E4" s="1010"/>
      <c r="F4" s="1013" t="s">
        <v>923</v>
      </c>
      <c r="G4" s="1010"/>
    </row>
    <row r="5" spans="1:17" ht="12.2" customHeight="1" x14ac:dyDescent="0.2">
      <c r="F5" s="1013"/>
    </row>
    <row r="6" spans="1:17" x14ac:dyDescent="0.2">
      <c r="A6" s="1915" t="s">
        <v>693</v>
      </c>
      <c r="B6" s="1660"/>
      <c r="C6" s="1660"/>
      <c r="D6" s="1660"/>
      <c r="E6" s="1661"/>
      <c r="F6" s="1014"/>
      <c r="G6" s="1008"/>
      <c r="H6" s="1015" t="s">
        <v>1086</v>
      </c>
      <c r="I6" s="2520" t="str">
        <f>COVER!A17</f>
        <v>Hononegah Community High School District No. 207</v>
      </c>
      <c r="J6" s="2521"/>
      <c r="Q6" s="1682"/>
    </row>
    <row r="7" spans="1:17" x14ac:dyDescent="0.2">
      <c r="A7" s="2522" t="s">
        <v>924</v>
      </c>
      <c r="B7" s="2523"/>
      <c r="C7" s="2523"/>
      <c r="D7" s="2523"/>
      <c r="E7" s="2524"/>
      <c r="F7" s="1016"/>
      <c r="G7" s="1008"/>
      <c r="H7" s="1015" t="s">
        <v>390</v>
      </c>
      <c r="I7" s="2525" t="str">
        <f>COVER!A13</f>
        <v>04-101-2070-16</v>
      </c>
      <c r="J7" s="2525"/>
    </row>
    <row r="8" spans="1:17" ht="8.25" customHeight="1" x14ac:dyDescent="0.2">
      <c r="A8" s="1662"/>
      <c r="B8" s="1663"/>
      <c r="C8" s="1663"/>
      <c r="D8" s="1663"/>
      <c r="E8" s="1664"/>
      <c r="F8" s="1017"/>
      <c r="G8" s="1018"/>
      <c r="H8" s="1018"/>
      <c r="I8" s="1018"/>
      <c r="J8" s="1018"/>
    </row>
    <row r="9" spans="1:17" ht="13.5" customHeight="1" x14ac:dyDescent="0.2">
      <c r="A9" s="1019"/>
      <c r="B9" s="1020"/>
      <c r="C9" s="1020"/>
      <c r="D9" s="1021"/>
      <c r="E9" s="1916" t="s">
        <v>1701</v>
      </c>
      <c r="F9" s="1022"/>
      <c r="G9" s="1022"/>
      <c r="H9" s="1917" t="s">
        <v>1702</v>
      </c>
      <c r="I9" s="1022"/>
      <c r="J9" s="1023"/>
    </row>
    <row r="10" spans="1:17" s="1031" customFormat="1" ht="13.5" customHeight="1" x14ac:dyDescent="0.2">
      <c r="A10" s="1024"/>
      <c r="B10" s="1025"/>
      <c r="C10" s="1026"/>
      <c r="D10" s="1027"/>
      <c r="E10" s="1028" t="s">
        <v>445</v>
      </c>
      <c r="F10" s="1029" t="s">
        <v>446</v>
      </c>
      <c r="G10" s="1030"/>
      <c r="H10" s="1029" t="s">
        <v>445</v>
      </c>
      <c r="I10" s="1029" t="s">
        <v>446</v>
      </c>
      <c r="J10" s="1029"/>
    </row>
    <row r="11" spans="1:17" s="1031" customFormat="1" ht="22.5" x14ac:dyDescent="0.2">
      <c r="A11" s="2526" t="s">
        <v>502</v>
      </c>
      <c r="B11" s="2527"/>
      <c r="C11" s="2528"/>
      <c r="D11" s="1032" t="s">
        <v>926</v>
      </c>
      <c r="E11" s="1032" t="s">
        <v>66</v>
      </c>
      <c r="F11" s="1032" t="s">
        <v>6</v>
      </c>
      <c r="G11" s="1033" t="s">
        <v>158</v>
      </c>
      <c r="H11" s="1033" t="s">
        <v>66</v>
      </c>
      <c r="I11" s="1032" t="s">
        <v>6</v>
      </c>
      <c r="J11" s="1033" t="s">
        <v>158</v>
      </c>
    </row>
    <row r="12" spans="1:17" ht="15" customHeight="1" x14ac:dyDescent="0.2">
      <c r="A12" s="1034">
        <v>1</v>
      </c>
      <c r="B12" s="1035" t="s">
        <v>872</v>
      </c>
      <c r="C12" s="1036"/>
      <c r="D12" s="1037">
        <v>2320</v>
      </c>
      <c r="E12" s="1830">
        <f>'Expenditures 15-22'!K50</f>
        <v>661309</v>
      </c>
      <c r="F12" s="1038"/>
      <c r="G12" s="1830">
        <f t="shared" ref="G12:G18" si="0">SUM(E12:F12)</f>
        <v>661309</v>
      </c>
      <c r="H12" s="1039">
        <v>616139</v>
      </c>
      <c r="I12" s="1038"/>
      <c r="J12" s="1830">
        <f t="shared" ref="J12:J18" si="1">SUM(H12:I12)</f>
        <v>616139</v>
      </c>
    </row>
    <row r="13" spans="1:17" ht="15" customHeight="1" x14ac:dyDescent="0.2">
      <c r="A13" s="1034">
        <v>2</v>
      </c>
      <c r="B13" s="1035" t="s">
        <v>44</v>
      </c>
      <c r="C13" s="1036"/>
      <c r="D13" s="1037">
        <v>2330</v>
      </c>
      <c r="E13" s="1830">
        <f>'Expenditures 15-22'!K51</f>
        <v>0</v>
      </c>
      <c r="F13" s="1038"/>
      <c r="G13" s="1830">
        <f t="shared" si="0"/>
        <v>0</v>
      </c>
      <c r="H13" s="1039"/>
      <c r="I13" s="1038"/>
      <c r="J13" s="1830">
        <f t="shared" si="1"/>
        <v>0</v>
      </c>
    </row>
    <row r="14" spans="1:17" ht="15" customHeight="1" x14ac:dyDescent="0.2">
      <c r="A14" s="1034">
        <v>3</v>
      </c>
      <c r="B14" s="1035" t="s">
        <v>45</v>
      </c>
      <c r="C14" s="1036"/>
      <c r="D14" s="1040">
        <v>2490</v>
      </c>
      <c r="E14" s="1830">
        <f>'Expenditures 15-22'!K56</f>
        <v>0</v>
      </c>
      <c r="F14" s="1038"/>
      <c r="G14" s="1830">
        <f t="shared" si="0"/>
        <v>0</v>
      </c>
      <c r="H14" s="1039"/>
      <c r="I14" s="1038"/>
      <c r="J14" s="1830">
        <f t="shared" si="1"/>
        <v>0</v>
      </c>
    </row>
    <row r="15" spans="1:17" ht="15" customHeight="1" x14ac:dyDescent="0.2">
      <c r="A15" s="1034">
        <v>4</v>
      </c>
      <c r="B15" s="1035" t="s">
        <v>1128</v>
      </c>
      <c r="C15" s="1036"/>
      <c r="D15" s="1037">
        <v>2510</v>
      </c>
      <c r="E15" s="1830">
        <f>'Expenditures 15-22'!K59</f>
        <v>0</v>
      </c>
      <c r="F15" s="1830">
        <f>'Expenditures 15-22'!K122</f>
        <v>0</v>
      </c>
      <c r="G15" s="1830">
        <f t="shared" si="0"/>
        <v>0</v>
      </c>
      <c r="H15" s="1039"/>
      <c r="I15" s="1039"/>
      <c r="J15" s="1830">
        <f t="shared" si="1"/>
        <v>0</v>
      </c>
    </row>
    <row r="16" spans="1:17" ht="15" customHeight="1" x14ac:dyDescent="0.2">
      <c r="A16" s="1034">
        <v>5</v>
      </c>
      <c r="B16" s="1035" t="s">
        <v>103</v>
      </c>
      <c r="C16" s="1036"/>
      <c r="D16" s="1037">
        <v>2570</v>
      </c>
      <c r="E16" s="1830">
        <f>'Expenditures 15-22'!K64</f>
        <v>24755</v>
      </c>
      <c r="F16" s="1038"/>
      <c r="G16" s="1830">
        <f t="shared" si="0"/>
        <v>24755</v>
      </c>
      <c r="H16" s="1039">
        <v>31000</v>
      </c>
      <c r="I16" s="1038"/>
      <c r="J16" s="1830">
        <f t="shared" si="1"/>
        <v>31000</v>
      </c>
    </row>
    <row r="17" spans="1:10" ht="15" customHeight="1" x14ac:dyDescent="0.2">
      <c r="A17" s="1034">
        <v>6</v>
      </c>
      <c r="B17" s="1035" t="s">
        <v>1120</v>
      </c>
      <c r="C17" s="1036"/>
      <c r="D17" s="1037">
        <v>2610</v>
      </c>
      <c r="E17" s="1830">
        <f>'Expenditures 15-22'!K67</f>
        <v>0</v>
      </c>
      <c r="F17" s="1038"/>
      <c r="G17" s="1830">
        <f t="shared" si="0"/>
        <v>0</v>
      </c>
      <c r="H17" s="1039"/>
      <c r="I17" s="1038"/>
      <c r="J17" s="1830">
        <f t="shared" si="1"/>
        <v>0</v>
      </c>
    </row>
    <row r="18" spans="1:10" ht="22.5" customHeight="1" x14ac:dyDescent="0.2">
      <c r="A18" s="1041">
        <v>7</v>
      </c>
      <c r="B18" s="2529" t="s">
        <v>7</v>
      </c>
      <c r="C18" s="2530"/>
      <c r="D18" s="2531"/>
      <c r="E18" s="1042"/>
      <c r="F18" s="1042"/>
      <c r="G18" s="1831">
        <f t="shared" si="0"/>
        <v>0</v>
      </c>
      <c r="H18" s="1039"/>
      <c r="I18" s="1039"/>
      <c r="J18" s="1830">
        <f t="shared" si="1"/>
        <v>0</v>
      </c>
    </row>
    <row r="19" spans="1:10" ht="12.75" customHeight="1" thickBot="1" x14ac:dyDescent="0.25">
      <c r="A19" s="1034">
        <v>8</v>
      </c>
      <c r="B19" s="1043" t="s">
        <v>1223</v>
      </c>
      <c r="D19" s="1044"/>
      <c r="E19" s="1832">
        <f t="shared" ref="E19:J19" si="2">SUM(E12:E17)-E18</f>
        <v>686064</v>
      </c>
      <c r="F19" s="1832">
        <f t="shared" si="2"/>
        <v>0</v>
      </c>
      <c r="G19" s="1832">
        <f t="shared" si="2"/>
        <v>686064</v>
      </c>
      <c r="H19" s="1832">
        <f t="shared" si="2"/>
        <v>647139</v>
      </c>
      <c r="I19" s="1832">
        <f t="shared" si="2"/>
        <v>0</v>
      </c>
      <c r="J19" s="1832">
        <f t="shared" si="2"/>
        <v>647139</v>
      </c>
    </row>
    <row r="20" spans="1:10" ht="13.5" thickTop="1" x14ac:dyDescent="0.2">
      <c r="A20" s="1034">
        <v>9</v>
      </c>
      <c r="B20" s="2532" t="s">
        <v>1703</v>
      </c>
      <c r="C20" s="2532"/>
      <c r="D20" s="2533"/>
      <c r="E20" s="1045"/>
      <c r="F20" s="1045"/>
      <c r="G20" s="1045"/>
      <c r="H20" s="1045"/>
      <c r="I20" s="1045"/>
      <c r="J20" s="1833">
        <f>IF(AND(G19&gt;0,J19&gt;0),(((J19-G19)/G19)),"Enter Budget Data")</f>
        <v>-5.6736689288462885E-2</v>
      </c>
    </row>
    <row r="21" spans="1:10" ht="9" customHeight="1" x14ac:dyDescent="0.2">
      <c r="B21" s="1046"/>
    </row>
    <row r="22" spans="1:10" x14ac:dyDescent="0.2">
      <c r="A22" s="1047" t="s">
        <v>135</v>
      </c>
      <c r="B22" s="1046"/>
    </row>
    <row r="23" spans="1:10" x14ac:dyDescent="0.2">
      <c r="A23" s="1010" t="s">
        <v>1704</v>
      </c>
      <c r="B23" s="1046"/>
    </row>
    <row r="24" spans="1:10" x14ac:dyDescent="0.2">
      <c r="A24" s="1010" t="s">
        <v>1705</v>
      </c>
      <c r="B24" s="1046"/>
    </row>
    <row r="25" spans="1:10" x14ac:dyDescent="0.2">
      <c r="A25" s="1048"/>
      <c r="B25" s="1046"/>
    </row>
    <row r="26" spans="1:10" ht="20.100000000000001" customHeight="1" x14ac:dyDescent="0.2">
      <c r="B26" s="1046"/>
      <c r="C26" s="2538"/>
      <c r="D26" s="2538"/>
      <c r="E26" s="1049"/>
      <c r="F26" s="2537"/>
      <c r="G26" s="2537"/>
    </row>
    <row r="27" spans="1:10" x14ac:dyDescent="0.2">
      <c r="B27" s="1046"/>
      <c r="C27" s="1050" t="s">
        <v>1093</v>
      </c>
      <c r="D27" s="1051"/>
      <c r="E27" s="1052"/>
      <c r="F27" s="2534" t="s">
        <v>1589</v>
      </c>
      <c r="G27" s="2534"/>
    </row>
    <row r="28" spans="1:10" ht="28.5" customHeight="1" x14ac:dyDescent="0.2">
      <c r="B28" s="1046"/>
      <c r="C28" s="2536"/>
      <c r="D28" s="2536"/>
      <c r="E28" s="1053"/>
      <c r="F28" s="2536"/>
      <c r="G28" s="2536"/>
    </row>
    <row r="29" spans="1:10" x14ac:dyDescent="0.2">
      <c r="B29" s="1046"/>
      <c r="C29" s="1054" t="s">
        <v>1642</v>
      </c>
      <c r="E29" s="1055"/>
      <c r="F29" s="2535" t="s">
        <v>1590</v>
      </c>
      <c r="G29" s="2535"/>
    </row>
    <row r="30" spans="1:10" ht="9" customHeight="1" x14ac:dyDescent="0.2">
      <c r="B30" s="1046"/>
      <c r="C30" s="1056"/>
      <c r="E30" s="1057"/>
      <c r="F30" s="1058"/>
      <c r="G30" s="1058"/>
    </row>
    <row r="31" spans="1:10" ht="15" customHeight="1" x14ac:dyDescent="0.2">
      <c r="A31" s="1010"/>
      <c r="B31" s="1059" t="s">
        <v>1094</v>
      </c>
    </row>
    <row r="32" spans="1:10" ht="9" customHeight="1" x14ac:dyDescent="0.2">
      <c r="A32" s="1010"/>
      <c r="B32" s="1047"/>
    </row>
    <row r="33" spans="1:10" ht="12.75" customHeight="1" x14ac:dyDescent="0.2">
      <c r="A33" s="1010"/>
      <c r="B33" s="1060"/>
      <c r="C33" s="2517" t="s">
        <v>134</v>
      </c>
      <c r="D33" s="2518"/>
      <c r="E33" s="2518"/>
      <c r="F33" s="2518"/>
      <c r="G33" s="2518"/>
      <c r="H33" s="2518"/>
      <c r="I33" s="2518"/>
    </row>
    <row r="34" spans="1:10" ht="10.35" customHeight="1" x14ac:dyDescent="0.2">
      <c r="C34" s="2518"/>
      <c r="D34" s="2518"/>
      <c r="E34" s="2518"/>
      <c r="F34" s="2518"/>
      <c r="G34" s="2518"/>
      <c r="H34" s="2518"/>
      <c r="I34" s="2518"/>
    </row>
    <row r="35" spans="1:10" ht="7.5" customHeight="1" x14ac:dyDescent="0.2">
      <c r="C35" s="1061"/>
    </row>
    <row r="36" spans="1:10" ht="13.5" customHeight="1" x14ac:dyDescent="0.2">
      <c r="B36" s="1060"/>
      <c r="C36" s="2519" t="s">
        <v>1941</v>
      </c>
      <c r="D36" s="2518"/>
      <c r="E36" s="2518"/>
      <c r="F36" s="2518"/>
      <c r="G36" s="2518"/>
      <c r="H36" s="2518"/>
      <c r="I36" s="2518"/>
      <c r="J36" s="1062"/>
    </row>
    <row r="37" spans="1:10" ht="22.5" customHeight="1" x14ac:dyDescent="0.2">
      <c r="C37" s="2518"/>
      <c r="D37" s="2518"/>
      <c r="E37" s="2518"/>
      <c r="F37" s="2518"/>
      <c r="G37" s="2518"/>
      <c r="H37" s="2518"/>
      <c r="I37" s="2518"/>
      <c r="J37" s="1062"/>
    </row>
    <row r="38" spans="1:10" ht="7.5" customHeight="1" x14ac:dyDescent="0.2">
      <c r="C38" s="1061"/>
      <c r="D38" s="1063"/>
      <c r="E38" s="1064"/>
      <c r="F38" s="1065"/>
      <c r="G38" s="1064"/>
    </row>
    <row r="39" spans="1:10" ht="13.5" customHeight="1" x14ac:dyDescent="0.2">
      <c r="B39" s="1060"/>
      <c r="C39" s="2515" t="s">
        <v>937</v>
      </c>
      <c r="D39" s="2516"/>
      <c r="E39" s="2516"/>
      <c r="F39" s="2516"/>
      <c r="G39" s="2516"/>
      <c r="H39" s="2516"/>
      <c r="I39" s="2516"/>
    </row>
    <row r="40" spans="1:10" ht="13.35" customHeight="1" x14ac:dyDescent="0.2">
      <c r="A40" s="1010"/>
      <c r="C40" s="1066"/>
      <c r="D40" s="1066"/>
      <c r="E40" s="1066"/>
      <c r="F40" s="1066"/>
      <c r="G40" s="1066"/>
      <c r="H40" s="1066"/>
      <c r="I40" s="1066"/>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heetViews>
  <sheetFormatPr defaultColWidth="9.140625" defaultRowHeight="12.75" x14ac:dyDescent="0.2"/>
  <cols>
    <col min="1" max="1" width="3" style="329" customWidth="1"/>
    <col min="2" max="2" width="9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7">
        <v>1</v>
      </c>
      <c r="B5" s="329" t="s">
        <v>2310</v>
      </c>
    </row>
    <row r="6" spans="1:2" x14ac:dyDescent="0.2">
      <c r="A6" s="1067">
        <v>2</v>
      </c>
      <c r="B6" s="329" t="s">
        <v>2311</v>
      </c>
    </row>
    <row r="7" spans="1:2" x14ac:dyDescent="0.2">
      <c r="A7" s="1067">
        <v>3</v>
      </c>
      <c r="B7" s="329" t="s">
        <v>2312</v>
      </c>
    </row>
    <row r="8" spans="1:2" x14ac:dyDescent="0.2">
      <c r="A8" s="1067">
        <v>4</v>
      </c>
      <c r="B8" s="329" t="s">
        <v>2314</v>
      </c>
    </row>
    <row r="9" spans="1:2" x14ac:dyDescent="0.2">
      <c r="A9" s="1068"/>
      <c r="B9" s="329" t="s">
        <v>2313</v>
      </c>
    </row>
    <row r="10" spans="1:2" x14ac:dyDescent="0.2">
      <c r="A10" s="1068"/>
      <c r="B10" s="329" t="s">
        <v>2315</v>
      </c>
    </row>
    <row r="11" spans="1:2" x14ac:dyDescent="0.2">
      <c r="A11" s="1068">
        <v>5</v>
      </c>
      <c r="B11" s="329" t="s">
        <v>2316</v>
      </c>
    </row>
    <row r="12" spans="1:2" x14ac:dyDescent="0.2">
      <c r="A12" s="1068">
        <v>6</v>
      </c>
      <c r="B12" s="329" t="s">
        <v>2317</v>
      </c>
    </row>
    <row r="13" spans="1:2" x14ac:dyDescent="0.2">
      <c r="A13" s="1068">
        <v>7</v>
      </c>
      <c r="B13" s="329" t="s">
        <v>2320</v>
      </c>
    </row>
    <row r="14" spans="1:2" x14ac:dyDescent="0.2">
      <c r="A14" s="1068">
        <v>8</v>
      </c>
      <c r="B14" s="329" t="s">
        <v>2318</v>
      </c>
    </row>
    <row r="15" spans="1:2" x14ac:dyDescent="0.2">
      <c r="A15" s="1068"/>
    </row>
    <row r="16" spans="1:2" x14ac:dyDescent="0.2">
      <c r="A16" s="1068"/>
    </row>
    <row r="17" spans="1:1" x14ac:dyDescent="0.2">
      <c r="A17" s="1068"/>
    </row>
    <row r="18" spans="1:1" x14ac:dyDescent="0.2">
      <c r="A18" s="1068"/>
    </row>
    <row r="19" spans="1:1" x14ac:dyDescent="0.2">
      <c r="A19" s="1068"/>
    </row>
    <row r="20" spans="1:1" x14ac:dyDescent="0.2">
      <c r="A20" s="1068"/>
    </row>
    <row r="21" spans="1:1" x14ac:dyDescent="0.2">
      <c r="A21" s="1068"/>
    </row>
    <row r="22" spans="1:1" x14ac:dyDescent="0.2">
      <c r="A22" s="1068"/>
    </row>
    <row r="23" spans="1:1" x14ac:dyDescent="0.2">
      <c r="A23" s="1068"/>
    </row>
    <row r="24" spans="1:1" x14ac:dyDescent="0.2">
      <c r="A24" s="1068"/>
    </row>
    <row r="25" spans="1:1" x14ac:dyDescent="0.2">
      <c r="A25" s="1068"/>
    </row>
    <row r="26" spans="1:1" x14ac:dyDescent="0.2">
      <c r="A26" s="1068"/>
    </row>
    <row r="27" spans="1:1" x14ac:dyDescent="0.2">
      <c r="A27" s="1068"/>
    </row>
    <row r="28" spans="1:1" x14ac:dyDescent="0.2">
      <c r="A28" s="1068"/>
    </row>
    <row r="29" spans="1:1" x14ac:dyDescent="0.2">
      <c r="A29" s="1068"/>
    </row>
    <row r="30" spans="1:1" x14ac:dyDescent="0.2">
      <c r="A30" s="1068"/>
    </row>
    <row r="31" spans="1:1" x14ac:dyDescent="0.2">
      <c r="A31" s="1068"/>
    </row>
    <row r="32" spans="1:1" x14ac:dyDescent="0.2">
      <c r="A32" s="1068"/>
    </row>
    <row r="33" spans="1:1" x14ac:dyDescent="0.2">
      <c r="A33" s="1068"/>
    </row>
    <row r="34" spans="1:1" x14ac:dyDescent="0.2">
      <c r="A34" s="1068"/>
    </row>
    <row r="35" spans="1:1" x14ac:dyDescent="0.2">
      <c r="A35" s="1068"/>
    </row>
    <row r="36" spans="1:1" x14ac:dyDescent="0.2">
      <c r="A36" s="1068"/>
    </row>
    <row r="37" spans="1:1" x14ac:dyDescent="0.2">
      <c r="A37" s="1068"/>
    </row>
    <row r="38" spans="1:1" x14ac:dyDescent="0.2">
      <c r="A38" s="1068"/>
    </row>
    <row r="39" spans="1:1" x14ac:dyDescent="0.2">
      <c r="A39" s="1068"/>
    </row>
    <row r="40" spans="1:1" x14ac:dyDescent="0.2">
      <c r="A40" s="1068"/>
    </row>
    <row r="41" spans="1:1" x14ac:dyDescent="0.2">
      <c r="A41" s="1068"/>
    </row>
    <row r="42" spans="1:1" x14ac:dyDescent="0.2">
      <c r="A42" s="1068"/>
    </row>
    <row r="43" spans="1:1" x14ac:dyDescent="0.2">
      <c r="A43" s="1068"/>
    </row>
    <row r="44" spans="1:1" x14ac:dyDescent="0.2">
      <c r="A44" s="1068"/>
    </row>
    <row r="45" spans="1:1" x14ac:dyDescent="0.2">
      <c r="A45" s="1068"/>
    </row>
    <row r="46" spans="1:1" x14ac:dyDescent="0.2">
      <c r="A46" s="1068"/>
    </row>
    <row r="47" spans="1:1" x14ac:dyDescent="0.2">
      <c r="A47" s="1068"/>
    </row>
    <row r="48" spans="1:1" x14ac:dyDescent="0.2">
      <c r="A48" s="1068"/>
    </row>
    <row r="49" spans="1:2" x14ac:dyDescent="0.2">
      <c r="A49" s="1068"/>
    </row>
    <row r="50" spans="1:2" x14ac:dyDescent="0.2">
      <c r="A50" s="1068"/>
    </row>
    <row r="51" spans="1:2" x14ac:dyDescent="0.2">
      <c r="A51" s="1068"/>
      <c r="B51" s="329" t="str">
        <f>COVER!A17</f>
        <v>Hononegah Community High School District No. 207</v>
      </c>
    </row>
    <row r="52" spans="1:2" x14ac:dyDescent="0.2">
      <c r="A52" s="1068"/>
      <c r="B52" s="329" t="str">
        <f>COVER!A13</f>
        <v>04-101-2070-16</v>
      </c>
    </row>
    <row r="53" spans="1:2" x14ac:dyDescent="0.2">
      <c r="A53" s="1068"/>
    </row>
    <row r="54" spans="1:2" x14ac:dyDescent="0.2">
      <c r="A54" s="1068"/>
    </row>
    <row r="55" spans="1:2" x14ac:dyDescent="0.2">
      <c r="A55" s="1068"/>
    </row>
    <row r="56" spans="1:2" x14ac:dyDescent="0.2">
      <c r="A56" s="1068"/>
    </row>
    <row r="57" spans="1:2" x14ac:dyDescent="0.2">
      <c r="A57" s="1068"/>
    </row>
    <row r="58" spans="1:2" x14ac:dyDescent="0.2">
      <c r="A58" s="1068"/>
    </row>
    <row r="59" spans="1:2" x14ac:dyDescent="0.2">
      <c r="A59" s="1068"/>
    </row>
    <row r="60" spans="1:2" x14ac:dyDescent="0.2">
      <c r="A60" s="1068"/>
    </row>
    <row r="61" spans="1:2" x14ac:dyDescent="0.2">
      <c r="A61" s="1068"/>
    </row>
    <row r="62" spans="1:2" x14ac:dyDescent="0.2">
      <c r="A62" s="1068"/>
    </row>
    <row r="63" spans="1:2" x14ac:dyDescent="0.2">
      <c r="A63" s="1068"/>
    </row>
    <row r="64" spans="1:2" x14ac:dyDescent="0.2">
      <c r="A64" s="1068"/>
      <c r="B64" s="258"/>
    </row>
    <row r="65" spans="2:2" x14ac:dyDescent="0.2">
      <c r="B65" s="1069"/>
    </row>
  </sheetData>
  <phoneticPr fontId="13" type="noConversion"/>
  <pageMargins left="0.2" right="0.2" top="1.17" bottom="0.75" header="0.19" footer="0.16"/>
  <pageSetup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1968</v>
      </c>
      <c r="C4" s="162" t="s">
        <v>1231</v>
      </c>
      <c r="D4" s="169" t="s">
        <v>10</v>
      </c>
      <c r="E4" s="170" t="s">
        <v>22</v>
      </c>
    </row>
    <row r="5" spans="1:5" x14ac:dyDescent="0.2">
      <c r="A5" s="168" t="s">
        <v>1970</v>
      </c>
      <c r="C5" s="162" t="s">
        <v>1231</v>
      </c>
      <c r="D5" s="169" t="s">
        <v>10</v>
      </c>
      <c r="E5" s="170" t="s">
        <v>22</v>
      </c>
    </row>
    <row r="6" spans="1:5" x14ac:dyDescent="0.2">
      <c r="A6" s="168" t="s">
        <v>1969</v>
      </c>
      <c r="C6" s="162" t="s">
        <v>1231</v>
      </c>
      <c r="D6" s="167" t="s">
        <v>11</v>
      </c>
      <c r="E6" s="170" t="s">
        <v>998</v>
      </c>
    </row>
    <row r="7" spans="1:5" x14ac:dyDescent="0.2">
      <c r="A7" s="168" t="s">
        <v>1971</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1972</v>
      </c>
      <c r="C11" s="162" t="s">
        <v>1231</v>
      </c>
      <c r="D11" s="169" t="s">
        <v>14</v>
      </c>
      <c r="E11" s="170" t="s">
        <v>1218</v>
      </c>
    </row>
    <row r="12" spans="1:5" x14ac:dyDescent="0.2">
      <c r="B12" s="169" t="s">
        <v>1973</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1974</v>
      </c>
      <c r="C15" s="162" t="s">
        <v>1231</v>
      </c>
      <c r="D15" s="169" t="s">
        <v>17</v>
      </c>
      <c r="E15" s="170" t="s">
        <v>657</v>
      </c>
    </row>
    <row r="16" spans="1:5" x14ac:dyDescent="0.2">
      <c r="A16" s="172"/>
      <c r="B16" s="162" t="s">
        <v>1975</v>
      </c>
      <c r="C16" s="162" t="s">
        <v>1231</v>
      </c>
      <c r="D16" s="169" t="s">
        <v>702</v>
      </c>
      <c r="E16" s="170" t="s">
        <v>1100</v>
      </c>
    </row>
    <row r="17" spans="1:5" x14ac:dyDescent="0.2">
      <c r="B17" s="167" t="s">
        <v>1045</v>
      </c>
      <c r="C17" s="162" t="s">
        <v>1231</v>
      </c>
    </row>
    <row r="18" spans="1:5" x14ac:dyDescent="0.2">
      <c r="B18" s="167" t="s">
        <v>1981</v>
      </c>
      <c r="D18" s="169" t="s">
        <v>18</v>
      </c>
      <c r="E18" s="170" t="s">
        <v>1101</v>
      </c>
    </row>
    <row r="19" spans="1:5" x14ac:dyDescent="0.2">
      <c r="A19" s="168" t="s">
        <v>1161</v>
      </c>
      <c r="C19" s="162" t="s">
        <v>1231</v>
      </c>
      <c r="D19" s="169"/>
      <c r="E19" s="171"/>
    </row>
    <row r="20" spans="1:5" x14ac:dyDescent="0.2">
      <c r="B20" s="167" t="s">
        <v>1976</v>
      </c>
      <c r="C20" s="162" t="s">
        <v>1231</v>
      </c>
      <c r="D20" s="169" t="s">
        <v>19</v>
      </c>
      <c r="E20" s="170" t="s">
        <v>53</v>
      </c>
    </row>
    <row r="21" spans="1:5" x14ac:dyDescent="0.2">
      <c r="B21" s="167" t="s">
        <v>1977</v>
      </c>
      <c r="C21" s="162" t="s">
        <v>1231</v>
      </c>
      <c r="D21" s="169" t="s">
        <v>20</v>
      </c>
      <c r="E21" s="170" t="s">
        <v>1708</v>
      </c>
    </row>
    <row r="22" spans="1:5" x14ac:dyDescent="0.2">
      <c r="A22" s="168"/>
      <c r="B22" s="162" t="s">
        <v>1965</v>
      </c>
      <c r="C22" s="162" t="s">
        <v>1231</v>
      </c>
      <c r="D22" s="167" t="s">
        <v>1967</v>
      </c>
      <c r="E22" s="1855" t="s">
        <v>1709</v>
      </c>
    </row>
    <row r="23" spans="1:5" x14ac:dyDescent="0.2">
      <c r="A23" s="168"/>
      <c r="B23" s="162" t="s">
        <v>1966</v>
      </c>
      <c r="D23" s="167" t="s">
        <v>658</v>
      </c>
      <c r="E23" s="1855" t="s">
        <v>1016</v>
      </c>
    </row>
    <row r="24" spans="1:5" x14ac:dyDescent="0.2">
      <c r="A24" s="168" t="s">
        <v>1707</v>
      </c>
      <c r="C24" s="162" t="s">
        <v>1231</v>
      </c>
      <c r="D24" s="167" t="s">
        <v>1460</v>
      </c>
      <c r="E24" s="170" t="s">
        <v>1017</v>
      </c>
    </row>
    <row r="25" spans="1:5" x14ac:dyDescent="0.2">
      <c r="A25" s="168" t="s">
        <v>1978</v>
      </c>
      <c r="C25" s="162" t="s">
        <v>1231</v>
      </c>
      <c r="D25" s="169" t="s">
        <v>21</v>
      </c>
      <c r="E25" s="170" t="s">
        <v>1102</v>
      </c>
    </row>
    <row r="26" spans="1:5" x14ac:dyDescent="0.2">
      <c r="A26" s="168" t="s">
        <v>1979</v>
      </c>
      <c r="C26" s="162" t="s">
        <v>1231</v>
      </c>
      <c r="D26" s="169" t="s">
        <v>584</v>
      </c>
      <c r="E26" s="170" t="s">
        <v>1103</v>
      </c>
    </row>
    <row r="27" spans="1:5" x14ac:dyDescent="0.2">
      <c r="A27" s="168" t="s">
        <v>1980</v>
      </c>
      <c r="C27" s="162" t="s">
        <v>1231</v>
      </c>
      <c r="D27" s="169" t="s">
        <v>578</v>
      </c>
      <c r="E27" s="170" t="s">
        <v>704</v>
      </c>
    </row>
    <row r="28" spans="1:5" x14ac:dyDescent="0.2">
      <c r="A28" s="168" t="s">
        <v>1982</v>
      </c>
      <c r="D28" s="169" t="s">
        <v>705</v>
      </c>
      <c r="E28" s="170" t="s">
        <v>1433</v>
      </c>
    </row>
    <row r="29" spans="1:5" x14ac:dyDescent="0.2">
      <c r="A29" s="168" t="s">
        <v>1983</v>
      </c>
      <c r="D29" s="169" t="s">
        <v>1461</v>
      </c>
      <c r="E29" s="170" t="s">
        <v>1442</v>
      </c>
    </row>
    <row r="30" spans="1:5" x14ac:dyDescent="0.2">
      <c r="A30" s="173" t="s">
        <v>1984</v>
      </c>
      <c r="C30" s="162" t="s">
        <v>1231</v>
      </c>
      <c r="D30" s="169" t="s">
        <v>42</v>
      </c>
      <c r="E30" s="170" t="s">
        <v>1039</v>
      </c>
    </row>
    <row r="31" spans="1:5" x14ac:dyDescent="0.2">
      <c r="A31" s="168" t="s">
        <v>1602</v>
      </c>
      <c r="C31" s="162" t="s">
        <v>1231</v>
      </c>
      <c r="D31" s="167"/>
      <c r="E31" s="171"/>
    </row>
    <row r="32" spans="1:5" x14ac:dyDescent="0.2">
      <c r="B32" s="167" t="s">
        <v>1985</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256" t="s">
        <v>1125</v>
      </c>
      <c r="B35" s="2256"/>
      <c r="C35" s="2256"/>
      <c r="D35" s="2256"/>
      <c r="E35" s="2256"/>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253" t="s">
        <v>715</v>
      </c>
      <c r="B40" s="2253"/>
      <c r="C40" s="2253"/>
      <c r="D40" s="2253"/>
      <c r="E40" s="2253"/>
    </row>
    <row r="41" spans="1:5" x14ac:dyDescent="0.2">
      <c r="A41" s="2254" t="s">
        <v>1706</v>
      </c>
      <c r="B41" s="2254"/>
      <c r="C41" s="2254"/>
      <c r="D41" s="2254"/>
      <c r="E41" s="2254"/>
    </row>
    <row r="42" spans="1:5" ht="12.75" customHeight="1" x14ac:dyDescent="0.2">
      <c r="A42" s="2255" t="s">
        <v>1080</v>
      </c>
      <c r="B42" s="2255"/>
      <c r="C42" s="2255"/>
      <c r="D42" s="2255"/>
      <c r="E42" s="2255"/>
    </row>
    <row r="43" spans="1:5" ht="6.75" customHeight="1" x14ac:dyDescent="0.2">
      <c r="A43" s="167"/>
      <c r="B43" s="176"/>
    </row>
    <row r="44" spans="1:5" x14ac:dyDescent="0.2">
      <c r="A44" s="185" t="s">
        <v>1040</v>
      </c>
      <c r="B44" s="186" t="s">
        <v>2015</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1871</v>
      </c>
    </row>
    <row r="52" spans="1:3" x14ac:dyDescent="0.2">
      <c r="A52" s="190"/>
      <c r="B52" s="188" t="s">
        <v>1891</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1872</v>
      </c>
    </row>
    <row r="57" spans="1:3" x14ac:dyDescent="0.2">
      <c r="A57" s="193"/>
      <c r="B57" s="190" t="s">
        <v>1874</v>
      </c>
    </row>
    <row r="58" spans="1:3" x14ac:dyDescent="0.2">
      <c r="A58" s="194"/>
      <c r="B58" s="190" t="s">
        <v>1875</v>
      </c>
    </row>
    <row r="59" spans="1:3" x14ac:dyDescent="0.2">
      <c r="A59" s="195"/>
      <c r="B59" s="1503" t="s">
        <v>1876</v>
      </c>
    </row>
    <row r="60" spans="1:3" x14ac:dyDescent="0.2">
      <c r="A60" s="196"/>
      <c r="B60" s="1503" t="s">
        <v>1877</v>
      </c>
    </row>
    <row r="61" spans="1:3" ht="6" customHeight="1" x14ac:dyDescent="0.2">
      <c r="A61" s="197"/>
      <c r="B61" s="189"/>
    </row>
    <row r="62" spans="1:3" x14ac:dyDescent="0.2">
      <c r="A62" s="169" t="s">
        <v>1714</v>
      </c>
      <c r="B62" s="198" t="s">
        <v>1873</v>
      </c>
    </row>
    <row r="63" spans="1:3" x14ac:dyDescent="0.2">
      <c r="A63" s="188"/>
      <c r="B63" s="169" t="s">
        <v>1888</v>
      </c>
    </row>
    <row r="64" spans="1:3" x14ac:dyDescent="0.2">
      <c r="A64" s="195"/>
      <c r="B64" s="1505" t="s">
        <v>1878</v>
      </c>
    </row>
    <row r="65" spans="1:9" x14ac:dyDescent="0.2">
      <c r="A65" s="188"/>
      <c r="B65" s="169" t="s">
        <v>1889</v>
      </c>
    </row>
    <row r="66" spans="1:9" x14ac:dyDescent="0.2">
      <c r="A66" s="190"/>
      <c r="B66" s="190" t="s">
        <v>1879</v>
      </c>
    </row>
    <row r="67" spans="1:9" ht="12" customHeight="1" x14ac:dyDescent="0.2">
      <c r="A67" s="188"/>
      <c r="B67" s="169" t="s">
        <v>1890</v>
      </c>
    </row>
    <row r="68" spans="1:9" x14ac:dyDescent="0.2">
      <c r="A68" s="189"/>
      <c r="B68" s="190" t="s">
        <v>1880</v>
      </c>
    </row>
    <row r="69" spans="1:9" x14ac:dyDescent="0.2">
      <c r="A69" s="190"/>
      <c r="B69" s="188" t="s">
        <v>1881</v>
      </c>
    </row>
    <row r="70" spans="1:9" ht="13.5" customHeight="1" x14ac:dyDescent="0.2">
      <c r="A70" s="190"/>
      <c r="B70" s="188" t="s">
        <v>1882</v>
      </c>
    </row>
    <row r="71" spans="1:9" ht="12" customHeight="1" x14ac:dyDescent="0.2">
      <c r="A71" s="192"/>
      <c r="B71" s="1504" t="s">
        <v>1717</v>
      </c>
    </row>
    <row r="72" spans="1:9" ht="9" customHeight="1" x14ac:dyDescent="0.2">
      <c r="A72" s="192"/>
      <c r="B72" s="199"/>
    </row>
    <row r="73" spans="1:9" x14ac:dyDescent="0.2">
      <c r="A73" s="189" t="s">
        <v>1718</v>
      </c>
      <c r="B73" s="169" t="s">
        <v>1884</v>
      </c>
    </row>
    <row r="74" spans="1:9" x14ac:dyDescent="0.2">
      <c r="A74" s="189"/>
      <c r="B74" s="169" t="s">
        <v>1883</v>
      </c>
    </row>
    <row r="75" spans="1:9" ht="8.25" customHeight="1" x14ac:dyDescent="0.2">
      <c r="A75" s="189"/>
      <c r="B75" s="189"/>
    </row>
    <row r="76" spans="1:9" ht="12.2" customHeight="1" x14ac:dyDescent="0.2">
      <c r="A76" s="189" t="s">
        <v>1719</v>
      </c>
      <c r="B76" s="198" t="s">
        <v>1885</v>
      </c>
    </row>
    <row r="77" spans="1:9" ht="12.2" customHeight="1" x14ac:dyDescent="0.2">
      <c r="A77" s="190"/>
      <c r="B77" s="169" t="s">
        <v>1720</v>
      </c>
      <c r="C77" s="179"/>
      <c r="D77" s="180"/>
      <c r="E77" s="181"/>
      <c r="F77" s="181"/>
      <c r="G77" s="181"/>
      <c r="H77" s="181"/>
      <c r="I77" s="181"/>
    </row>
    <row r="78" spans="1:9" ht="11.25" customHeight="1" x14ac:dyDescent="0.2">
      <c r="A78" s="190"/>
      <c r="B78" s="190" t="s">
        <v>1887</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0"/>
      <c r="C11" s="1070"/>
      <c r="D11" s="1070"/>
      <c r="E11" s="1070"/>
      <c r="F11" s="1070"/>
    </row>
    <row r="13" spans="1:6" x14ac:dyDescent="0.2">
      <c r="A13" s="1071" t="s">
        <v>1573</v>
      </c>
    </row>
    <row r="15" spans="1:6" x14ac:dyDescent="0.2">
      <c r="A15" s="389" t="s">
        <v>912</v>
      </c>
    </row>
    <row r="16" spans="1:6" s="1070" customFormat="1" ht="45" customHeight="1" x14ac:dyDescent="0.2">
      <c r="A16" s="1072"/>
      <c r="B16" s="1072" t="s">
        <v>1783</v>
      </c>
    </row>
    <row r="17" spans="1:2" ht="6" customHeight="1" x14ac:dyDescent="0.2"/>
    <row r="18" spans="1:2" ht="24.75" customHeight="1" x14ac:dyDescent="0.2">
      <c r="A18" s="2539" t="s">
        <v>1784</v>
      </c>
      <c r="B18" s="2539"/>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55297"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55297" r:id="rId4"/>
      </mc:Fallback>
    </mc:AlternateContent>
    <mc:AlternateContent xmlns:mc="http://schemas.openxmlformats.org/markup-compatibility/2006">
      <mc:Choice Requires="x14">
        <oleObject progId="Acrobat Document" dvAspect="DVASPECT_ICON" shapeId="55298" r:id="rId6">
          <objectPr defaultSize="0" r:id="rId7">
            <anchor moveWithCells="1">
              <from>
                <xdr:col>2</xdr:col>
                <xdr:colOff>0</xdr:colOff>
                <xdr:row>1</xdr:row>
                <xdr:rowOff>0</xdr:rowOff>
              </from>
              <to>
                <xdr:col>3</xdr:col>
                <xdr:colOff>304800</xdr:colOff>
                <xdr:row>5</xdr:row>
                <xdr:rowOff>38100</xdr:rowOff>
              </to>
            </anchor>
          </objectPr>
        </oleObject>
      </mc:Choice>
      <mc:Fallback>
        <oleObject progId="Acrobat Document" dvAspect="DVASPECT_ICON" shapeId="55298" r:id="rId6"/>
      </mc:Fallback>
    </mc:AlternateContent>
    <mc:AlternateContent xmlns:mc="http://schemas.openxmlformats.org/markup-compatibility/2006">
      <mc:Choice Requires="x14">
        <oleObject progId="Acrobat Document" dvAspect="DVASPECT_ICON" shapeId="55299" r:id="rId8">
          <objectPr defaultSize="0" r:id="rId9">
            <anchor moveWithCells="1">
              <from>
                <xdr:col>4</xdr:col>
                <xdr:colOff>0</xdr:colOff>
                <xdr:row>1</xdr:row>
                <xdr:rowOff>0</xdr:rowOff>
              </from>
              <to>
                <xdr:col>5</xdr:col>
                <xdr:colOff>304800</xdr:colOff>
                <xdr:row>5</xdr:row>
                <xdr:rowOff>38100</xdr:rowOff>
              </to>
            </anchor>
          </objectPr>
        </oleObject>
      </mc:Choice>
      <mc:Fallback>
        <oleObject progId="Acrobat Document" dvAspect="DVASPECT_ICON" shapeId="55299"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540" t="s">
        <v>1790</v>
      </c>
      <c r="B1" s="2541"/>
      <c r="C1" s="2541"/>
      <c r="D1" s="2541"/>
      <c r="E1" s="2541"/>
      <c r="F1" s="2542"/>
    </row>
    <row r="2" spans="1:8" ht="45" customHeight="1" x14ac:dyDescent="0.2">
      <c r="A2" s="2550" t="s">
        <v>1791</v>
      </c>
      <c r="B2" s="2551"/>
      <c r="C2" s="2551"/>
      <c r="D2" s="2551"/>
      <c r="E2" s="2551"/>
      <c r="F2" s="2552"/>
      <c r="G2" s="1073"/>
      <c r="H2" s="1073"/>
    </row>
    <row r="3" spans="1:8" ht="57" customHeight="1" x14ac:dyDescent="0.2">
      <c r="A3" s="2553" t="s">
        <v>1786</v>
      </c>
      <c r="B3" s="2554"/>
      <c r="C3" s="2554"/>
      <c r="D3" s="2554"/>
      <c r="E3" s="2554"/>
      <c r="F3" s="2555"/>
      <c r="G3" s="1073"/>
      <c r="H3" s="1073"/>
    </row>
    <row r="4" spans="1:8" ht="14.25" customHeight="1" x14ac:dyDescent="0.2">
      <c r="A4" s="2559" t="s">
        <v>2053</v>
      </c>
      <c r="B4" s="2560"/>
      <c r="C4" s="2560"/>
      <c r="D4" s="2560"/>
      <c r="E4" s="2560"/>
      <c r="F4" s="2561"/>
      <c r="G4" s="1073"/>
      <c r="H4" s="1073"/>
    </row>
    <row r="5" spans="1:8" ht="14.25" customHeight="1" x14ac:dyDescent="0.2">
      <c r="A5" s="2562" t="s">
        <v>2054</v>
      </c>
      <c r="B5" s="2563"/>
      <c r="C5" s="2563"/>
      <c r="D5" s="2563"/>
      <c r="E5" s="2563"/>
      <c r="F5" s="2564"/>
      <c r="G5" s="1073"/>
      <c r="H5" s="1073"/>
    </row>
    <row r="6" spans="1:8" s="1074" customFormat="1" ht="41.25" customHeight="1" x14ac:dyDescent="0.2">
      <c r="A6" s="2556" t="s">
        <v>1792</v>
      </c>
      <c r="B6" s="2557"/>
      <c r="C6" s="2557"/>
      <c r="D6" s="2557"/>
      <c r="E6" s="2557"/>
      <c r="F6" s="2558"/>
    </row>
    <row r="7" spans="1:8" ht="42" customHeight="1" x14ac:dyDescent="0.2">
      <c r="A7" s="1075" t="s">
        <v>502</v>
      </c>
      <c r="B7" s="1076" t="s">
        <v>1576</v>
      </c>
      <c r="C7" s="1076" t="s">
        <v>1577</v>
      </c>
      <c r="D7" s="1076" t="s">
        <v>1575</v>
      </c>
      <c r="E7" s="1076" t="s">
        <v>1578</v>
      </c>
      <c r="F7" s="1076" t="s">
        <v>1434</v>
      </c>
    </row>
    <row r="8" spans="1:8" s="1078" customFormat="1" ht="14.25" customHeight="1" x14ac:dyDescent="0.2">
      <c r="A8" s="1077" t="s">
        <v>1435</v>
      </c>
      <c r="B8" s="1834">
        <f>'Acct Summary 7-8'!C8</f>
        <v>22162009</v>
      </c>
      <c r="C8" s="1834">
        <f>'Acct Summary 7-8'!D8</f>
        <v>1841063</v>
      </c>
      <c r="D8" s="1834">
        <f>'Acct Summary 7-8'!F8</f>
        <v>1315295</v>
      </c>
      <c r="E8" s="1834">
        <f>'Acct Summary 7-8'!I8</f>
        <v>369440</v>
      </c>
      <c r="F8" s="1834">
        <f>SUM(B8:E8)</f>
        <v>25687807</v>
      </c>
    </row>
    <row r="9" spans="1:8" s="1078" customFormat="1" ht="14.25" customHeight="1" thickBot="1" x14ac:dyDescent="0.25">
      <c r="A9" s="1077" t="s">
        <v>1436</v>
      </c>
      <c r="B9" s="1835">
        <f>'Acct Summary 7-8'!C17</f>
        <v>21899497</v>
      </c>
      <c r="C9" s="1835">
        <f>'Acct Summary 7-8'!D17</f>
        <v>2074046</v>
      </c>
      <c r="D9" s="1835">
        <f>'Acct Summary 7-8'!F17</f>
        <v>1183140</v>
      </c>
      <c r="E9" s="1834"/>
      <c r="F9" s="1834">
        <f>SUM(B9:E9)</f>
        <v>25156683</v>
      </c>
    </row>
    <row r="10" spans="1:8" s="1078" customFormat="1" ht="14.25" thickTop="1" thickBot="1" x14ac:dyDescent="0.25">
      <c r="A10" s="1079" t="s">
        <v>1437</v>
      </c>
      <c r="B10" s="1836">
        <f>(B8-B9)</f>
        <v>262512</v>
      </c>
      <c r="C10" s="1836">
        <f>(C8-C9)</f>
        <v>-232983</v>
      </c>
      <c r="D10" s="1836">
        <f>(D8-D9)</f>
        <v>132155</v>
      </c>
      <c r="E10" s="1835">
        <f>(E8-E9)</f>
        <v>369440</v>
      </c>
      <c r="F10" s="1837">
        <f>SUM(F8-F9)</f>
        <v>531124</v>
      </c>
    </row>
    <row r="11" spans="1:8" s="1078" customFormat="1" ht="14.25" thickTop="1" thickBot="1" x14ac:dyDescent="0.25">
      <c r="A11" s="1080" t="s">
        <v>1785</v>
      </c>
      <c r="B11" s="1838">
        <f>'Acct Summary 7-8'!C81</f>
        <v>4312912</v>
      </c>
      <c r="C11" s="1838">
        <f>'Acct Summary 7-8'!D81</f>
        <v>2469488</v>
      </c>
      <c r="D11" s="1838">
        <f>'Acct Summary 7-8'!F81</f>
        <v>794624</v>
      </c>
      <c r="E11" s="1838">
        <f>'Acct Summary 7-8'!I81</f>
        <v>3306410</v>
      </c>
      <c r="F11" s="1839">
        <f>SUM(B11:E11)</f>
        <v>10883434</v>
      </c>
    </row>
    <row r="12" spans="1:8" ht="16.5" customHeight="1" thickTop="1" x14ac:dyDescent="0.2">
      <c r="A12" s="1081"/>
      <c r="B12" s="1082"/>
      <c r="C12" s="2544" t="str">
        <f>IF(AND(F10&lt;0,F11&gt;=0,ABS(F10*3)&gt;ABS(F11)),A16,IF(AND(F10&lt;0,F11&gt;0,ABS(F10*3)&lt;=ABS(F11)),A17,IF(AND(F10&lt;0,F11&lt;0),A16,IF(F11=0,A19,A18))))</f>
        <v>Balanced - no deficit reduction plan is required.</v>
      </c>
      <c r="D12" s="2545"/>
      <c r="E12" s="2545"/>
      <c r="F12" s="2546"/>
    </row>
    <row r="13" spans="1:8" ht="19.5" customHeight="1" x14ac:dyDescent="0.2">
      <c r="A13" s="1083"/>
      <c r="B13" s="1084"/>
      <c r="C13" s="2544"/>
      <c r="D13" s="2545"/>
      <c r="E13" s="2545"/>
      <c r="F13" s="2546"/>
      <c r="H13" s="1073"/>
    </row>
    <row r="14" spans="1:8" ht="19.5" customHeight="1" x14ac:dyDescent="0.2">
      <c r="A14" s="1083"/>
      <c r="B14" s="1084"/>
      <c r="C14" s="2544"/>
      <c r="D14" s="2545"/>
      <c r="E14" s="2545"/>
      <c r="F14" s="2546"/>
      <c r="H14" s="1073"/>
    </row>
    <row r="15" spans="1:8" ht="17.25" customHeight="1" x14ac:dyDescent="0.2">
      <c r="A15" s="1083"/>
      <c r="B15" s="1084"/>
      <c r="C15" s="2547"/>
      <c r="D15" s="2548"/>
      <c r="E15" s="2548"/>
      <c r="F15" s="2549"/>
      <c r="H15" s="1073"/>
    </row>
    <row r="16" spans="1:8" s="310" customFormat="1" ht="51.75" hidden="1" customHeight="1" x14ac:dyDescent="0.2">
      <c r="A16" s="2543" t="s">
        <v>1787</v>
      </c>
      <c r="B16" s="2543"/>
      <c r="C16" s="2543"/>
      <c r="D16" s="2543"/>
      <c r="E16" s="2543"/>
      <c r="F16" s="310" t="s">
        <v>1438</v>
      </c>
    </row>
    <row r="17" spans="1:6" hidden="1" x14ac:dyDescent="0.2">
      <c r="A17" s="316" t="s">
        <v>1788</v>
      </c>
      <c r="F17" s="1085"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6"/>
    </row>
    <row r="48" spans="3:3" x14ac:dyDescent="0.2">
      <c r="C48" s="1085"/>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gridLine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4" colorId="8" zoomScale="110" zoomScaleNormal="110" workbookViewId="0"/>
  </sheetViews>
  <sheetFormatPr defaultColWidth="9.140625" defaultRowHeight="12" x14ac:dyDescent="0.2"/>
  <cols>
    <col min="1" max="1" width="2.7109375" style="1132" customWidth="1"/>
    <col min="2" max="2" width="3.140625" style="1132" customWidth="1"/>
    <col min="3" max="3" width="96.140625" style="1072" customWidth="1"/>
    <col min="4" max="4" width="42.140625" style="242" customWidth="1"/>
    <col min="5" max="5" width="2.7109375" style="1091" customWidth="1"/>
    <col min="6" max="6" width="1" style="1091" customWidth="1"/>
    <col min="7" max="16384" width="9.140625" style="1091"/>
  </cols>
  <sheetData>
    <row r="1" spans="1:4" ht="4.5" customHeight="1" thickBot="1" x14ac:dyDescent="0.25">
      <c r="A1" s="1087"/>
      <c r="B1" s="1088"/>
      <c r="C1" s="1089"/>
      <c r="D1" s="1090"/>
    </row>
    <row r="2" spans="1:4" ht="7.5" customHeight="1" thickTop="1" x14ac:dyDescent="0.2">
      <c r="A2" s="1918"/>
      <c r="B2" s="1919"/>
      <c r="C2" s="1920"/>
      <c r="D2" s="1921"/>
    </row>
    <row r="3" spans="1:4" ht="36" customHeight="1" x14ac:dyDescent="0.2">
      <c r="A3" s="2565" t="s">
        <v>686</v>
      </c>
      <c r="B3" s="2566"/>
      <c r="C3" s="2566"/>
      <c r="D3" s="2567"/>
    </row>
    <row r="4" spans="1:4" x14ac:dyDescent="0.2">
      <c r="A4" s="1151" t="s">
        <v>1793</v>
      </c>
      <c r="B4" s="1152"/>
      <c r="C4" s="1153"/>
      <c r="D4" s="1154"/>
    </row>
    <row r="5" spans="1:4" ht="21" customHeight="1" x14ac:dyDescent="0.2">
      <c r="A5" s="1147"/>
      <c r="B5" s="1148">
        <v>1</v>
      </c>
      <c r="C5" s="1149" t="s">
        <v>1943</v>
      </c>
      <c r="D5" s="1150"/>
    </row>
    <row r="6" spans="1:4" s="667" customFormat="1" ht="14.25" customHeight="1" x14ac:dyDescent="0.2">
      <c r="A6" s="1137"/>
      <c r="B6" s="1092">
        <f t="shared" ref="B6:B13" si="0">B5+1</f>
        <v>2</v>
      </c>
      <c r="C6" s="1093" t="s">
        <v>919</v>
      </c>
      <c r="D6" s="1094"/>
    </row>
    <row r="7" spans="1:4" s="667" customFormat="1" ht="12.75" x14ac:dyDescent="0.2">
      <c r="A7" s="1137"/>
      <c r="B7" s="1092">
        <f t="shared" si="0"/>
        <v>3</v>
      </c>
      <c r="C7" s="2576" t="s">
        <v>1584</v>
      </c>
      <c r="D7" s="2577"/>
    </row>
    <row r="8" spans="1:4" s="667" customFormat="1" ht="12.75" x14ac:dyDescent="0.2">
      <c r="A8" s="1137"/>
      <c r="B8" s="1092"/>
      <c r="C8" s="1095" t="s">
        <v>1583</v>
      </c>
      <c r="D8" s="1096"/>
    </row>
    <row r="9" spans="1:4" s="667" customFormat="1" ht="14.25" customHeight="1" x14ac:dyDescent="0.2">
      <c r="A9" s="1137"/>
      <c r="B9" s="1092">
        <f>B7+1</f>
        <v>4</v>
      </c>
      <c r="C9" s="1093" t="s">
        <v>2046</v>
      </c>
      <c r="D9" s="1094"/>
    </row>
    <row r="10" spans="1:4" s="667" customFormat="1" ht="14.25" customHeight="1" x14ac:dyDescent="0.2">
      <c r="A10" s="1137"/>
      <c r="B10" s="1092">
        <f t="shared" si="0"/>
        <v>5</v>
      </c>
      <c r="C10" s="1093" t="s">
        <v>660</v>
      </c>
      <c r="D10" s="1094"/>
    </row>
    <row r="11" spans="1:4" s="667" customFormat="1" ht="14.25" customHeight="1" x14ac:dyDescent="0.2">
      <c r="A11" s="1137"/>
      <c r="B11" s="1092">
        <f t="shared" si="0"/>
        <v>6</v>
      </c>
      <c r="C11" s="1093" t="s">
        <v>811</v>
      </c>
      <c r="D11" s="1094"/>
    </row>
    <row r="12" spans="1:4" s="667" customFormat="1" ht="14.25" customHeight="1" x14ac:dyDescent="0.2">
      <c r="A12" s="1137"/>
      <c r="B12" s="1092">
        <f t="shared" si="0"/>
        <v>7</v>
      </c>
      <c r="C12" s="1093" t="s">
        <v>1122</v>
      </c>
      <c r="D12" s="1094"/>
    </row>
    <row r="13" spans="1:4" s="667" customFormat="1" ht="14.25" customHeight="1" x14ac:dyDescent="0.2">
      <c r="A13" s="1137"/>
      <c r="B13" s="1092">
        <f t="shared" si="0"/>
        <v>8</v>
      </c>
      <c r="C13" s="1133" t="s">
        <v>812</v>
      </c>
      <c r="D13" s="1094"/>
    </row>
    <row r="14" spans="1:4" s="667" customFormat="1" ht="14.25" customHeight="1" x14ac:dyDescent="0.2">
      <c r="A14" s="1137"/>
      <c r="B14" s="1134">
        <v>9</v>
      </c>
      <c r="C14" s="1135" t="s">
        <v>1585</v>
      </c>
      <c r="D14" s="1136"/>
    </row>
    <row r="15" spans="1:4" s="667" customFormat="1" ht="21.75" customHeight="1" x14ac:dyDescent="0.2">
      <c r="A15" s="2568" t="s">
        <v>1065</v>
      </c>
      <c r="B15" s="2569"/>
      <c r="C15" s="2569"/>
      <c r="D15" s="2570"/>
    </row>
    <row r="16" spans="1:4" s="667" customFormat="1" ht="24" customHeight="1" x14ac:dyDescent="0.2">
      <c r="A16" s="2571" t="s">
        <v>684</v>
      </c>
      <c r="B16" s="2572"/>
      <c r="C16" s="2572"/>
      <c r="D16" s="2573"/>
    </row>
    <row r="17" spans="1:10" s="667" customFormat="1" ht="12.75" customHeight="1" x14ac:dyDescent="0.2">
      <c r="A17" s="1155" t="s">
        <v>1794</v>
      </c>
      <c r="B17" s="1156"/>
      <c r="C17" s="1157"/>
      <c r="D17" s="1158"/>
    </row>
    <row r="18" spans="1:10" s="667" customFormat="1" ht="12.75" customHeight="1" x14ac:dyDescent="0.2">
      <c r="A18" s="1159" t="s">
        <v>1795</v>
      </c>
      <c r="B18" s="1160"/>
      <c r="C18" s="1161"/>
      <c r="D18" s="1162"/>
    </row>
    <row r="19" spans="1:10" ht="6.75" customHeight="1" thickBot="1" x14ac:dyDescent="0.25">
      <c r="A19" s="1163"/>
      <c r="B19" s="1164"/>
      <c r="C19" s="1165"/>
      <c r="D19" s="1166"/>
    </row>
    <row r="20" spans="1:10" s="1170" customFormat="1" ht="12.75" thickTop="1" x14ac:dyDescent="0.2">
      <c r="A20" s="1167"/>
      <c r="B20" s="1168" t="s">
        <v>1796</v>
      </c>
      <c r="C20" s="1169"/>
      <c r="D20" s="1172" t="s">
        <v>734</v>
      </c>
    </row>
    <row r="21" spans="1:10" x14ac:dyDescent="0.2">
      <c r="A21" s="1097"/>
      <c r="B21" s="1098">
        <v>1</v>
      </c>
      <c r="C21" s="2580" t="s">
        <v>332</v>
      </c>
      <c r="D21" s="2581"/>
    </row>
    <row r="22" spans="1:10" ht="12.75" x14ac:dyDescent="0.2">
      <c r="A22" s="1138"/>
      <c r="B22" s="1139">
        <v>2</v>
      </c>
      <c r="C22" s="2578" t="s">
        <v>1605</v>
      </c>
      <c r="D22" s="2579"/>
    </row>
    <row r="23" spans="1:10" ht="12.2" customHeight="1" x14ac:dyDescent="0.2">
      <c r="A23" s="1138"/>
      <c r="B23" s="1139"/>
      <c r="C23" s="1140" t="s">
        <v>1011</v>
      </c>
      <c r="D23" s="1141" t="str">
        <f>IF(COVER!O11="X","CASH",IF(COVER!O12="X","ACCRUAL ","PLEASE CHECK AN ACCOUNTING BASIS."))</f>
        <v>CASH</v>
      </c>
    </row>
    <row r="24" spans="1:10" ht="12.2" customHeight="1" x14ac:dyDescent="0.2">
      <c r="A24" s="1138"/>
      <c r="B24" s="1139"/>
      <c r="C24" s="1140" t="s">
        <v>1399</v>
      </c>
      <c r="D24" s="1141" t="str">
        <f>IF(COVER!O11="X","OK",IF(AND('Aud Quest 2'!J90=0,'Aud Quest 2'!I77&lt;DATE(2017,12,31)),"ENTER ACCOUNTING INFO",IF(AND('Aud Quest 2'!J90&gt;0,'Aud Quest 2'!I77&lt;DATE(2017,12,31)),"OK")))</f>
        <v>OK</v>
      </c>
    </row>
    <row r="25" spans="1:10" x14ac:dyDescent="0.2">
      <c r="A25" s="1099"/>
      <c r="B25" s="1100"/>
      <c r="C25" s="1101" t="s">
        <v>1607</v>
      </c>
      <c r="D25" s="1102" t="str">
        <f>IF(AND(COVER!J29="X",COVER!J30="X",COVER!L30&lt;&gt;"X"),"OK",IF(AND(COVER!J29="X",COVER!J30&lt;&gt;"X",COVER!L30="X"),"OK",IF(AND(COVER!L29="X",COVER!J30&lt;&gt;"X"),"OK","PLEASE CHECK YES or NO.")))</f>
        <v>OK</v>
      </c>
    </row>
    <row r="26" spans="1:10" x14ac:dyDescent="0.2">
      <c r="A26" s="1099"/>
      <c r="B26" s="1142"/>
      <c r="C26" s="1103" t="s">
        <v>1606</v>
      </c>
      <c r="D26" s="1104" t="str">
        <f>IF(AND(COVER!J29="X",COVER!J30="X",COVER!L29&lt;&gt;"X"),"OK",IF(AND(COVER!J29="X",COVER!J30&lt;&gt;"X",COVER!L30="X"),"SENDING AN A-133 SEPERATELY!",IF(AND(COVER!L29="X",COVER!J30&lt;&gt;"X"),"OK","PLEASE CHECK YES or NO.")))</f>
        <v>OK</v>
      </c>
    </row>
    <row r="27" spans="1:10" ht="12" hidden="1" customHeight="1" x14ac:dyDescent="0.2">
      <c r="A27" s="1105"/>
      <c r="B27" s="1142"/>
      <c r="C27" s="1101" t="s">
        <v>1032</v>
      </c>
      <c r="D27" s="1104" t="str">
        <f>IF(AND(COVER!J29="X",COVER!J31="X",COVER!L29&lt;&gt;"X"),"OK",IF(AND(COVER!J29="X",COVER!J31&lt;&gt;"X",COVER!L31="X"),"NO FINDINGS WERE ISSUED",IF(AND(COVER!L29="X",COVER!J31&lt;&gt;"X"),"OK","PLEASE CHECK YES or NO.")))</f>
        <v>OK</v>
      </c>
    </row>
    <row r="28" spans="1:10" ht="24" hidden="1" customHeight="1" x14ac:dyDescent="0.2">
      <c r="A28" s="1105"/>
      <c r="B28" s="1142"/>
      <c r="C28" s="1101" t="s">
        <v>897</v>
      </c>
      <c r="D28" s="1106" t="str">
        <f>IF('Aud Quest 2'!B53="X",IF('Aud Quest 2'!F53&gt;"00/00/00 ","Enter Effective Date","ok"))</f>
        <v>ok</v>
      </c>
    </row>
    <row r="29" spans="1:10" x14ac:dyDescent="0.2">
      <c r="A29" s="1099"/>
      <c r="B29" s="1142"/>
      <c r="C29" s="1103" t="s">
        <v>1440</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7"/>
      <c r="B30" s="1139">
        <f>B22+1</f>
        <v>3</v>
      </c>
      <c r="C30" s="1107" t="s">
        <v>879</v>
      </c>
      <c r="D30" s="1108"/>
    </row>
    <row r="31" spans="1:10" x14ac:dyDescent="0.2">
      <c r="A31" s="1099"/>
      <c r="B31" s="1109"/>
      <c r="C31" s="1143" t="s">
        <v>271</v>
      </c>
      <c r="D31" s="1110" t="str">
        <f>IF(SUM('FP Info 3'!J10:L10)&lt;=0.0999999,"OK","CORRECT THE TAX RATES BY MOVING THE DECIMAL TWO PLACES TO THE LEFT.")</f>
        <v>OK</v>
      </c>
      <c r="E31" s="359"/>
      <c r="F31" s="359"/>
      <c r="G31" s="359"/>
      <c r="H31" s="359"/>
      <c r="I31" s="359"/>
      <c r="J31" s="359"/>
    </row>
    <row r="32" spans="1:10" x14ac:dyDescent="0.2">
      <c r="A32" s="1099"/>
      <c r="B32" s="1144"/>
      <c r="C32" s="1111" t="s">
        <v>1035</v>
      </c>
      <c r="D32" s="1102" t="str">
        <f>IF(OR(COVER!B6="x",'FP Info 3'!B31="X",'FP Info 3'!B32="X"),"OK","ENTRY IS REQUIRED!")</f>
        <v>OK</v>
      </c>
    </row>
    <row r="33" spans="1:12" s="1115" customFormat="1" ht="12.75" customHeight="1" x14ac:dyDescent="0.2">
      <c r="A33" s="1112"/>
      <c r="B33" s="1139">
        <f>B30+1</f>
        <v>4</v>
      </c>
      <c r="C33" s="1113" t="s">
        <v>813</v>
      </c>
      <c r="D33" s="1114"/>
    </row>
    <row r="34" spans="1:12" s="1115" customFormat="1" x14ac:dyDescent="0.2">
      <c r="A34" s="1116"/>
      <c r="B34" s="1139"/>
      <c r="C34" s="1117" t="s">
        <v>880</v>
      </c>
      <c r="D34" s="1102" t="str">
        <f>IF('Assets-Liab 5-6'!C4&lt;-0.49, "ERROR!","OK")</f>
        <v>OK</v>
      </c>
    </row>
    <row r="35" spans="1:12" x14ac:dyDescent="0.2">
      <c r="A35" s="1116"/>
      <c r="B35" s="1139"/>
      <c r="C35" s="1117" t="s">
        <v>324</v>
      </c>
      <c r="D35" s="1102" t="str">
        <f>IF('Assets-Liab 5-6'!D4&lt;-0.49, "ERROR!","OK")</f>
        <v>OK</v>
      </c>
      <c r="L35" s="1171"/>
    </row>
    <row r="36" spans="1:12" x14ac:dyDescent="0.2">
      <c r="A36" s="1116"/>
      <c r="B36" s="1139"/>
      <c r="C36" s="1117" t="s">
        <v>814</v>
      </c>
      <c r="D36" s="1102" t="str">
        <f>IF('Assets-Liab 5-6'!E4&lt;-0.49, "ERROR!","OK")</f>
        <v>OK</v>
      </c>
    </row>
    <row r="37" spans="1:12" x14ac:dyDescent="0.2">
      <c r="A37" s="1116"/>
      <c r="B37" s="1139"/>
      <c r="C37" s="1117" t="s">
        <v>325</v>
      </c>
      <c r="D37" s="1102" t="str">
        <f>IF('Assets-Liab 5-6'!F4&lt;-0.49, "ERROR!","OK")</f>
        <v>OK</v>
      </c>
    </row>
    <row r="38" spans="1:12" x14ac:dyDescent="0.2">
      <c r="A38" s="1116"/>
      <c r="B38" s="1139"/>
      <c r="C38" s="1117" t="s">
        <v>326</v>
      </c>
      <c r="D38" s="1102" t="str">
        <f>IF('Assets-Liab 5-6'!G4&lt;-0.49, "ERROR!","OK")</f>
        <v>OK</v>
      </c>
    </row>
    <row r="39" spans="1:12" x14ac:dyDescent="0.2">
      <c r="A39" s="1116"/>
      <c r="B39" s="1139"/>
      <c r="C39" s="1117" t="s">
        <v>815</v>
      </c>
      <c r="D39" s="1102" t="str">
        <f>IF('Assets-Liab 5-6'!H4&lt;-0.49, "ERROR!","OK")</f>
        <v>OK</v>
      </c>
    </row>
    <row r="40" spans="1:12" x14ac:dyDescent="0.2">
      <c r="A40" s="1116"/>
      <c r="B40" s="1139"/>
      <c r="C40" s="1117" t="s">
        <v>327</v>
      </c>
      <c r="D40" s="1102" t="str">
        <f>IF('Assets-Liab 5-6'!I4&lt;-0.49, "ERROR!","OK")</f>
        <v>OK</v>
      </c>
    </row>
    <row r="41" spans="1:12" x14ac:dyDescent="0.2">
      <c r="A41" s="1116"/>
      <c r="B41" s="1139"/>
      <c r="C41" s="1117" t="s">
        <v>816</v>
      </c>
      <c r="D41" s="1102" t="str">
        <f>IF('Assets-Liab 5-6'!J4&lt;-0.49, "ERROR!","OK")</f>
        <v>OK</v>
      </c>
    </row>
    <row r="42" spans="1:12" x14ac:dyDescent="0.2">
      <c r="A42" s="1116"/>
      <c r="B42" s="1139"/>
      <c r="C42" s="1117" t="s">
        <v>328</v>
      </c>
      <c r="D42" s="1102" t="str">
        <f>IF('Assets-Liab 5-6'!K4&lt;-0.49, "ERROR!","OK")</f>
        <v>OK</v>
      </c>
    </row>
    <row r="43" spans="1:12" x14ac:dyDescent="0.2">
      <c r="A43" s="1118"/>
      <c r="B43" s="1119">
        <f>B33+1</f>
        <v>5</v>
      </c>
      <c r="C43" s="2582" t="s">
        <v>557</v>
      </c>
      <c r="D43" s="2583"/>
    </row>
    <row r="44" spans="1:12" x14ac:dyDescent="0.2">
      <c r="A44" s="1118"/>
      <c r="B44" s="1120"/>
      <c r="C44" s="1121" t="s">
        <v>1402</v>
      </c>
      <c r="D44" s="1122" t="str">
        <f>IF(SUM('Assets-Liab 5-6'!C13)&lt;&gt;SUM('Assets-Liab 5-6'!C41),"ERROR!","OK")</f>
        <v>OK</v>
      </c>
    </row>
    <row r="45" spans="1:12" x14ac:dyDescent="0.2">
      <c r="A45" s="1118"/>
      <c r="B45" s="1120"/>
      <c r="C45" s="1121" t="s">
        <v>1403</v>
      </c>
      <c r="D45" s="1122" t="str">
        <f>IF(SUM('Assets-Liab 5-6'!D13)&lt;&gt;SUM('Assets-Liab 5-6'!D41),"ERROR!","OK")</f>
        <v>OK</v>
      </c>
    </row>
    <row r="46" spans="1:12" x14ac:dyDescent="0.2">
      <c r="A46" s="1118"/>
      <c r="B46" s="1120"/>
      <c r="C46" s="1121" t="s">
        <v>1404</v>
      </c>
      <c r="D46" s="1122" t="str">
        <f>IF(SUM('Assets-Liab 5-6'!E13)&lt;&gt;SUM('Assets-Liab 5-6'!E41),"ERROR!","OK")</f>
        <v>OK</v>
      </c>
    </row>
    <row r="47" spans="1:12" x14ac:dyDescent="0.2">
      <c r="A47" s="1118"/>
      <c r="B47" s="1120"/>
      <c r="C47" s="1121" t="s">
        <v>1405</v>
      </c>
      <c r="D47" s="1122" t="str">
        <f>IF(SUM('Assets-Liab 5-6'!F13)&lt;&gt;SUM('Assets-Liab 5-6'!F41),"ERROR!","OK")</f>
        <v>OK</v>
      </c>
    </row>
    <row r="48" spans="1:12" x14ac:dyDescent="0.2">
      <c r="A48" s="1118"/>
      <c r="B48" s="1120"/>
      <c r="C48" s="1121" t="s">
        <v>1406</v>
      </c>
      <c r="D48" s="1122" t="str">
        <f>IF(SUM('Assets-Liab 5-6'!G13)&lt;&gt;SUM('Assets-Liab 5-6'!G41),"ERROR!","OK")</f>
        <v>OK</v>
      </c>
    </row>
    <row r="49" spans="1:4" x14ac:dyDescent="0.2">
      <c r="A49" s="1118"/>
      <c r="B49" s="1120"/>
      <c r="C49" s="1121" t="s">
        <v>1407</v>
      </c>
      <c r="D49" s="1122" t="str">
        <f>IF(SUM('Assets-Liab 5-6'!H13)&lt;&gt;SUM('Assets-Liab 5-6'!H41),"ERROR!","OK")</f>
        <v>OK</v>
      </c>
    </row>
    <row r="50" spans="1:4" x14ac:dyDescent="0.2">
      <c r="A50" s="1118"/>
      <c r="B50" s="1120"/>
      <c r="C50" s="1121" t="s">
        <v>1408</v>
      </c>
      <c r="D50" s="1122" t="str">
        <f>IF(SUM('Assets-Liab 5-6'!I13)&lt;&gt;SUM('Assets-Liab 5-6'!I41),"ERROR!","OK")</f>
        <v>OK</v>
      </c>
    </row>
    <row r="51" spans="1:4" x14ac:dyDescent="0.2">
      <c r="A51" s="1118"/>
      <c r="B51" s="1120"/>
      <c r="C51" s="1121" t="s">
        <v>1409</v>
      </c>
      <c r="D51" s="1122" t="str">
        <f>IF(SUM('Assets-Liab 5-6'!J13)&lt;&gt;SUM('Assets-Liab 5-6'!J41),"ERROR!","OK")</f>
        <v>OK</v>
      </c>
    </row>
    <row r="52" spans="1:4" x14ac:dyDescent="0.2">
      <c r="A52" s="1118"/>
      <c r="B52" s="1120"/>
      <c r="C52" s="1121" t="s">
        <v>1410</v>
      </c>
      <c r="D52" s="1122" t="str">
        <f>IF(SUM('Assets-Liab 5-6'!K13)&lt;&gt;SUM('Assets-Liab 5-6'!K41),"ERROR!","OK")</f>
        <v>OK</v>
      </c>
    </row>
    <row r="53" spans="1:4" x14ac:dyDescent="0.2">
      <c r="A53" s="1118"/>
      <c r="B53" s="1120"/>
      <c r="C53" s="1121" t="s">
        <v>1411</v>
      </c>
      <c r="D53" s="1122" t="str">
        <f>IF(SUM('Assets-Liab 5-6'!L13)&lt;&gt;('Assets-Liab 5-6'!L41),"ERROR!","OK")</f>
        <v>OK</v>
      </c>
    </row>
    <row r="54" spans="1:4" x14ac:dyDescent="0.2">
      <c r="A54" s="1118"/>
      <c r="B54" s="1120"/>
      <c r="C54" s="1121" t="s">
        <v>1412</v>
      </c>
      <c r="D54" s="1122" t="str">
        <f>IF(SUM('Assets-Liab 5-6'!M23)&lt;&gt;('Assets-Liab 5-6'!M41),"ERROR!","OK")</f>
        <v>OK</v>
      </c>
    </row>
    <row r="55" spans="1:4" x14ac:dyDescent="0.2">
      <c r="A55" s="1118"/>
      <c r="B55" s="1120"/>
      <c r="C55" s="1121" t="s">
        <v>1413</v>
      </c>
      <c r="D55" s="1122" t="str">
        <f>IF(SUM('Assets-Liab 5-6'!N23)&lt;&gt;('Assets-Liab 5-6'!N41),"ERROR!","OK")</f>
        <v>OK</v>
      </c>
    </row>
    <row r="56" spans="1:4" x14ac:dyDescent="0.2">
      <c r="A56" s="1099"/>
      <c r="B56" s="1119">
        <f>B43+1</f>
        <v>6</v>
      </c>
      <c r="C56" s="2574" t="s">
        <v>817</v>
      </c>
      <c r="D56" s="2575"/>
    </row>
    <row r="57" spans="1:4" s="1115" customFormat="1" x14ac:dyDescent="0.2">
      <c r="A57" s="1099"/>
      <c r="B57" s="1109"/>
      <c r="C57" s="1117" t="s">
        <v>1414</v>
      </c>
      <c r="D57" s="1123" t="str">
        <f>IF('Assets-Liab 5-6'!C38+'Assets-Liab 5-6'!C39='Acct Summary 7-8'!C81,"OK","ERROR!")</f>
        <v>OK</v>
      </c>
    </row>
    <row r="58" spans="1:4" x14ac:dyDescent="0.2">
      <c r="A58" s="1099"/>
      <c r="B58" s="1109"/>
      <c r="C58" s="1117" t="s">
        <v>1415</v>
      </c>
      <c r="D58" s="1123" t="str">
        <f>IF((('Assets-Liab 5-6'!D38+'Assets-Liab 5-6'!D39) ='Acct Summary 7-8'!D81), "OK", "ERROR!" )</f>
        <v>OK</v>
      </c>
    </row>
    <row r="59" spans="1:4" s="1115" customFormat="1" x14ac:dyDescent="0.2">
      <c r="A59" s="1099"/>
      <c r="B59" s="1109"/>
      <c r="C59" s="1117" t="s">
        <v>1416</v>
      </c>
      <c r="D59" s="1123" t="str">
        <f>IF((('Assets-Liab 5-6'!E38 + 'Assets-Liab 5-6'!E39) ='Acct Summary 7-8'!E81), "OK", "ERROR!" )</f>
        <v>OK</v>
      </c>
    </row>
    <row r="60" spans="1:4" x14ac:dyDescent="0.2">
      <c r="A60" s="1099"/>
      <c r="B60" s="1109"/>
      <c r="C60" s="1117" t="s">
        <v>1417</v>
      </c>
      <c r="D60" s="1123" t="str">
        <f>IF((('Assets-Liab 5-6'!F38 + 'Assets-Liab 5-6'!F39) ='Acct Summary 7-8'!F81), "OK", "ERROR!" )</f>
        <v>OK</v>
      </c>
    </row>
    <row r="61" spans="1:4" ht="12.75" customHeight="1" x14ac:dyDescent="0.2">
      <c r="A61" s="1099"/>
      <c r="B61" s="1109"/>
      <c r="C61" s="1117" t="s">
        <v>1430</v>
      </c>
      <c r="D61" s="1123" t="str">
        <f>IF((('Assets-Liab 5-6'!G38 + 'Assets-Liab 5-6'!G39) ='Acct Summary 7-8'!G81), "OK", "ERROR!" )</f>
        <v>OK</v>
      </c>
    </row>
    <row r="62" spans="1:4" x14ac:dyDescent="0.2">
      <c r="A62" s="1099"/>
      <c r="B62" s="1109"/>
      <c r="C62" s="1117" t="s">
        <v>1418</v>
      </c>
      <c r="D62" s="1123" t="str">
        <f>IF((('Assets-Liab 5-6'!H38 + 'Assets-Liab 5-6'!H39) ='Acct Summary 7-8'!H81), "OK", "ERROR!" )</f>
        <v>OK</v>
      </c>
    </row>
    <row r="63" spans="1:4" ht="12.75" customHeight="1" x14ac:dyDescent="0.2">
      <c r="A63" s="1099"/>
      <c r="B63" s="1109"/>
      <c r="C63" s="1117" t="s">
        <v>1419</v>
      </c>
      <c r="D63" s="1123" t="str">
        <f>IF((('Assets-Liab 5-6'!I38 + 'Assets-Liab 5-6'!I39) ='Acct Summary 7-8'!I81), "OK", "ERROR!" )</f>
        <v>OK</v>
      </c>
    </row>
    <row r="64" spans="1:4" x14ac:dyDescent="0.2">
      <c r="A64" s="1099"/>
      <c r="B64" s="1109"/>
      <c r="C64" s="1117" t="s">
        <v>1420</v>
      </c>
      <c r="D64" s="1123" t="str">
        <f>IF((('Assets-Liab 5-6'!J38 + 'Assets-Liab 5-6'!J39) ='Acct Summary 7-8'!J81), "OK", "ERROR!" )</f>
        <v>OK</v>
      </c>
    </row>
    <row r="65" spans="1:4" x14ac:dyDescent="0.2">
      <c r="A65" s="1116"/>
      <c r="B65" s="1109"/>
      <c r="C65" s="1117" t="s">
        <v>1431</v>
      </c>
      <c r="D65" s="1123" t="str">
        <f>IF((('Assets-Liab 5-6'!K38 + 'Assets-Liab 5-6'!K39) ='Acct Summary 7-8'!K81), "OK", "ERROR!" )</f>
        <v>OK</v>
      </c>
    </row>
    <row r="66" spans="1:4" x14ac:dyDescent="0.2">
      <c r="A66" s="1097"/>
      <c r="B66" s="1139">
        <f>B56+1+1</f>
        <v>8</v>
      </c>
      <c r="C66" s="1145" t="s">
        <v>2047</v>
      </c>
      <c r="D66" s="1124"/>
    </row>
    <row r="67" spans="1:4" x14ac:dyDescent="0.2">
      <c r="A67" s="1118"/>
      <c r="B67" s="1139"/>
      <c r="C67" s="1146" t="s">
        <v>1079</v>
      </c>
      <c r="D67" s="1124"/>
    </row>
    <row r="68" spans="1:4" x14ac:dyDescent="0.2">
      <c r="A68" s="1099"/>
      <c r="B68" s="1109"/>
      <c r="C68" s="1101" t="s">
        <v>2048</v>
      </c>
      <c r="D68" s="1123" t="str">
        <f>IF('Short-Term Long-Term Debt 24'!F49=SUM(,'Acct Summary 7-8'!C33:K33),"OK","ERROR!")</f>
        <v>OK</v>
      </c>
    </row>
    <row r="69" spans="1:4" x14ac:dyDescent="0.2">
      <c r="A69" s="1099"/>
      <c r="B69" s="1109"/>
      <c r="C69" s="1101" t="s">
        <v>2049</v>
      </c>
      <c r="D69" s="1123" t="str">
        <f>IF('Expenditures 15-22'!H170&lt;&gt;'Short-Term Long-Term Debt 24'!H49,"ERROR!","OK")</f>
        <v>OK</v>
      </c>
    </row>
    <row r="70" spans="1:4" x14ac:dyDescent="0.2">
      <c r="A70" s="1097"/>
      <c r="B70" s="1119">
        <f>B66+1</f>
        <v>9</v>
      </c>
      <c r="C70" s="2574" t="s">
        <v>1797</v>
      </c>
      <c r="D70" s="2575"/>
    </row>
    <row r="71" spans="1:4" x14ac:dyDescent="0.2">
      <c r="A71" s="1097"/>
      <c r="B71" s="1119"/>
      <c r="C71" s="1101" t="s">
        <v>1421</v>
      </c>
      <c r="D71" s="1125" t="str">
        <f>IF(SUM('Acct Summary 7-8'!C27:K27) =SUM( 'Acct Summary 7-8'!C49:K49),"OK", "ERROR")</f>
        <v>OK</v>
      </c>
    </row>
    <row r="72" spans="1:4" x14ac:dyDescent="0.2">
      <c r="A72" s="1099"/>
      <c r="B72" s="1109"/>
      <c r="C72" s="1117" t="s">
        <v>1422</v>
      </c>
      <c r="D72" s="1123" t="str">
        <f>IF(SUM('Acct Summary 7-8'!C28:K28)=SUM('Acct Summary 7-8'!C50:K50),"OK","ERROR!")</f>
        <v>OK</v>
      </c>
    </row>
    <row r="73" spans="1:4" ht="24" x14ac:dyDescent="0.2">
      <c r="A73" s="1126"/>
      <c r="B73" s="1109"/>
      <c r="C73" s="1117" t="s">
        <v>1798</v>
      </c>
      <c r="D73" s="1125" t="str">
        <f>IF(SUM('Acct Summary 7-8'!C42:K42)&gt;=SUM( 'Acct Summary 7-8'!C74:K74),"OK", "ERROR")</f>
        <v>OK</v>
      </c>
    </row>
    <row r="74" spans="1:4" x14ac:dyDescent="0.2">
      <c r="A74" s="1097"/>
      <c r="B74" s="1119">
        <f>B70+1</f>
        <v>10</v>
      </c>
      <c r="C74" s="1113" t="s">
        <v>2050</v>
      </c>
      <c r="D74" s="1127"/>
    </row>
    <row r="75" spans="1:4" x14ac:dyDescent="0.2">
      <c r="A75" s="1099"/>
      <c r="B75" s="1109"/>
      <c r="C75" s="1117" t="s">
        <v>1444</v>
      </c>
      <c r="D75" s="1123" t="str">
        <f>IF(SUM('Assets-Liab 5-6'!C38:H38)&gt;=SUM('Rest Tax Levies-Tort Im 25'!G25:K25),"OK","ERROR")</f>
        <v>OK</v>
      </c>
    </row>
    <row r="76" spans="1:4" x14ac:dyDescent="0.2">
      <c r="A76" s="1099"/>
      <c r="B76" s="1109"/>
      <c r="C76" s="1117" t="s">
        <v>1490</v>
      </c>
      <c r="D76" s="1123" t="str">
        <f>IF(SUM('Assets-Liab 5-6'!C39:K39)&gt;0,"OK","ENTRY IS REQUIRED!")</f>
        <v>OK</v>
      </c>
    </row>
    <row r="77" spans="1:4" x14ac:dyDescent="0.2">
      <c r="A77" s="1099"/>
      <c r="B77" s="1128">
        <f>B74+1</f>
        <v>11</v>
      </c>
      <c r="C77" s="1173" t="s">
        <v>1445</v>
      </c>
      <c r="D77" s="1123"/>
    </row>
    <row r="78" spans="1:4" x14ac:dyDescent="0.2">
      <c r="A78" s="1099"/>
      <c r="B78" s="1109"/>
      <c r="C78" s="1117" t="s">
        <v>2051</v>
      </c>
      <c r="D78" s="1123" t="str">
        <f>IF(ISNUMBER('Acct Summary 7-8'!C9),"OK","ENTRY IS REQUIRED!")</f>
        <v>OK</v>
      </c>
    </row>
    <row r="79" spans="1:4" x14ac:dyDescent="0.2">
      <c r="A79" s="1118"/>
      <c r="B79" s="1119">
        <f>B74+1+1</f>
        <v>12</v>
      </c>
      <c r="C79" s="1129" t="s">
        <v>2016</v>
      </c>
      <c r="D79" s="1130" t="str">
        <f>IF(OR(COVER!$B$6="X",'PCTC-OEPP 27-28'!F78&gt;0),"OK","PLEASE ENTER 9 MO ADA.")</f>
        <v>OK</v>
      </c>
    </row>
    <row r="80" spans="1:4" x14ac:dyDescent="0.2">
      <c r="A80" s="1097"/>
      <c r="B80" s="1119">
        <v>13</v>
      </c>
      <c r="C80" s="1129" t="s">
        <v>2052</v>
      </c>
      <c r="D80" s="1130" t="str">
        <f>IF('Contracts Paid in CY 29'!D141&gt;0,"OK","PLEASE ENTER CONTRACTS PAID IN CURRENT YEAR.")</f>
        <v>OK</v>
      </c>
    </row>
    <row r="81" spans="1:4" x14ac:dyDescent="0.2">
      <c r="A81" s="1097"/>
      <c r="B81" s="1119">
        <v>14</v>
      </c>
      <c r="C81" s="1129" t="s">
        <v>1496</v>
      </c>
      <c r="D81" s="1122" t="str">
        <f>IF('Shared Outsourced Services 31'!B8="X","OK",IF('Shared Outsourced Services 31'!K34&gt;0,"OK","ENTRY REQUIRED!"))</f>
        <v>OK</v>
      </c>
    </row>
    <row r="82" spans="1:4" x14ac:dyDescent="0.2">
      <c r="A82" s="1118"/>
      <c r="B82" s="1119">
        <v>15</v>
      </c>
      <c r="C82" s="1129" t="s">
        <v>1495</v>
      </c>
      <c r="D82" s="1131"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t="str">
        <f>COVER!A13</f>
        <v>04-101-2070-16</v>
      </c>
    </row>
    <row r="3" spans="1:2" x14ac:dyDescent="0.2">
      <c r="A3" t="s">
        <v>1013</v>
      </c>
      <c r="B3" s="138" t="str">
        <f>COVER!A15</f>
        <v>Winnebago</v>
      </c>
    </row>
    <row r="4" spans="1:2" x14ac:dyDescent="0.2">
      <c r="A4" t="s">
        <v>1064</v>
      </c>
      <c r="B4" s="138" t="str">
        <f>COVER!A17</f>
        <v>Hononegah Community High School District No. 207</v>
      </c>
    </row>
    <row r="5" spans="1:2" x14ac:dyDescent="0.2">
      <c r="A5" t="s">
        <v>728</v>
      </c>
      <c r="B5" s="138" t="str">
        <f>COVER!A38</f>
        <v>Michael Dugan</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Yes</v>
      </c>
    </row>
    <row r="15" spans="1:2" x14ac:dyDescent="0.2">
      <c r="A15" t="s">
        <v>598</v>
      </c>
      <c r="B15" s="138" t="str">
        <f>COVER!T23</f>
        <v>066-005027</v>
      </c>
    </row>
    <row r="16" spans="1:2" x14ac:dyDescent="0.2">
      <c r="A16" t="s">
        <v>442</v>
      </c>
      <c r="B16" s="138" t="str">
        <f>COVER!T13</f>
        <v>Gorenz and Associates, Ltd.</v>
      </c>
    </row>
    <row r="17" spans="1:2" x14ac:dyDescent="0.2">
      <c r="A17" t="s">
        <v>939</v>
      </c>
      <c r="B17" s="138" t="str">
        <f>COVER!T15</f>
        <v>Russell J. Rumbold II, CPA</v>
      </c>
    </row>
    <row r="18" spans="1:2" x14ac:dyDescent="0.2">
      <c r="A18" t="s">
        <v>1212</v>
      </c>
      <c r="B18" s="138" t="str">
        <f>COVER!T17</f>
        <v>4200 N Knoxville Ave</v>
      </c>
    </row>
    <row r="19" spans="1:2" x14ac:dyDescent="0.2">
      <c r="A19" t="s">
        <v>941</v>
      </c>
      <c r="B19" s="138" t="str">
        <f>COVER!T25</f>
        <v>rrumbold@gorenzcpa.com</v>
      </c>
    </row>
    <row r="20" spans="1:2" x14ac:dyDescent="0.2">
      <c r="A20" t="s">
        <v>942</v>
      </c>
      <c r="B20" s="138" t="str">
        <f>COVER!T19</f>
        <v>Peoria</v>
      </c>
    </row>
    <row r="21" spans="1:2" x14ac:dyDescent="0.2">
      <c r="A21" t="s">
        <v>500</v>
      </c>
      <c r="B21" s="138" t="str">
        <f>COVER!X19</f>
        <v>IL</v>
      </c>
    </row>
    <row r="22" spans="1:2" x14ac:dyDescent="0.2">
      <c r="A22" t="s">
        <v>943</v>
      </c>
      <c r="B22" s="138">
        <f>COVER!Z19</f>
        <v>61614</v>
      </c>
    </row>
    <row r="23" spans="1:2" x14ac:dyDescent="0.2">
      <c r="A23" t="s">
        <v>1214</v>
      </c>
      <c r="B23" s="138" t="str">
        <f>COVER!T21</f>
        <v>309-685-7621</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Yes</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Yes</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Yes</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35431</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2888508</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4650629</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145</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337717</v>
      </c>
      <c r="C91" s="2" t="s">
        <v>594</v>
      </c>
      <c r="D91" s="2" t="str">
        <f t="shared" si="0"/>
        <v>Error?</v>
      </c>
    </row>
    <row r="92" spans="1:4" x14ac:dyDescent="0.2">
      <c r="A92" s="5">
        <v>31</v>
      </c>
      <c r="B92" s="138">
        <f>'Assets-Liab 5-6'!C39</f>
        <v>4312912</v>
      </c>
      <c r="D92" s="2" t="str">
        <f t="shared" si="0"/>
        <v>Error?</v>
      </c>
    </row>
    <row r="93" spans="1:4" x14ac:dyDescent="0.2">
      <c r="A93" s="5">
        <v>32</v>
      </c>
      <c r="B93" s="138">
        <f>'Assets-Liab 5-6'!C41</f>
        <v>4650629</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2464208</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2498142</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28654</v>
      </c>
      <c r="C122" s="2" t="s">
        <v>594</v>
      </c>
      <c r="D122" s="2" t="str">
        <f t="shared" si="0"/>
        <v>Error?</v>
      </c>
    </row>
    <row r="123" spans="1:4" x14ac:dyDescent="0.2">
      <c r="A123" s="5">
        <v>62</v>
      </c>
      <c r="B123" s="138">
        <f>'Assets-Liab 5-6'!D39</f>
        <v>2469488</v>
      </c>
      <c r="D123" s="2" t="str">
        <f t="shared" si="0"/>
        <v>Error?</v>
      </c>
    </row>
    <row r="124" spans="1:4" x14ac:dyDescent="0.2">
      <c r="A124" s="5">
        <v>63</v>
      </c>
      <c r="B124" s="138">
        <f>'Assets-Liab 5-6'!D41</f>
        <v>2498142</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60719</v>
      </c>
      <c r="D129" s="2" t="str">
        <f t="shared" si="1"/>
        <v>Error?</v>
      </c>
    </row>
    <row r="130" spans="1:4" x14ac:dyDescent="0.2">
      <c r="A130" s="5">
        <v>69</v>
      </c>
      <c r="B130" s="138">
        <f>'Assets-Liab 5-6'!E12</f>
        <v>0</v>
      </c>
      <c r="D130" s="2" t="str">
        <f t="shared" si="1"/>
        <v>Error?</v>
      </c>
    </row>
    <row r="131" spans="1:4" x14ac:dyDescent="0.2">
      <c r="A131" s="5">
        <v>70</v>
      </c>
      <c r="B131" s="138">
        <f>'Assets-Liab 5-6'!E13</f>
        <v>314854</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314854</v>
      </c>
      <c r="D140" s="2" t="str">
        <f t="shared" si="1"/>
        <v>Error?</v>
      </c>
    </row>
    <row r="141" spans="1:4" x14ac:dyDescent="0.2">
      <c r="A141" s="5">
        <v>80</v>
      </c>
      <c r="B141" s="138">
        <f>'Assets-Liab 5-6'!E41</f>
        <v>314854</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813802</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818666</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24042</v>
      </c>
      <c r="C169" s="2" t="s">
        <v>594</v>
      </c>
      <c r="D169" s="2" t="str">
        <f t="shared" si="1"/>
        <v>Error?</v>
      </c>
    </row>
    <row r="170" spans="1:4" x14ac:dyDescent="0.2">
      <c r="A170" s="5">
        <v>109</v>
      </c>
      <c r="B170" s="138">
        <f>'Assets-Liab 5-6'!F39</f>
        <v>794624</v>
      </c>
      <c r="D170" s="2" t="str">
        <f t="shared" si="1"/>
        <v>Error?</v>
      </c>
    </row>
    <row r="171" spans="1:4" x14ac:dyDescent="0.2">
      <c r="A171" s="5">
        <v>110</v>
      </c>
      <c r="B171" s="138">
        <f>'Assets-Liab 5-6'!F41</f>
        <v>818666</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1410658</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1414544</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935350</v>
      </c>
      <c r="D189" s="2" t="str">
        <f t="shared" si="1"/>
        <v>Error?</v>
      </c>
    </row>
    <row r="190" spans="1:4" x14ac:dyDescent="0.2">
      <c r="A190" s="5">
        <v>129</v>
      </c>
      <c r="B190" s="138">
        <f>'Assets-Liab 5-6'!G41</f>
        <v>1414544</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14655056</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14679030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1041876</v>
      </c>
      <c r="C211" s="2" t="s">
        <v>594</v>
      </c>
      <c r="D211" s="2" t="str">
        <f t="shared" si="2"/>
        <v>Error?</v>
      </c>
    </row>
    <row r="212" spans="1:4" x14ac:dyDescent="0.2">
      <c r="A212" s="5">
        <v>151</v>
      </c>
      <c r="B212" s="138">
        <f>'Assets-Liab 5-6'!H39</f>
        <v>13637154</v>
      </c>
      <c r="D212" s="2" t="str">
        <f t="shared" si="2"/>
        <v>Error?</v>
      </c>
    </row>
    <row r="213" spans="1:4" x14ac:dyDescent="0.2">
      <c r="A213" s="12">
        <v>152</v>
      </c>
      <c r="B213" s="138">
        <f>'Assets-Liab 5-6'!H41</f>
        <v>14679030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3731918</v>
      </c>
      <c r="D273" s="2" t="str">
        <f t="shared" si="3"/>
        <v>Error?</v>
      </c>
    </row>
    <row r="274" spans="1:4" x14ac:dyDescent="0.2">
      <c r="A274" s="5">
        <v>213</v>
      </c>
      <c r="B274" s="138">
        <f>'Assets-Liab 5-6'!M17</f>
        <v>33972817</v>
      </c>
      <c r="D274" s="2" t="str">
        <f t="shared" si="3"/>
        <v>Error?</v>
      </c>
    </row>
    <row r="275" spans="1:4" x14ac:dyDescent="0.2">
      <c r="A275" s="5">
        <v>214</v>
      </c>
      <c r="B275" s="138">
        <f>'Assets-Liab 5-6'!M18</f>
        <v>3388536</v>
      </c>
      <c r="D275" s="2" t="str">
        <f t="shared" si="3"/>
        <v>Error?</v>
      </c>
    </row>
    <row r="276" spans="1:4" x14ac:dyDescent="0.2">
      <c r="A276" s="5">
        <v>215</v>
      </c>
      <c r="B276" s="138">
        <f>'Assets-Liab 5-6'!M19</f>
        <v>2367076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51172748</v>
      </c>
      <c r="C279" s="2" t="s">
        <v>594</v>
      </c>
      <c r="D279" s="2" t="str">
        <f t="shared" si="3"/>
        <v>Error?</v>
      </c>
    </row>
    <row r="280" spans="1:4" x14ac:dyDescent="0.2">
      <c r="A280" s="5">
        <v>219</v>
      </c>
      <c r="B280" s="138">
        <f>'Assets-Liab 5-6'!M40</f>
        <v>51172748</v>
      </c>
      <c r="D280" s="2" t="str">
        <f t="shared" si="3"/>
        <v>Error?</v>
      </c>
    </row>
    <row r="281" spans="1:4" x14ac:dyDescent="0.2">
      <c r="A281" s="5">
        <v>220</v>
      </c>
      <c r="B281" s="138">
        <f>'Assets-Liab 5-6'!M41</f>
        <v>51172748</v>
      </c>
      <c r="C281" s="2" t="s">
        <v>594</v>
      </c>
      <c r="D281" s="2" t="str">
        <f t="shared" si="3"/>
        <v>Error?</v>
      </c>
    </row>
    <row r="282" spans="1:4" x14ac:dyDescent="0.2">
      <c r="A282" s="5">
        <v>221</v>
      </c>
      <c r="B282" s="138">
        <f>'Assets-Liab 5-6'!N21</f>
        <v>314854</v>
      </c>
      <c r="D282" s="2" t="str">
        <f t="shared" si="3"/>
        <v>Error?</v>
      </c>
    </row>
    <row r="283" spans="1:4" x14ac:dyDescent="0.2">
      <c r="A283" s="5">
        <v>222</v>
      </c>
      <c r="B283" s="138">
        <f>'Assets-Liab 5-6'!N22</f>
        <v>24090146</v>
      </c>
      <c r="D283" s="2" t="str">
        <f t="shared" si="3"/>
        <v>Error?</v>
      </c>
    </row>
    <row r="284" spans="1:4" x14ac:dyDescent="0.2">
      <c r="A284" s="5">
        <v>223</v>
      </c>
      <c r="B284" s="138">
        <f>'Assets-Liab 5-6'!N23</f>
        <v>24405000</v>
      </c>
      <c r="C284" s="2" t="s">
        <v>594</v>
      </c>
      <c r="D284" s="2" t="str">
        <f t="shared" si="3"/>
        <v>Error?</v>
      </c>
    </row>
    <row r="285" spans="1:4" x14ac:dyDescent="0.2">
      <c r="A285" s="5">
        <v>224</v>
      </c>
      <c r="B285" s="138">
        <f>'Assets-Liab 5-6'!N36</f>
        <v>24405000</v>
      </c>
      <c r="D285" s="2" t="str">
        <f t="shared" si="3"/>
        <v>Error?</v>
      </c>
    </row>
    <row r="286" spans="1:4" x14ac:dyDescent="0.2">
      <c r="A286" s="10">
        <v>225</v>
      </c>
      <c r="D286" s="2" t="str">
        <f t="shared" si="3"/>
        <v>OK</v>
      </c>
    </row>
    <row r="287" spans="1:4" x14ac:dyDescent="0.2">
      <c r="A287" s="5">
        <v>226</v>
      </c>
      <c r="B287" s="138">
        <f>'Assets-Liab 5-6'!N37</f>
        <v>24405000</v>
      </c>
      <c r="C287" s="2" t="s">
        <v>594</v>
      </c>
      <c r="D287" s="2" t="str">
        <f t="shared" si="3"/>
        <v>Error?</v>
      </c>
    </row>
    <row r="288" spans="1:4" x14ac:dyDescent="0.2">
      <c r="A288" s="5">
        <v>227</v>
      </c>
      <c r="B288" s="138">
        <f>'Assets-Liab 5-6'!N41</f>
        <v>24405000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202757</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17215000</v>
      </c>
      <c r="D618" s="2" t="str">
        <f t="shared" si="8"/>
        <v>Error?</v>
      </c>
    </row>
    <row r="619" spans="1:4" x14ac:dyDescent="0.2">
      <c r="A619" s="5">
        <v>558</v>
      </c>
      <c r="B619" s="138">
        <f>'Acct Summary 7-8'!H34</f>
        <v>591954</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3000000</v>
      </c>
      <c r="D651" s="2" t="str">
        <f t="shared" si="9"/>
        <v>Error?</v>
      </c>
    </row>
    <row r="652" spans="1:4" x14ac:dyDescent="0.2">
      <c r="A652" s="5">
        <v>591</v>
      </c>
      <c r="B652" s="138">
        <f>'Acct Summary 7-8'!I34</f>
        <v>3744</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6886282</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853648</v>
      </c>
      <c r="D717" s="2" t="str">
        <f t="shared" si="10"/>
        <v>Error?</v>
      </c>
    </row>
    <row r="718" spans="1:4" x14ac:dyDescent="0.2">
      <c r="A718" s="5">
        <v>657</v>
      </c>
      <c r="B718" s="138">
        <f>'Expenditures 15-22'!C14</f>
        <v>421029</v>
      </c>
      <c r="D718" s="2" t="str">
        <f t="shared" si="10"/>
        <v>Error?</v>
      </c>
    </row>
    <row r="719" spans="1:4" x14ac:dyDescent="0.2">
      <c r="A719" s="5">
        <v>658</v>
      </c>
      <c r="B719" s="138">
        <f>'Expenditures 15-22'!C15</f>
        <v>26621</v>
      </c>
      <c r="D719" s="2" t="str">
        <f t="shared" si="10"/>
        <v>Error?</v>
      </c>
    </row>
    <row r="720" spans="1:4" x14ac:dyDescent="0.2">
      <c r="A720" s="5">
        <v>659</v>
      </c>
      <c r="B720" s="138">
        <f>'Expenditures 15-22'!C33</f>
        <v>9718326</v>
      </c>
      <c r="C720" s="2" t="s">
        <v>594</v>
      </c>
      <c r="D720" s="2" t="str">
        <f t="shared" si="10"/>
        <v>Error?</v>
      </c>
    </row>
    <row r="721" spans="1:4" x14ac:dyDescent="0.2">
      <c r="A721" s="5">
        <v>660</v>
      </c>
      <c r="B721" s="138">
        <f>'Expenditures 15-22'!C36</f>
        <v>263786</v>
      </c>
      <c r="D721" s="2" t="str">
        <f t="shared" si="10"/>
        <v>Error?</v>
      </c>
    </row>
    <row r="722" spans="1:4" x14ac:dyDescent="0.2">
      <c r="A722" s="5">
        <v>661</v>
      </c>
      <c r="B722" s="138">
        <f>'Expenditures 15-22'!C37</f>
        <v>713537</v>
      </c>
      <c r="D722" s="2" t="str">
        <f t="shared" si="10"/>
        <v>Error?</v>
      </c>
    </row>
    <row r="723" spans="1:4" x14ac:dyDescent="0.2">
      <c r="A723" s="5">
        <v>662</v>
      </c>
      <c r="B723" s="138">
        <f>'Expenditures 15-22'!C38</f>
        <v>135194</v>
      </c>
      <c r="D723" s="2" t="str">
        <f t="shared" si="10"/>
        <v>Error?</v>
      </c>
    </row>
    <row r="724" spans="1:4" x14ac:dyDescent="0.2">
      <c r="A724" s="5">
        <v>663</v>
      </c>
      <c r="B724" s="138">
        <f>'Expenditures 15-22'!C39</f>
        <v>184808</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1297325</v>
      </c>
      <c r="C727" s="2" t="s">
        <v>594</v>
      </c>
      <c r="D727" s="2" t="str">
        <f t="shared" si="10"/>
        <v>Error?</v>
      </c>
    </row>
    <row r="728" spans="1:4" x14ac:dyDescent="0.2">
      <c r="A728" s="5">
        <v>667</v>
      </c>
      <c r="B728" s="138">
        <f>'Expenditures 15-22'!C44</f>
        <v>6607</v>
      </c>
      <c r="D728" s="2" t="str">
        <f t="shared" si="10"/>
        <v>Error?</v>
      </c>
    </row>
    <row r="729" spans="1:4" x14ac:dyDescent="0.2">
      <c r="A729" s="5">
        <v>668</v>
      </c>
      <c r="B729" s="138">
        <f>'Expenditures 15-22'!C45</f>
        <v>130126</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136733</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467236</v>
      </c>
      <c r="D733" s="2" t="str">
        <f t="shared" si="10"/>
        <v>Error?</v>
      </c>
    </row>
    <row r="734" spans="1:4" x14ac:dyDescent="0.2">
      <c r="A734" s="5">
        <v>673</v>
      </c>
      <c r="B734" s="138">
        <f>'Expenditures 15-22'!C53</f>
        <v>467236</v>
      </c>
      <c r="C734" s="2" t="s">
        <v>594</v>
      </c>
      <c r="D734" s="2" t="str">
        <f t="shared" si="10"/>
        <v>Error?</v>
      </c>
    </row>
    <row r="735" spans="1:4" x14ac:dyDescent="0.2">
      <c r="A735" s="5">
        <v>674</v>
      </c>
      <c r="B735" s="138">
        <f>'Expenditures 15-22'!C55</f>
        <v>764356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764356</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103387</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245580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348967</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196194</v>
      </c>
      <c r="D751" s="2" t="str">
        <f t="shared" si="10"/>
        <v>Error?</v>
      </c>
    </row>
    <row r="752" spans="1:4" x14ac:dyDescent="0.2">
      <c r="A752" s="10">
        <v>691</v>
      </c>
      <c r="D752" s="2" t="str">
        <f t="shared" si="10"/>
        <v>OK</v>
      </c>
    </row>
    <row r="753" spans="1:4" x14ac:dyDescent="0.2">
      <c r="A753" s="5">
        <v>692</v>
      </c>
      <c r="B753" s="138">
        <f>'Expenditures 15-22'!C72</f>
        <v>196194</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3210811</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12929137</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2668767</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368628</v>
      </c>
      <c r="D775" s="2" t="str">
        <f t="shared" si="11"/>
        <v>Error?</v>
      </c>
    </row>
    <row r="776" spans="1:4" x14ac:dyDescent="0.2">
      <c r="A776" s="5">
        <v>715</v>
      </c>
      <c r="B776" s="138">
        <f>'Expenditures 15-22'!D14</f>
        <v>95641</v>
      </c>
      <c r="D776" s="2" t="str">
        <f t="shared" si="11"/>
        <v>Error?</v>
      </c>
    </row>
    <row r="777" spans="1:4" x14ac:dyDescent="0.2">
      <c r="A777" s="5">
        <v>716</v>
      </c>
      <c r="B777" s="138">
        <f>'Expenditures 15-22'!D15</f>
        <v>4776</v>
      </c>
      <c r="D777" s="2" t="str">
        <f t="shared" si="11"/>
        <v>Error?</v>
      </c>
    </row>
    <row r="778" spans="1:4" x14ac:dyDescent="0.2">
      <c r="A778" s="5">
        <v>717</v>
      </c>
      <c r="B778" s="138">
        <f>'Expenditures 15-22'!D33</f>
        <v>3948636</v>
      </c>
      <c r="C778" s="2" t="s">
        <v>594</v>
      </c>
      <c r="D778" s="2" t="str">
        <f t="shared" si="11"/>
        <v>Error?</v>
      </c>
    </row>
    <row r="779" spans="1:4" x14ac:dyDescent="0.2">
      <c r="A779" s="5">
        <v>718</v>
      </c>
      <c r="B779" s="138">
        <f>'Expenditures 15-22'!D36</f>
        <v>97686</v>
      </c>
      <c r="D779" s="2" t="str">
        <f t="shared" si="11"/>
        <v>Error?</v>
      </c>
    </row>
    <row r="780" spans="1:4" x14ac:dyDescent="0.2">
      <c r="A780" s="5">
        <v>719</v>
      </c>
      <c r="B780" s="138">
        <f>'Expenditures 15-22'!D37</f>
        <v>293135</v>
      </c>
      <c r="D780" s="2" t="str">
        <f t="shared" si="11"/>
        <v>Error?</v>
      </c>
    </row>
    <row r="781" spans="1:4" x14ac:dyDescent="0.2">
      <c r="A781" s="5">
        <v>720</v>
      </c>
      <c r="B781" s="138">
        <f>'Expenditures 15-22'!D38</f>
        <v>80691</v>
      </c>
      <c r="D781" s="2" t="str">
        <f t="shared" si="11"/>
        <v>Error?</v>
      </c>
    </row>
    <row r="782" spans="1:4" x14ac:dyDescent="0.2">
      <c r="A782" s="5">
        <v>721</v>
      </c>
      <c r="B782" s="138">
        <f>'Expenditures 15-22'!D39</f>
        <v>87628</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559140</v>
      </c>
      <c r="C785" s="2" t="s">
        <v>594</v>
      </c>
      <c r="D785" s="2" t="str">
        <f t="shared" si="11"/>
        <v>Error?</v>
      </c>
    </row>
    <row r="786" spans="1:4" x14ac:dyDescent="0.2">
      <c r="A786" s="5">
        <v>725</v>
      </c>
      <c r="B786" s="138">
        <f>'Expenditures 15-22'!D44</f>
        <v>956</v>
      </c>
      <c r="D786" s="2" t="str">
        <f t="shared" si="11"/>
        <v>Error?</v>
      </c>
    </row>
    <row r="787" spans="1:4" x14ac:dyDescent="0.2">
      <c r="A787" s="5">
        <v>726</v>
      </c>
      <c r="B787" s="138">
        <f>'Expenditures 15-22'!D45</f>
        <v>25918</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26874</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163069</v>
      </c>
      <c r="D791" s="2" t="str">
        <f t="shared" si="11"/>
        <v>Error?</v>
      </c>
    </row>
    <row r="792" spans="1:4" x14ac:dyDescent="0.2">
      <c r="A792" s="5">
        <v>731</v>
      </c>
      <c r="B792" s="138">
        <f>'Expenditures 15-22'!D53</f>
        <v>163069</v>
      </c>
      <c r="C792" s="2" t="s">
        <v>594</v>
      </c>
      <c r="D792" s="2" t="str">
        <f t="shared" si="11"/>
        <v>Error?</v>
      </c>
    </row>
    <row r="793" spans="1:4" x14ac:dyDescent="0.2">
      <c r="A793" s="5">
        <v>732</v>
      </c>
      <c r="B793" s="138">
        <f>'Expenditures 15-22'!D55</f>
        <v>413609</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413609</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61956</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116295</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178251</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65399</v>
      </c>
      <c r="D809" s="2" t="str">
        <f t="shared" si="11"/>
        <v>Error?</v>
      </c>
    </row>
    <row r="810" spans="1:4" x14ac:dyDescent="0.2">
      <c r="A810" s="10">
        <v>749</v>
      </c>
      <c r="D810" s="2" t="str">
        <f t="shared" si="11"/>
        <v>OK</v>
      </c>
    </row>
    <row r="811" spans="1:4" x14ac:dyDescent="0.2">
      <c r="A811" s="5">
        <v>750</v>
      </c>
      <c r="B811" s="138">
        <f>'Expenditures 15-22'!D72</f>
        <v>65399</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1406342</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5354978</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567376</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126046</v>
      </c>
      <c r="D834" s="2" t="str">
        <f t="shared" si="12"/>
        <v>Error?</v>
      </c>
    </row>
    <row r="835" spans="1:4" x14ac:dyDescent="0.2">
      <c r="A835" s="5">
        <v>774</v>
      </c>
      <c r="B835" s="138">
        <f>'Expenditures 15-22'!E15</f>
        <v>0</v>
      </c>
      <c r="D835" s="2" t="str">
        <f t="shared" si="12"/>
        <v>Error?</v>
      </c>
    </row>
    <row r="836" spans="1:4" x14ac:dyDescent="0.2">
      <c r="A836" s="5">
        <v>775</v>
      </c>
      <c r="B836" s="138">
        <f>'Expenditures 15-22'!E33</f>
        <v>814235</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564</v>
      </c>
      <c r="D838" s="2" t="str">
        <f t="shared" si="12"/>
        <v>Error?</v>
      </c>
    </row>
    <row r="839" spans="1:4" x14ac:dyDescent="0.2">
      <c r="A839" s="5">
        <v>778</v>
      </c>
      <c r="B839" s="138">
        <f>'Expenditures 15-22'!E38</f>
        <v>161</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725</v>
      </c>
      <c r="C843" s="2" t="s">
        <v>594</v>
      </c>
      <c r="D843" s="2" t="str">
        <f t="shared" si="12"/>
        <v>Error?</v>
      </c>
    </row>
    <row r="844" spans="1:4" x14ac:dyDescent="0.2">
      <c r="A844" s="5">
        <v>783</v>
      </c>
      <c r="B844" s="138">
        <f>'Expenditures 15-22'!E44</f>
        <v>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0</v>
      </c>
      <c r="C847" s="2" t="s">
        <v>594</v>
      </c>
      <c r="D847" s="2" t="str">
        <f t="shared" si="12"/>
        <v>Error?</v>
      </c>
    </row>
    <row r="848" spans="1:4" x14ac:dyDescent="0.2">
      <c r="A848" s="5">
        <v>787</v>
      </c>
      <c r="B848" s="138">
        <f>'Expenditures 15-22'!E49</f>
        <v>256818</v>
      </c>
      <c r="D848" s="2" t="str">
        <f t="shared" si="12"/>
        <v>Error?</v>
      </c>
    </row>
    <row r="849" spans="1:4" x14ac:dyDescent="0.2">
      <c r="A849" s="5">
        <v>788</v>
      </c>
      <c r="B849" s="138">
        <f>'Expenditures 15-22'!E50</f>
        <v>25620</v>
      </c>
      <c r="D849" s="2" t="str">
        <f t="shared" si="12"/>
        <v>Error?</v>
      </c>
    </row>
    <row r="850" spans="1:4" x14ac:dyDescent="0.2">
      <c r="A850" s="5">
        <v>789</v>
      </c>
      <c r="B850" s="138">
        <f>'Expenditures 15-22'!E53</f>
        <v>282438</v>
      </c>
      <c r="C850" s="2" t="s">
        <v>594</v>
      </c>
      <c r="D850" s="2" t="str">
        <f t="shared" si="12"/>
        <v>Error?</v>
      </c>
    </row>
    <row r="851" spans="1:4" x14ac:dyDescent="0.2">
      <c r="A851" s="5">
        <v>790</v>
      </c>
      <c r="B851" s="138">
        <f>'Expenditures 15-22'!E55</f>
        <v>3895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3895</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206417</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1669</v>
      </c>
      <c r="D858" s="2" t="str">
        <f t="shared" si="12"/>
        <v>Error?</v>
      </c>
    </row>
    <row r="859" spans="1:4" x14ac:dyDescent="0.2">
      <c r="A859" s="5">
        <v>798</v>
      </c>
      <c r="B859" s="138">
        <f>'Expenditures 15-22'!E64</f>
        <v>24755</v>
      </c>
      <c r="D859" s="2" t="str">
        <f t="shared" si="12"/>
        <v>Error?</v>
      </c>
    </row>
    <row r="860" spans="1:4" x14ac:dyDescent="0.2">
      <c r="A860" s="10">
        <v>799</v>
      </c>
      <c r="D860" s="2" t="str">
        <f t="shared" si="12"/>
        <v>OK</v>
      </c>
    </row>
    <row r="861" spans="1:4" x14ac:dyDescent="0.2">
      <c r="A861" s="5">
        <v>800</v>
      </c>
      <c r="B861" s="138">
        <f>'Expenditures 15-22'!E65</f>
        <v>232841</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10202</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12542</v>
      </c>
      <c r="D867" s="2" t="str">
        <f t="shared" si="12"/>
        <v>Error?</v>
      </c>
    </row>
    <row r="868" spans="1:4" x14ac:dyDescent="0.2">
      <c r="A868" s="10">
        <v>807</v>
      </c>
      <c r="D868" s="2" t="str">
        <f t="shared" si="12"/>
        <v>OK</v>
      </c>
    </row>
    <row r="869" spans="1:4" x14ac:dyDescent="0.2">
      <c r="A869" s="5">
        <v>808</v>
      </c>
      <c r="B869" s="138">
        <f>'Expenditures 15-22'!E72</f>
        <v>22744</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542643</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1356878</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527129</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50982</v>
      </c>
      <c r="D891" s="2" t="str">
        <f t="shared" si="12"/>
        <v>Error?</v>
      </c>
    </row>
    <row r="892" spans="1:4" x14ac:dyDescent="0.2">
      <c r="A892" s="5">
        <v>831</v>
      </c>
      <c r="B892" s="138">
        <f>'Expenditures 15-22'!F14</f>
        <v>16938</v>
      </c>
      <c r="D892" s="2" t="str">
        <f t="shared" si="12"/>
        <v>Error?</v>
      </c>
    </row>
    <row r="893" spans="1:4" x14ac:dyDescent="0.2">
      <c r="A893" s="5">
        <v>832</v>
      </c>
      <c r="B893" s="138">
        <f>'Expenditures 15-22'!F15</f>
        <v>110</v>
      </c>
      <c r="D893" s="2" t="str">
        <f t="shared" si="12"/>
        <v>Error?</v>
      </c>
    </row>
    <row r="894" spans="1:4" x14ac:dyDescent="0.2">
      <c r="A894" s="5">
        <v>833</v>
      </c>
      <c r="B894" s="138">
        <f>'Expenditures 15-22'!F33</f>
        <v>603842</v>
      </c>
      <c r="C894" s="2" t="s">
        <v>594</v>
      </c>
      <c r="D894" s="2" t="str">
        <f t="shared" si="12"/>
        <v>Error?</v>
      </c>
    </row>
    <row r="895" spans="1:4" x14ac:dyDescent="0.2">
      <c r="A895" s="5">
        <v>834</v>
      </c>
      <c r="B895" s="138">
        <f>'Expenditures 15-22'!F36</f>
        <v>222</v>
      </c>
      <c r="D895" s="2" t="str">
        <f t="shared" ref="D895:D958" si="13">IF(ISBLANK(B895),"OK",IF(A895-B895=0,"OK","Error?"))</f>
        <v>Error?</v>
      </c>
    </row>
    <row r="896" spans="1:4" x14ac:dyDescent="0.2">
      <c r="A896" s="5">
        <v>835</v>
      </c>
      <c r="B896" s="138">
        <f>'Expenditures 15-22'!F37</f>
        <v>139626</v>
      </c>
      <c r="D896" s="2" t="str">
        <f t="shared" si="13"/>
        <v>Error?</v>
      </c>
    </row>
    <row r="897" spans="1:4" x14ac:dyDescent="0.2">
      <c r="A897" s="5">
        <v>836</v>
      </c>
      <c r="B897" s="138">
        <f>'Expenditures 15-22'!F38</f>
        <v>123</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139971</v>
      </c>
      <c r="C901" s="2" t="s">
        <v>594</v>
      </c>
      <c r="D901" s="2" t="str">
        <f t="shared" si="13"/>
        <v>Error?</v>
      </c>
    </row>
    <row r="902" spans="1:4" x14ac:dyDescent="0.2">
      <c r="A902" s="5">
        <v>841</v>
      </c>
      <c r="B902" s="138">
        <f>'Expenditures 15-22'!F44</f>
        <v>1445</v>
      </c>
      <c r="D902" s="2" t="str">
        <f t="shared" si="13"/>
        <v>Error?</v>
      </c>
    </row>
    <row r="903" spans="1:4" x14ac:dyDescent="0.2">
      <c r="A903" s="5">
        <v>842</v>
      </c>
      <c r="B903" s="138">
        <f>'Expenditures 15-22'!F45</f>
        <v>14474</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15919</v>
      </c>
      <c r="C905" s="2" t="s">
        <v>594</v>
      </c>
      <c r="D905" s="2" t="str">
        <f t="shared" si="13"/>
        <v>Error?</v>
      </c>
    </row>
    <row r="906" spans="1:4" x14ac:dyDescent="0.2">
      <c r="A906" s="5">
        <v>845</v>
      </c>
      <c r="B906" s="138">
        <f>'Expenditures 15-22'!F49</f>
        <v>1898</v>
      </c>
      <c r="D906" s="2" t="str">
        <f t="shared" si="13"/>
        <v>Error?</v>
      </c>
    </row>
    <row r="907" spans="1:4" x14ac:dyDescent="0.2">
      <c r="A907" s="5">
        <v>846</v>
      </c>
      <c r="B907" s="138">
        <f>'Expenditures 15-22'!F50</f>
        <v>4885</v>
      </c>
      <c r="D907" s="2" t="str">
        <f t="shared" si="13"/>
        <v>Error?</v>
      </c>
    </row>
    <row r="908" spans="1:4" x14ac:dyDescent="0.2">
      <c r="A908" s="5">
        <v>847</v>
      </c>
      <c r="B908" s="138">
        <f>'Expenditures 15-22'!F53</f>
        <v>6783</v>
      </c>
      <c r="C908" s="2" t="s">
        <v>594</v>
      </c>
      <c r="D908" s="2" t="str">
        <f t="shared" si="13"/>
        <v>Error?</v>
      </c>
    </row>
    <row r="909" spans="1:4" x14ac:dyDescent="0.2">
      <c r="A909" s="5">
        <v>848</v>
      </c>
      <c r="B909" s="138">
        <f>'Expenditures 15-22'!F55</f>
        <v>3595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3595</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629</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394859</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395488</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140469</v>
      </c>
      <c r="D925" s="2" t="str">
        <f t="shared" si="13"/>
        <v>Error?</v>
      </c>
    </row>
    <row r="926" spans="1:4" x14ac:dyDescent="0.2">
      <c r="A926" s="10">
        <v>865</v>
      </c>
      <c r="D926" s="2" t="str">
        <f t="shared" si="13"/>
        <v>OK</v>
      </c>
    </row>
    <row r="927" spans="1:4" x14ac:dyDescent="0.2">
      <c r="A927" s="5">
        <v>866</v>
      </c>
      <c r="B927" s="138">
        <f>'Expenditures 15-22'!F72</f>
        <v>140469</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702225</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1306067</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33394</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1000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34394</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1489</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1489</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21338</v>
      </c>
      <c r="D983" s="2" t="str">
        <f t="shared" si="14"/>
        <v>Error?</v>
      </c>
    </row>
    <row r="984" spans="1:4" x14ac:dyDescent="0.2">
      <c r="A984" s="10">
        <v>923</v>
      </c>
      <c r="D984" s="2" t="str">
        <f t="shared" si="14"/>
        <v>OK</v>
      </c>
    </row>
    <row r="985" spans="1:4" x14ac:dyDescent="0.2">
      <c r="A985" s="5">
        <v>924</v>
      </c>
      <c r="B985" s="138">
        <f>'Expenditures 15-22'!G72</f>
        <v>21338</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22827</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57221</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1584</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16191</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715367</v>
      </c>
      <c r="C1010" s="2" t="s">
        <v>594</v>
      </c>
      <c r="D1010" s="2" t="str">
        <f t="shared" si="14"/>
        <v>Error?</v>
      </c>
    </row>
    <row r="1011" spans="1:4" x14ac:dyDescent="0.2">
      <c r="A1011" s="5">
        <v>950</v>
      </c>
      <c r="B1011" s="138">
        <f>'Expenditures 15-22'!H36</f>
        <v>99</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350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449</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197</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197</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499</v>
      </c>
      <c r="D1023" s="2" t="str">
        <f t="shared" ref="D1023:D1086" si="15">IF(ISBLANK(B1023),"OK",IF(A1023-B1023=0,"OK","Error?"))</f>
        <v>Error?</v>
      </c>
    </row>
    <row r="1024" spans="1:4" x14ac:dyDescent="0.2">
      <c r="A1024" s="5">
        <v>963</v>
      </c>
      <c r="B1024" s="138">
        <f>'Expenditures 15-22'!H53</f>
        <v>499</v>
      </c>
      <c r="C1024" s="2" t="s">
        <v>594</v>
      </c>
      <c r="D1024" s="2" t="str">
        <f t="shared" si="15"/>
        <v>Error?</v>
      </c>
    </row>
    <row r="1025" spans="1:4" x14ac:dyDescent="0.2">
      <c r="A1025" s="5">
        <v>964</v>
      </c>
      <c r="B1025" s="138">
        <f>'Expenditures 15-22'!H55</f>
        <v>2165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2165</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3310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174752</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893429</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10684532</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1274258</v>
      </c>
      <c r="C1105" s="2" t="s">
        <v>594</v>
      </c>
      <c r="D1105" s="2" t="str">
        <f t="shared" si="16"/>
        <v>Error?</v>
      </c>
    </row>
    <row r="1106" spans="1:4" x14ac:dyDescent="0.2">
      <c r="A1106" s="5">
        <v>1045</v>
      </c>
      <c r="B1106" s="138">
        <f>'Expenditures 15-22'!K14</f>
        <v>675845</v>
      </c>
      <c r="C1106" s="2" t="s">
        <v>594</v>
      </c>
      <c r="D1106" s="2" t="str">
        <f t="shared" si="16"/>
        <v>Error?</v>
      </c>
    </row>
    <row r="1107" spans="1:4" x14ac:dyDescent="0.2">
      <c r="A1107" s="5">
        <v>1046</v>
      </c>
      <c r="B1107" s="138">
        <f>'Expenditures 15-22'!K15</f>
        <v>31507</v>
      </c>
      <c r="C1107" s="2" t="s">
        <v>594</v>
      </c>
      <c r="D1107" s="2" t="str">
        <f t="shared" si="16"/>
        <v>Error?</v>
      </c>
    </row>
    <row r="1108" spans="1:4" x14ac:dyDescent="0.2">
      <c r="A1108" s="5">
        <v>1047</v>
      </c>
      <c r="B1108" s="138">
        <f>'Expenditures 15-22'!K33</f>
        <v>15834800</v>
      </c>
      <c r="C1108" s="2" t="s">
        <v>594</v>
      </c>
      <c r="D1108" s="2" t="str">
        <f t="shared" si="16"/>
        <v>Error?</v>
      </c>
    </row>
    <row r="1109" spans="1:4" x14ac:dyDescent="0.2">
      <c r="A1109" s="5">
        <v>1048</v>
      </c>
      <c r="B1109" s="138">
        <f>'Expenditures 15-22'!K36</f>
        <v>361793</v>
      </c>
      <c r="C1109" s="2" t="s">
        <v>594</v>
      </c>
      <c r="D1109" s="2" t="str">
        <f t="shared" si="16"/>
        <v>Error?</v>
      </c>
    </row>
    <row r="1110" spans="1:4" x14ac:dyDescent="0.2">
      <c r="A1110" s="5">
        <v>1049</v>
      </c>
      <c r="B1110" s="138">
        <f>'Expenditures 15-22'!K37</f>
        <v>1146862</v>
      </c>
      <c r="C1110" s="2" t="s">
        <v>594</v>
      </c>
      <c r="D1110" s="2" t="str">
        <f t="shared" si="16"/>
        <v>Error?</v>
      </c>
    </row>
    <row r="1111" spans="1:4" x14ac:dyDescent="0.2">
      <c r="A1111" s="5">
        <v>1050</v>
      </c>
      <c r="B1111" s="138">
        <f>'Expenditures 15-22'!K38</f>
        <v>216169</v>
      </c>
      <c r="C1111" s="2" t="s">
        <v>594</v>
      </c>
      <c r="D1111" s="2" t="str">
        <f t="shared" si="16"/>
        <v>Error?</v>
      </c>
    </row>
    <row r="1112" spans="1:4" x14ac:dyDescent="0.2">
      <c r="A1112" s="5">
        <v>1051</v>
      </c>
      <c r="B1112" s="138">
        <f>'Expenditures 15-22'!K39</f>
        <v>272786</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1997610</v>
      </c>
      <c r="C1115" s="2" t="s">
        <v>594</v>
      </c>
      <c r="D1115" s="2" t="str">
        <f t="shared" si="16"/>
        <v>Error?</v>
      </c>
    </row>
    <row r="1116" spans="1:4" x14ac:dyDescent="0.2">
      <c r="A1116" s="5">
        <v>1055</v>
      </c>
      <c r="B1116" s="138">
        <f>'Expenditures 15-22'!K44</f>
        <v>9008</v>
      </c>
      <c r="C1116" s="2" t="s">
        <v>594</v>
      </c>
      <c r="D1116" s="2" t="str">
        <f t="shared" si="16"/>
        <v>Error?</v>
      </c>
    </row>
    <row r="1117" spans="1:4" x14ac:dyDescent="0.2">
      <c r="A1117" s="5">
        <v>1056</v>
      </c>
      <c r="B1117" s="138">
        <f>'Expenditures 15-22'!K45</f>
        <v>170715</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179723</v>
      </c>
      <c r="C1119" s="2" t="s">
        <v>594</v>
      </c>
      <c r="D1119" s="2" t="str">
        <f t="shared" si="16"/>
        <v>Error?</v>
      </c>
    </row>
    <row r="1120" spans="1:4" x14ac:dyDescent="0.2">
      <c r="A1120" s="5">
        <v>1059</v>
      </c>
      <c r="B1120" s="138">
        <f>'Expenditures 15-22'!K49</f>
        <v>258716</v>
      </c>
      <c r="C1120" s="2" t="s">
        <v>594</v>
      </c>
      <c r="D1120" s="2" t="str">
        <f t="shared" si="16"/>
        <v>Error?</v>
      </c>
    </row>
    <row r="1121" spans="1:4" x14ac:dyDescent="0.2">
      <c r="A1121" s="5">
        <v>1060</v>
      </c>
      <c r="B1121" s="138">
        <f>'Expenditures 15-22'!K50</f>
        <v>661309</v>
      </c>
      <c r="C1121" s="2" t="s">
        <v>594</v>
      </c>
      <c r="D1121" s="2" t="str">
        <f t="shared" si="16"/>
        <v>Error?</v>
      </c>
    </row>
    <row r="1122" spans="1:4" x14ac:dyDescent="0.2">
      <c r="A1122" s="5">
        <v>1061</v>
      </c>
      <c r="B1122" s="138">
        <f>'Expenditures 15-22'!K53</f>
        <v>920025</v>
      </c>
      <c r="C1122" s="2" t="s">
        <v>594</v>
      </c>
      <c r="D1122" s="2" t="str">
        <f t="shared" si="16"/>
        <v>Error?</v>
      </c>
    </row>
    <row r="1123" spans="1:4" x14ac:dyDescent="0.2">
      <c r="A1123" s="5">
        <v>1062</v>
      </c>
      <c r="B1123" s="138">
        <f>'Expenditures 15-22'!K55</f>
        <v>1187620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1187620</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372389</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761679</v>
      </c>
      <c r="C1130" s="2" t="s">
        <v>594</v>
      </c>
      <c r="D1130" s="2" t="str">
        <f t="shared" si="16"/>
        <v>Error?</v>
      </c>
    </row>
    <row r="1131" spans="1:4" x14ac:dyDescent="0.2">
      <c r="A1131" s="5">
        <v>1070</v>
      </c>
      <c r="B1131" s="138">
        <f>'Expenditures 15-22'!K64</f>
        <v>24755</v>
      </c>
      <c r="C1131" s="2" t="s">
        <v>594</v>
      </c>
      <c r="D1131" s="2" t="str">
        <f t="shared" si="16"/>
        <v>Error?</v>
      </c>
    </row>
    <row r="1132" spans="1:4" x14ac:dyDescent="0.2">
      <c r="A1132" s="10">
        <v>1071</v>
      </c>
      <c r="D1132" s="2" t="str">
        <f t="shared" si="16"/>
        <v>OK</v>
      </c>
    </row>
    <row r="1133" spans="1:4" x14ac:dyDescent="0.2">
      <c r="A1133" s="5">
        <v>1072</v>
      </c>
      <c r="B1133" s="138">
        <f>'Expenditures 15-22'!K65</f>
        <v>1158823</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10202</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435942</v>
      </c>
      <c r="C1139" s="2" t="s">
        <v>594</v>
      </c>
      <c r="D1139" s="2" t="str">
        <f t="shared" si="16"/>
        <v>Error?</v>
      </c>
    </row>
    <row r="1140" spans="1:4" x14ac:dyDescent="0.2">
      <c r="A1140" s="10">
        <v>1079</v>
      </c>
      <c r="D1140" s="2" t="str">
        <f t="shared" si="16"/>
        <v>OK</v>
      </c>
    </row>
    <row r="1141" spans="1:4" x14ac:dyDescent="0.2">
      <c r="A1141" s="5">
        <v>1080</v>
      </c>
      <c r="B1141" s="138">
        <f>'Expenditures 15-22'!K72</f>
        <v>446144</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5889945</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174752</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21899497</v>
      </c>
      <c r="C1152" s="2" t="s">
        <v>594</v>
      </c>
      <c r="D1152" s="2" t="str">
        <f t="shared" si="17"/>
        <v>Error?</v>
      </c>
    </row>
    <row r="1153" spans="1:4" x14ac:dyDescent="0.2">
      <c r="A1153" s="5">
        <v>1092</v>
      </c>
      <c r="B1153" s="138">
        <f>'Expenditures 15-22'!K115</f>
        <v>262512</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749898</v>
      </c>
      <c r="D1221" s="2" t="str">
        <f t="shared" si="18"/>
        <v>Error?</v>
      </c>
    </row>
    <row r="1222" spans="1:4" x14ac:dyDescent="0.2">
      <c r="A1222" s="10">
        <v>1161</v>
      </c>
      <c r="D1222" s="2" t="str">
        <f t="shared" si="18"/>
        <v>OK</v>
      </c>
    </row>
    <row r="1223" spans="1:4" x14ac:dyDescent="0.2">
      <c r="A1223" s="5">
        <v>1162</v>
      </c>
      <c r="B1223" s="138">
        <f>'Expenditures 15-22'!C127</f>
        <v>749898</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749898</v>
      </c>
      <c r="C1225" s="2" t="s">
        <v>594</v>
      </c>
      <c r="D1225" s="2" t="str">
        <f t="shared" si="18"/>
        <v>Error?</v>
      </c>
    </row>
    <row r="1226" spans="1:4" x14ac:dyDescent="0.2">
      <c r="A1226" s="5">
        <v>1165</v>
      </c>
      <c r="B1226" s="138">
        <f>'Expenditures 15-22'!C151</f>
        <v>749898</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327137</v>
      </c>
      <c r="D1229" s="2" t="str">
        <f t="shared" si="18"/>
        <v>Error?</v>
      </c>
    </row>
    <row r="1230" spans="1:4" x14ac:dyDescent="0.2">
      <c r="A1230" s="10">
        <v>1169</v>
      </c>
      <c r="D1230" s="2" t="str">
        <f t="shared" si="18"/>
        <v>OK</v>
      </c>
    </row>
    <row r="1231" spans="1:4" x14ac:dyDescent="0.2">
      <c r="A1231" s="5">
        <v>1170</v>
      </c>
      <c r="B1231" s="138">
        <f>'Expenditures 15-22'!D127</f>
        <v>327137</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327137</v>
      </c>
      <c r="C1233" s="2" t="s">
        <v>594</v>
      </c>
      <c r="D1233" s="2" t="str">
        <f t="shared" si="18"/>
        <v>Error?</v>
      </c>
    </row>
    <row r="1234" spans="1:4" x14ac:dyDescent="0.2">
      <c r="A1234" s="5">
        <v>1173</v>
      </c>
      <c r="B1234" s="138">
        <f>'Expenditures 15-22'!D151</f>
        <v>327137</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188430</v>
      </c>
      <c r="D1237" s="2" t="str">
        <f t="shared" si="18"/>
        <v>Error?</v>
      </c>
    </row>
    <row r="1238" spans="1:4" x14ac:dyDescent="0.2">
      <c r="A1238" s="10">
        <v>1177</v>
      </c>
      <c r="D1238" s="2" t="str">
        <f t="shared" si="18"/>
        <v>OK</v>
      </c>
    </row>
    <row r="1239" spans="1:4" x14ac:dyDescent="0.2">
      <c r="A1239" s="5">
        <v>1178</v>
      </c>
      <c r="B1239" s="138">
        <f>'Expenditures 15-22'!E127</f>
        <v>188430</v>
      </c>
      <c r="C1239" s="2" t="s">
        <v>594</v>
      </c>
      <c r="D1239" s="2" t="str">
        <f t="shared" si="18"/>
        <v>Error?</v>
      </c>
    </row>
    <row r="1240" spans="1:4" x14ac:dyDescent="0.2">
      <c r="A1240" s="5">
        <v>1179</v>
      </c>
      <c r="B1240" s="138">
        <f>'Expenditures 15-22'!E128</f>
        <v>11918</v>
      </c>
      <c r="D1240" s="2" t="str">
        <f t="shared" si="18"/>
        <v>Error?</v>
      </c>
    </row>
    <row r="1241" spans="1:4" x14ac:dyDescent="0.2">
      <c r="A1241" s="5">
        <v>1180</v>
      </c>
      <c r="B1241" s="138">
        <f>'Expenditures 15-22'!E129</f>
        <v>200348</v>
      </c>
      <c r="C1241" s="2" t="s">
        <v>594</v>
      </c>
      <c r="D1241" s="2" t="str">
        <f t="shared" si="18"/>
        <v>Error?</v>
      </c>
    </row>
    <row r="1242" spans="1:4" x14ac:dyDescent="0.2">
      <c r="A1242" s="5">
        <v>1181</v>
      </c>
      <c r="B1242" s="138">
        <f>'Expenditures 15-22'!E151</f>
        <v>200348</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681593</v>
      </c>
      <c r="D1245" s="2" t="str">
        <f t="shared" si="18"/>
        <v>Error?</v>
      </c>
    </row>
    <row r="1246" spans="1:4" x14ac:dyDescent="0.2">
      <c r="A1246" s="10">
        <v>1185</v>
      </c>
      <c r="D1246" s="2" t="str">
        <f t="shared" si="18"/>
        <v>OK</v>
      </c>
    </row>
    <row r="1247" spans="1:4" x14ac:dyDescent="0.2">
      <c r="A1247" s="5">
        <v>1186</v>
      </c>
      <c r="B1247" s="138">
        <f>'Expenditures 15-22'!F127</f>
        <v>681593</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681593</v>
      </c>
      <c r="C1249" s="2" t="s">
        <v>594</v>
      </c>
      <c r="D1249" s="2" t="str">
        <f t="shared" si="18"/>
        <v>Error?</v>
      </c>
    </row>
    <row r="1250" spans="1:4" x14ac:dyDescent="0.2">
      <c r="A1250" s="5">
        <v>1189</v>
      </c>
      <c r="B1250" s="138">
        <f>'Expenditures 15-22'!F151</f>
        <v>681593</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115070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115070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115070</v>
      </c>
      <c r="C1258" s="2" t="s">
        <v>594</v>
      </c>
      <c r="D1258" s="2" t="str">
        <f t="shared" si="18"/>
        <v>Error?</v>
      </c>
    </row>
    <row r="1259" spans="1:4" x14ac:dyDescent="0.2">
      <c r="A1259" s="5">
        <v>1198</v>
      </c>
      <c r="B1259" s="138">
        <f>'Expenditures 15-22'!G151</f>
        <v>115070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2062128</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2062128</v>
      </c>
      <c r="C1279" s="2" t="s">
        <v>594</v>
      </c>
      <c r="D1279" s="2" t="str">
        <f t="shared" ref="D1279:D1342" si="19">IF(ISBLANK(B1279),"OK",IF(A1279-B1279=0,"OK","Error?"))</f>
        <v>Error?</v>
      </c>
    </row>
    <row r="1280" spans="1:4" x14ac:dyDescent="0.2">
      <c r="A1280" s="5">
        <v>1219</v>
      </c>
      <c r="B1280" s="138">
        <f>'Expenditures 15-22'!K128</f>
        <v>11918</v>
      </c>
      <c r="C1280" s="2" t="s">
        <v>594</v>
      </c>
      <c r="D1280" s="2" t="str">
        <f t="shared" si="19"/>
        <v>Error?</v>
      </c>
    </row>
    <row r="1281" spans="1:4" x14ac:dyDescent="0.2">
      <c r="A1281" s="5">
        <v>1220</v>
      </c>
      <c r="B1281" s="138">
        <f>'Expenditures 15-22'!K129</f>
        <v>2074046</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2074046</v>
      </c>
      <c r="C1288" s="2" t="s">
        <v>594</v>
      </c>
      <c r="D1288" s="2" t="str">
        <f t="shared" si="19"/>
        <v>Error?</v>
      </c>
    </row>
    <row r="1289" spans="1:4" x14ac:dyDescent="0.2">
      <c r="A1289" s="5">
        <v>1228</v>
      </c>
      <c r="B1289" s="138">
        <f>'Expenditures 15-22'!K152</f>
        <v>-232983</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327157</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645000</v>
      </c>
      <c r="D1315" s="2" t="str">
        <f t="shared" si="19"/>
        <v>Error?</v>
      </c>
    </row>
    <row r="1316" spans="1:4" x14ac:dyDescent="0.2">
      <c r="A1316" s="5">
        <v>1255</v>
      </c>
      <c r="B1316" s="138">
        <f>'Expenditures 15-22'!H171</f>
        <v>1425</v>
      </c>
      <c r="D1316" s="2" t="str">
        <f t="shared" si="19"/>
        <v>Error?</v>
      </c>
    </row>
    <row r="1317" spans="1:4" x14ac:dyDescent="0.2">
      <c r="A1317" s="5">
        <v>1256</v>
      </c>
      <c r="B1317" s="138">
        <f>'Expenditures 15-22'!H172</f>
        <v>973582</v>
      </c>
      <c r="C1317" s="2" t="s">
        <v>594</v>
      </c>
      <c r="D1317" s="2" t="str">
        <f t="shared" si="19"/>
        <v>Error?</v>
      </c>
    </row>
    <row r="1318" spans="1:4" x14ac:dyDescent="0.2">
      <c r="A1318" s="5">
        <v>1257</v>
      </c>
      <c r="B1318" s="138">
        <f>'Expenditures 15-22'!H174</f>
        <v>973582</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327157</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645000</v>
      </c>
      <c r="C1329" s="2" t="s">
        <v>594</v>
      </c>
      <c r="D1329" s="2" t="str">
        <f t="shared" si="19"/>
        <v>Error?</v>
      </c>
    </row>
    <row r="1330" spans="1:4" x14ac:dyDescent="0.2">
      <c r="A1330" s="5">
        <v>1269</v>
      </c>
      <c r="B1330" s="138">
        <f>'Expenditures 15-22'!K171</f>
        <v>1425</v>
      </c>
      <c r="C1330" s="2" t="s">
        <v>594</v>
      </c>
      <c r="D1330" s="2" t="str">
        <f t="shared" si="19"/>
        <v>Error?</v>
      </c>
    </row>
    <row r="1331" spans="1:4" x14ac:dyDescent="0.2">
      <c r="A1331" s="5">
        <v>1270</v>
      </c>
      <c r="B1331" s="138">
        <f>'Expenditures 15-22'!K172</f>
        <v>973582</v>
      </c>
      <c r="C1331" s="2" t="s">
        <v>594</v>
      </c>
      <c r="D1331" s="2" t="str">
        <f t="shared" si="19"/>
        <v>Error?</v>
      </c>
    </row>
    <row r="1332" spans="1:4" x14ac:dyDescent="0.2">
      <c r="A1332" s="5">
        <v>1271</v>
      </c>
      <c r="B1332" s="138">
        <f>'Expenditures 15-22'!K174</f>
        <v>973582</v>
      </c>
      <c r="C1332" s="2" t="s">
        <v>594</v>
      </c>
      <c r="D1332" s="2" t="str">
        <f t="shared" si="19"/>
        <v>Error?</v>
      </c>
    </row>
    <row r="1333" spans="1:4" x14ac:dyDescent="0.2">
      <c r="A1333" s="5">
        <v>1272</v>
      </c>
      <c r="B1333" s="138">
        <f>'Expenditures 15-22'!K175</f>
        <v>-196246</v>
      </c>
      <c r="C1333" s="2" t="s">
        <v>594</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594</v>
      </c>
      <c r="D1339" s="2" t="str">
        <f t="shared" si="19"/>
        <v>Error?</v>
      </c>
    </row>
    <row r="1340" spans="1:4" x14ac:dyDescent="0.2">
      <c r="A1340" s="5">
        <v>1279</v>
      </c>
      <c r="B1340" s="138">
        <f>'Expenditures 15-22'!C210</f>
        <v>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1183140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1183140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1183140</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1183140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1183140</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1183140</v>
      </c>
      <c r="C1388" s="2" t="s">
        <v>594</v>
      </c>
      <c r="D1388" s="2" t="str">
        <f t="shared" si="20"/>
        <v>Error?</v>
      </c>
    </row>
    <row r="1389" spans="1:4" x14ac:dyDescent="0.2">
      <c r="A1389" s="5">
        <v>1328</v>
      </c>
      <c r="B1389" s="138">
        <f>'Expenditures 15-22'!K211</f>
        <v>132155</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11260</v>
      </c>
      <c r="D1407" s="2" t="str">
        <f t="shared" ref="D1407:D1470" si="21">IF(ISBLANK(B1407),"OK",IF(A1407-B1407=0,"OK","Error?"))</f>
        <v>Error?</v>
      </c>
    </row>
    <row r="1408" spans="1:4" x14ac:dyDescent="0.2">
      <c r="A1408" s="5">
        <v>1347</v>
      </c>
      <c r="B1408" s="138">
        <f>'Expenditures 15-22'!D223</f>
        <v>21191</v>
      </c>
      <c r="D1408" s="2" t="str">
        <f t="shared" si="21"/>
        <v>Error?</v>
      </c>
    </row>
    <row r="1409" spans="1:4" x14ac:dyDescent="0.2">
      <c r="A1409" s="5">
        <v>1348</v>
      </c>
      <c r="B1409" s="138">
        <f>'Expenditures 15-22'!D224</f>
        <v>353</v>
      </c>
      <c r="D1409" s="2" t="str">
        <f t="shared" si="21"/>
        <v>Error?</v>
      </c>
    </row>
    <row r="1410" spans="1:4" x14ac:dyDescent="0.2">
      <c r="A1410" s="5">
        <v>1349</v>
      </c>
      <c r="B1410" s="138">
        <f>'Expenditures 15-22'!D229</f>
        <v>204067</v>
      </c>
      <c r="C1410" s="2" t="s">
        <v>594</v>
      </c>
      <c r="D1410" s="2" t="str">
        <f t="shared" si="21"/>
        <v>Error?</v>
      </c>
    </row>
    <row r="1411" spans="1:4" x14ac:dyDescent="0.2">
      <c r="A1411" s="5">
        <v>1350</v>
      </c>
      <c r="B1411" s="138">
        <f>'Expenditures 15-22'!D232</f>
        <v>3552</v>
      </c>
      <c r="D1411" s="2" t="str">
        <f t="shared" si="21"/>
        <v>Error?</v>
      </c>
    </row>
    <row r="1412" spans="1:4" x14ac:dyDescent="0.2">
      <c r="A1412" s="5">
        <v>1351</v>
      </c>
      <c r="B1412" s="138">
        <f>'Expenditures 15-22'!D233</f>
        <v>22790</v>
      </c>
      <c r="D1412" s="2" t="str">
        <f t="shared" si="21"/>
        <v>Error?</v>
      </c>
    </row>
    <row r="1413" spans="1:4" x14ac:dyDescent="0.2">
      <c r="A1413" s="5">
        <v>1352</v>
      </c>
      <c r="B1413" s="138">
        <f>'Expenditures 15-22'!D234</f>
        <v>12768</v>
      </c>
      <c r="D1413" s="2" t="str">
        <f t="shared" si="21"/>
        <v>Error?</v>
      </c>
    </row>
    <row r="1414" spans="1:4" x14ac:dyDescent="0.2">
      <c r="A1414" s="5">
        <v>1353</v>
      </c>
      <c r="B1414" s="138">
        <f>'Expenditures 15-22'!D235</f>
        <v>2338</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41448</v>
      </c>
      <c r="C1417" s="2" t="s">
        <v>594</v>
      </c>
      <c r="D1417" s="2" t="str">
        <f t="shared" si="21"/>
        <v>Error?</v>
      </c>
    </row>
    <row r="1418" spans="1:4" x14ac:dyDescent="0.2">
      <c r="A1418" s="5">
        <v>1357</v>
      </c>
      <c r="B1418" s="138">
        <f>'Expenditures 15-22'!D240</f>
        <v>89</v>
      </c>
      <c r="D1418" s="2" t="str">
        <f t="shared" si="21"/>
        <v>Error?</v>
      </c>
    </row>
    <row r="1419" spans="1:4" x14ac:dyDescent="0.2">
      <c r="A1419" s="5">
        <v>1358</v>
      </c>
      <c r="B1419" s="138">
        <f>'Expenditures 15-22'!D241</f>
        <v>8296</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8385</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24131</v>
      </c>
      <c r="D1423" s="2" t="str">
        <f t="shared" si="21"/>
        <v>Error?</v>
      </c>
    </row>
    <row r="1424" spans="1:4" x14ac:dyDescent="0.2">
      <c r="A1424" s="5">
        <v>1363</v>
      </c>
      <c r="B1424" s="138">
        <f>'Expenditures 15-22'!D257</f>
        <v>24131</v>
      </c>
      <c r="C1424" s="2" t="s">
        <v>594</v>
      </c>
      <c r="D1424" s="2" t="str">
        <f t="shared" si="21"/>
        <v>Error?</v>
      </c>
    </row>
    <row r="1425" spans="1:4" x14ac:dyDescent="0.2">
      <c r="A1425" s="5">
        <v>1364</v>
      </c>
      <c r="B1425" s="138">
        <f>'Expenditures 15-22'!D259</f>
        <v>45991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45991</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19712</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124533</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39728</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183973</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33212</v>
      </c>
      <c r="D1442" s="2" t="str">
        <f t="shared" si="21"/>
        <v>Error?</v>
      </c>
    </row>
    <row r="1443" spans="1:4" x14ac:dyDescent="0.2">
      <c r="A1443" s="10">
        <v>1382</v>
      </c>
      <c r="D1443" s="2" t="str">
        <f t="shared" si="21"/>
        <v>OK</v>
      </c>
    </row>
    <row r="1444" spans="1:4" x14ac:dyDescent="0.2">
      <c r="A1444" s="5">
        <v>1383</v>
      </c>
      <c r="B1444" s="138">
        <f>'Expenditures 15-22'!D277</f>
        <v>33212</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337140</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541207</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11260</v>
      </c>
      <c r="C1471" s="2" t="s">
        <v>594</v>
      </c>
      <c r="D1471" s="2" t="str">
        <f t="shared" ref="D1471:D1534" si="22">IF(ISBLANK(B1471),"OK",IF(A1471-B1471=0,"OK","Error?"))</f>
        <v>Error?</v>
      </c>
    </row>
    <row r="1472" spans="1:4" x14ac:dyDescent="0.2">
      <c r="A1472" s="5">
        <v>1411</v>
      </c>
      <c r="B1472" s="138">
        <f>'Expenditures 15-22'!K223</f>
        <v>21191</v>
      </c>
      <c r="C1472" s="2" t="s">
        <v>594</v>
      </c>
      <c r="D1472" s="2" t="str">
        <f t="shared" si="22"/>
        <v>Error?</v>
      </c>
    </row>
    <row r="1473" spans="1:4" x14ac:dyDescent="0.2">
      <c r="A1473" s="5">
        <v>1412</v>
      </c>
      <c r="B1473" s="138">
        <f>'Expenditures 15-22'!K224</f>
        <v>353</v>
      </c>
      <c r="C1473" s="2" t="s">
        <v>594</v>
      </c>
      <c r="D1473" s="2" t="str">
        <f t="shared" si="22"/>
        <v>Error?</v>
      </c>
    </row>
    <row r="1474" spans="1:4" x14ac:dyDescent="0.2">
      <c r="A1474" s="5">
        <v>1413</v>
      </c>
      <c r="B1474" s="138">
        <f>'Expenditures 15-22'!K229</f>
        <v>204067</v>
      </c>
      <c r="C1474" s="2" t="s">
        <v>594</v>
      </c>
      <c r="D1474" s="2" t="str">
        <f t="shared" si="22"/>
        <v>Error?</v>
      </c>
    </row>
    <row r="1475" spans="1:4" x14ac:dyDescent="0.2">
      <c r="A1475" s="5">
        <v>1414</v>
      </c>
      <c r="B1475" s="138">
        <f>'Expenditures 15-22'!K232</f>
        <v>3552</v>
      </c>
      <c r="C1475" s="2" t="s">
        <v>594</v>
      </c>
      <c r="D1475" s="2" t="str">
        <f t="shared" si="22"/>
        <v>Error?</v>
      </c>
    </row>
    <row r="1476" spans="1:4" x14ac:dyDescent="0.2">
      <c r="A1476" s="5">
        <v>1415</v>
      </c>
      <c r="B1476" s="138">
        <f>'Expenditures 15-22'!K233</f>
        <v>22790</v>
      </c>
      <c r="C1476" s="2" t="s">
        <v>594</v>
      </c>
      <c r="D1476" s="2" t="str">
        <f t="shared" si="22"/>
        <v>Error?</v>
      </c>
    </row>
    <row r="1477" spans="1:4" x14ac:dyDescent="0.2">
      <c r="A1477" s="5">
        <v>1416</v>
      </c>
      <c r="B1477" s="138">
        <f>'Expenditures 15-22'!K234</f>
        <v>12768</v>
      </c>
      <c r="C1477" s="2" t="s">
        <v>594</v>
      </c>
      <c r="D1477" s="2" t="str">
        <f t="shared" si="22"/>
        <v>Error?</v>
      </c>
    </row>
    <row r="1478" spans="1:4" x14ac:dyDescent="0.2">
      <c r="A1478" s="5">
        <v>1417</v>
      </c>
      <c r="B1478" s="138">
        <f>'Expenditures 15-22'!K235</f>
        <v>2338</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41448</v>
      </c>
      <c r="C1481" s="2" t="s">
        <v>594</v>
      </c>
      <c r="D1481" s="2" t="str">
        <f t="shared" si="22"/>
        <v>Error?</v>
      </c>
    </row>
    <row r="1482" spans="1:4" x14ac:dyDescent="0.2">
      <c r="A1482" s="5">
        <v>1421</v>
      </c>
      <c r="B1482" s="138">
        <f>'Expenditures 15-22'!K240</f>
        <v>89</v>
      </c>
      <c r="C1482" s="2" t="s">
        <v>594</v>
      </c>
      <c r="D1482" s="2" t="str">
        <f t="shared" si="22"/>
        <v>Error?</v>
      </c>
    </row>
    <row r="1483" spans="1:4" x14ac:dyDescent="0.2">
      <c r="A1483" s="5">
        <v>1422</v>
      </c>
      <c r="B1483" s="138">
        <f>'Expenditures 15-22'!K241</f>
        <v>8296</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8385</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24131</v>
      </c>
      <c r="C1487" s="2" t="s">
        <v>594</v>
      </c>
      <c r="D1487" s="2" t="str">
        <f t="shared" si="22"/>
        <v>Error?</v>
      </c>
    </row>
    <row r="1488" spans="1:4" x14ac:dyDescent="0.2">
      <c r="A1488" s="5">
        <v>1427</v>
      </c>
      <c r="B1488" s="138">
        <f>'Expenditures 15-22'!K257</f>
        <v>24131</v>
      </c>
      <c r="C1488" s="2" t="s">
        <v>594</v>
      </c>
      <c r="D1488" s="2" t="str">
        <f t="shared" si="22"/>
        <v>Error?</v>
      </c>
    </row>
    <row r="1489" spans="1:4" x14ac:dyDescent="0.2">
      <c r="A1489" s="5">
        <v>1428</v>
      </c>
      <c r="B1489" s="138">
        <f>'Expenditures 15-22'!K259</f>
        <v>45991</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45991</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19712</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124533</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39728</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183973</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33212</v>
      </c>
      <c r="C1506" s="2" t="s">
        <v>594</v>
      </c>
      <c r="D1506" s="2" t="str">
        <f t="shared" si="22"/>
        <v>Error?</v>
      </c>
    </row>
    <row r="1507" spans="1:4" x14ac:dyDescent="0.2">
      <c r="A1507" s="10">
        <v>1446</v>
      </c>
      <c r="D1507" s="2" t="str">
        <f t="shared" si="22"/>
        <v>OK</v>
      </c>
    </row>
    <row r="1508" spans="1:4" x14ac:dyDescent="0.2">
      <c r="A1508" s="5">
        <v>1447</v>
      </c>
      <c r="B1508" s="138">
        <f>'Expenditures 15-22'!K277</f>
        <v>33212</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337140</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541207</v>
      </c>
      <c r="C1517" s="2" t="s">
        <v>594</v>
      </c>
      <c r="D1517" s="2" t="str">
        <f t="shared" si="22"/>
        <v>Error?</v>
      </c>
    </row>
    <row r="1518" spans="1:4" x14ac:dyDescent="0.2">
      <c r="A1518" s="5">
        <v>1457</v>
      </c>
      <c r="B1518" s="138">
        <f>'Expenditures 15-22'!K296</f>
        <v>-15955</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8124840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8124840</v>
      </c>
      <c r="C1547" s="2" t="s">
        <v>594</v>
      </c>
      <c r="D1547" s="2" t="str">
        <f t="shared" si="23"/>
        <v>Error?</v>
      </c>
    </row>
    <row r="1548" spans="1:4" x14ac:dyDescent="0.2">
      <c r="A1548" s="5">
        <v>1487</v>
      </c>
      <c r="B1548" s="138">
        <f>'Expenditures 15-22'!G312</f>
        <v>8124840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8124840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8124840</v>
      </c>
      <c r="C1559" s="2" t="s">
        <v>594</v>
      </c>
      <c r="D1559" s="2" t="str">
        <f t="shared" si="23"/>
        <v>Error?</v>
      </c>
    </row>
    <row r="1560" spans="1:4" x14ac:dyDescent="0.2">
      <c r="A1560" s="5">
        <v>1499</v>
      </c>
      <c r="B1560" s="138">
        <f>'Expenditures 15-22'!K312</f>
        <v>8124840</v>
      </c>
      <c r="C1560" s="2" t="s">
        <v>594</v>
      </c>
      <c r="D1560" s="2" t="str">
        <f t="shared" si="23"/>
        <v>Error?</v>
      </c>
    </row>
    <row r="1561" spans="1:4" x14ac:dyDescent="0.2">
      <c r="A1561" s="5">
        <v>1500</v>
      </c>
      <c r="B1561" s="138">
        <f>'Expenditures 15-22'!K313</f>
        <v>-8014957</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4050400</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4312912</v>
      </c>
      <c r="C1630" s="2" t="s">
        <v>594</v>
      </c>
      <c r="D1630" s="2" t="str">
        <f t="shared" si="24"/>
        <v>Error?</v>
      </c>
    </row>
    <row r="1631" spans="1:4" x14ac:dyDescent="0.2">
      <c r="A1631" s="5">
        <v>1570</v>
      </c>
      <c r="B1631" s="138">
        <f>'Acct Summary 7-8'!D79</f>
        <v>2702471</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2469488</v>
      </c>
      <c r="C1644" s="2" t="s">
        <v>594</v>
      </c>
      <c r="D1644" s="2" t="str">
        <f t="shared" si="24"/>
        <v>Error?</v>
      </c>
    </row>
    <row r="1645" spans="1:4" x14ac:dyDescent="0.2">
      <c r="A1645" s="5">
        <v>1584</v>
      </c>
      <c r="B1645" s="138">
        <f>'Acct Summary 7-8'!E79</f>
        <v>308343</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314854</v>
      </c>
      <c r="C1658" s="2" t="s">
        <v>594</v>
      </c>
      <c r="D1658" s="2" t="str">
        <f t="shared" si="24"/>
        <v>Error?</v>
      </c>
    </row>
    <row r="1659" spans="1:4" x14ac:dyDescent="0.2">
      <c r="A1659" s="5">
        <v>1598</v>
      </c>
      <c r="B1659" s="138">
        <f>'Acct Summary 7-8'!F79</f>
        <v>662469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794624</v>
      </c>
      <c r="C1672" s="2" t="s">
        <v>594</v>
      </c>
      <c r="D1672" s="2" t="str">
        <f t="shared" si="25"/>
        <v>Error?</v>
      </c>
    </row>
    <row r="1673" spans="1:4" x14ac:dyDescent="0.2">
      <c r="A1673" s="5">
        <v>1612</v>
      </c>
      <c r="B1673" s="138">
        <f>'Acct Summary 7-8'!G79</f>
        <v>1430499</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1414544</v>
      </c>
      <c r="C1686" s="2" t="s">
        <v>594</v>
      </c>
      <c r="D1686" s="2" t="str">
        <f t="shared" si="25"/>
        <v>Error?</v>
      </c>
    </row>
    <row r="1687" spans="1:4" x14ac:dyDescent="0.2">
      <c r="A1687" s="5">
        <v>1626</v>
      </c>
      <c r="B1687" s="138">
        <f>'Acct Summary 7-8'!H79</f>
        <v>834765</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13637154</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11901981</v>
      </c>
      <c r="C1744" s="2" t="s">
        <v>594</v>
      </c>
      <c r="D1744" s="2" t="str">
        <f t="shared" si="26"/>
        <v>Error?</v>
      </c>
    </row>
    <row r="1745" spans="1:5" x14ac:dyDescent="0.2">
      <c r="A1745" s="5">
        <v>1684</v>
      </c>
      <c r="B1745" s="138">
        <f>'Tax Sched 23'!B5</f>
        <v>1570946</v>
      </c>
      <c r="C1745" s="2" t="s">
        <v>594</v>
      </c>
      <c r="D1745" s="2" t="str">
        <f t="shared" si="26"/>
        <v>Error?</v>
      </c>
    </row>
    <row r="1746" spans="1:5" x14ac:dyDescent="0.2">
      <c r="A1746" s="5">
        <v>1685</v>
      </c>
      <c r="B1746" s="138">
        <f>'Tax Sched 23'!B6</f>
        <v>768165</v>
      </c>
      <c r="C1746" s="2" t="s">
        <v>594</v>
      </c>
      <c r="D1746" s="2" t="str">
        <f t="shared" si="26"/>
        <v>Error?</v>
      </c>
    </row>
    <row r="1747" spans="1:5" x14ac:dyDescent="0.2">
      <c r="A1747" s="5">
        <v>1686</v>
      </c>
      <c r="B1747" s="138">
        <f>'Tax Sched 23'!B7</f>
        <v>793343</v>
      </c>
      <c r="C1747" s="2" t="s">
        <v>594</v>
      </c>
      <c r="D1747" s="2" t="str">
        <f t="shared" si="26"/>
        <v>Error?</v>
      </c>
    </row>
    <row r="1748" spans="1:5" x14ac:dyDescent="0.2">
      <c r="A1748" s="5">
        <v>1687</v>
      </c>
      <c r="B1748" s="138">
        <f>'Tax Sched 23'!B8</f>
        <v>221238</v>
      </c>
      <c r="C1748" s="2" t="s">
        <v>594</v>
      </c>
      <c r="D1748" s="2" t="str">
        <f t="shared" si="26"/>
        <v>Error?</v>
      </c>
    </row>
    <row r="1749" spans="1:5" x14ac:dyDescent="0.2">
      <c r="A1749" s="5">
        <v>1688</v>
      </c>
      <c r="B1749" s="138">
        <f>'Tax Sched 23'!B10</f>
        <v>301106</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1054914</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16852153</v>
      </c>
      <c r="C1759" s="2" t="s">
        <v>594</v>
      </c>
      <c r="D1759" s="2" t="str">
        <f t="shared" si="26"/>
        <v>Error?</v>
      </c>
    </row>
    <row r="1760" spans="1:5" x14ac:dyDescent="0.2">
      <c r="A1760" s="5">
        <v>1699</v>
      </c>
      <c r="B1760" s="138">
        <f>'Tax Sched 23'!D4</f>
        <v>11897363</v>
      </c>
      <c r="C1760" s="2" t="s">
        <v>594</v>
      </c>
      <c r="D1760" s="2" t="str">
        <f t="shared" si="26"/>
        <v>Error?</v>
      </c>
    </row>
    <row r="1761" spans="1:5" x14ac:dyDescent="0.2">
      <c r="A1761" s="5">
        <v>1700</v>
      </c>
      <c r="B1761" s="138">
        <f>'Tax Sched 23'!D5</f>
        <v>1570377</v>
      </c>
      <c r="C1761" s="2" t="s">
        <v>594</v>
      </c>
      <c r="D1761" s="2" t="str">
        <f t="shared" si="26"/>
        <v>Error?</v>
      </c>
    </row>
    <row r="1762" spans="1:5" s="8" customFormat="1" x14ac:dyDescent="0.2">
      <c r="A1762" s="5">
        <v>1701</v>
      </c>
      <c r="B1762" s="138">
        <f>'Tax Sched 23'!D6</f>
        <v>767334</v>
      </c>
      <c r="C1762" s="2" t="s">
        <v>594</v>
      </c>
      <c r="D1762" s="2" t="str">
        <f t="shared" si="26"/>
        <v>Error?</v>
      </c>
      <c r="E1762" s="9"/>
    </row>
    <row r="1763" spans="1:5" x14ac:dyDescent="0.2">
      <c r="A1763" s="5">
        <v>1702</v>
      </c>
      <c r="B1763" s="138">
        <f>'Tax Sched 23'!D7</f>
        <v>793045</v>
      </c>
      <c r="C1763" s="2" t="s">
        <v>594</v>
      </c>
      <c r="D1763" s="2" t="str">
        <f t="shared" si="26"/>
        <v>Error?</v>
      </c>
    </row>
    <row r="1764" spans="1:5" x14ac:dyDescent="0.2">
      <c r="A1764" s="5">
        <v>1703</v>
      </c>
      <c r="B1764" s="138">
        <f>'Tax Sched 23'!D8</f>
        <v>221213</v>
      </c>
      <c r="C1764" s="2" t="s">
        <v>594</v>
      </c>
      <c r="D1764" s="2" t="str">
        <f t="shared" si="26"/>
        <v>Error?</v>
      </c>
    </row>
    <row r="1765" spans="1:5" x14ac:dyDescent="0.2">
      <c r="A1765" s="5">
        <v>1704</v>
      </c>
      <c r="B1765" s="138">
        <f>'Tax Sched 23'!D10</f>
        <v>301106</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1054476</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16845283</v>
      </c>
      <c r="C1775" s="2" t="s">
        <v>594</v>
      </c>
      <c r="D1775" s="2" t="str">
        <f t="shared" si="26"/>
        <v>Error?</v>
      </c>
    </row>
    <row r="1776" spans="1:5" x14ac:dyDescent="0.2">
      <c r="A1776" s="5">
        <v>1715</v>
      </c>
      <c r="B1776" s="138">
        <f>'Tax Sched 23'!C4</f>
        <v>4618</v>
      </c>
      <c r="D1776" s="2" t="str">
        <f t="shared" si="26"/>
        <v>Error?</v>
      </c>
    </row>
    <row r="1777" spans="1:4" x14ac:dyDescent="0.2">
      <c r="A1777" s="5">
        <v>1716</v>
      </c>
      <c r="B1777" s="138">
        <f>'Tax Sched 23'!C5</f>
        <v>569</v>
      </c>
      <c r="D1777" s="2" t="str">
        <f t="shared" si="26"/>
        <v>Error?</v>
      </c>
    </row>
    <row r="1778" spans="1:4" x14ac:dyDescent="0.2">
      <c r="A1778" s="5">
        <v>1717</v>
      </c>
      <c r="B1778" s="138">
        <f>'Tax Sched 23'!C6</f>
        <v>831</v>
      </c>
      <c r="D1778" s="2" t="str">
        <f t="shared" si="26"/>
        <v>Error?</v>
      </c>
    </row>
    <row r="1779" spans="1:4" x14ac:dyDescent="0.2">
      <c r="A1779" s="5">
        <v>1718</v>
      </c>
      <c r="B1779" s="138">
        <f>'Tax Sched 23'!C7</f>
        <v>298</v>
      </c>
      <c r="D1779" s="2" t="str">
        <f t="shared" si="26"/>
        <v>Error?</v>
      </c>
    </row>
    <row r="1780" spans="1:4" x14ac:dyDescent="0.2">
      <c r="A1780" s="5">
        <v>1719</v>
      </c>
      <c r="B1780" s="138">
        <f>'Tax Sched 23'!C8</f>
        <v>25</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438</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6870</v>
      </c>
      <c r="C1791" s="2" t="s">
        <v>594</v>
      </c>
      <c r="D1791" s="2" t="str">
        <f t="shared" ref="D1791:D1854" si="27">IF(ISBLANK(B1791),"OK",IF(A1791-B1791=0,"OK","Error?"))</f>
        <v>Error?</v>
      </c>
    </row>
    <row r="1792" spans="1:4" x14ac:dyDescent="0.2">
      <c r="A1792" s="5">
        <v>1731</v>
      </c>
      <c r="B1792" s="138">
        <f>'Tax Sched 23'!F4</f>
        <v>12669777</v>
      </c>
      <c r="C1792" s="2" t="s">
        <v>594</v>
      </c>
      <c r="D1792" s="2" t="str">
        <f t="shared" si="27"/>
        <v>Error?</v>
      </c>
    </row>
    <row r="1793" spans="1:4" x14ac:dyDescent="0.2">
      <c r="A1793" s="5">
        <v>1732</v>
      </c>
      <c r="B1793" s="138">
        <f>'Tax Sched 23'!F5</f>
        <v>1561070</v>
      </c>
      <c r="C1793" s="2" t="s">
        <v>594</v>
      </c>
      <c r="D1793" s="2" t="str">
        <f t="shared" si="27"/>
        <v>Error?</v>
      </c>
    </row>
    <row r="1794" spans="1:4" x14ac:dyDescent="0.2">
      <c r="A1794" s="5">
        <v>1733</v>
      </c>
      <c r="B1794" s="138">
        <f>'Tax Sched 23'!F6</f>
        <v>2278482</v>
      </c>
      <c r="C1794" s="2" t="s">
        <v>594</v>
      </c>
      <c r="D1794" s="2" t="str">
        <f t="shared" si="27"/>
        <v>Error?</v>
      </c>
    </row>
    <row r="1795" spans="1:4" x14ac:dyDescent="0.2">
      <c r="A1795" s="5">
        <v>1734</v>
      </c>
      <c r="B1795" s="138">
        <f>'Tax Sched 23'!F7</f>
        <v>818544</v>
      </c>
      <c r="C1795" s="2" t="s">
        <v>594</v>
      </c>
      <c r="D1795" s="2" t="str">
        <f t="shared" si="27"/>
        <v>Error?</v>
      </c>
    </row>
    <row r="1796" spans="1:4" x14ac:dyDescent="0.2">
      <c r="A1796" s="5">
        <v>1735</v>
      </c>
      <c r="B1796" s="138">
        <f>'Tax Sched 23'!F8</f>
        <v>67872</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1199987</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18844145</v>
      </c>
      <c r="C1807" s="2" t="s">
        <v>594</v>
      </c>
      <c r="D1807" s="2" t="str">
        <f t="shared" si="27"/>
        <v>Error?</v>
      </c>
    </row>
    <row r="1808" spans="1:4" x14ac:dyDescent="0.2">
      <c r="A1808" s="5">
        <v>1747</v>
      </c>
      <c r="B1808" s="138">
        <f>'Tax Sched 23'!E4</f>
        <v>12674395</v>
      </c>
      <c r="D1808" s="2" t="str">
        <f t="shared" si="27"/>
        <v>Error?</v>
      </c>
    </row>
    <row r="1809" spans="1:4" x14ac:dyDescent="0.2">
      <c r="A1809" s="5">
        <v>1748</v>
      </c>
      <c r="B1809" s="138">
        <f>'Tax Sched 23'!E5</f>
        <v>1561639</v>
      </c>
      <c r="D1809" s="2" t="str">
        <f t="shared" si="27"/>
        <v>Error?</v>
      </c>
    </row>
    <row r="1810" spans="1:4" x14ac:dyDescent="0.2">
      <c r="A1810" s="5">
        <v>1749</v>
      </c>
      <c r="B1810" s="138">
        <f>'Tax Sched 23'!E6</f>
        <v>2279313</v>
      </c>
      <c r="D1810" s="2" t="str">
        <f t="shared" si="27"/>
        <v>Error?</v>
      </c>
    </row>
    <row r="1811" spans="1:4" x14ac:dyDescent="0.2">
      <c r="A1811" s="5">
        <v>1750</v>
      </c>
      <c r="B1811" s="138">
        <f>'Tax Sched 23'!E7</f>
        <v>818842</v>
      </c>
      <c r="D1811" s="2" t="str">
        <f t="shared" si="27"/>
        <v>Error?</v>
      </c>
    </row>
    <row r="1812" spans="1:4" x14ac:dyDescent="0.2">
      <c r="A1812" s="5">
        <v>1751</v>
      </c>
      <c r="B1812" s="138">
        <f>'Tax Sched 23'!E8</f>
        <v>67897</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1200425</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18851015</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4835000</v>
      </c>
      <c r="C1939" s="2" t="s">
        <v>594</v>
      </c>
      <c r="D1939" s="2" t="str">
        <f t="shared" si="29"/>
        <v>Error?</v>
      </c>
    </row>
    <row r="1940" spans="1:5" x14ac:dyDescent="0.2">
      <c r="A1940" s="5">
        <v>1879</v>
      </c>
      <c r="B1940" s="138">
        <f>'Short-Term Long-Term Debt 24'!F49</f>
        <v>20215000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1054914</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1054914</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1054914</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3514150</v>
      </c>
      <c r="D2008" s="2" t="str">
        <f t="shared" si="30"/>
        <v>Error?</v>
      </c>
    </row>
    <row r="2009" spans="1:4" x14ac:dyDescent="0.2">
      <c r="A2009" s="5">
        <v>1948</v>
      </c>
      <c r="B2009" s="138">
        <f>'Cap Outlay Deprec 26'!C8</f>
        <v>33307567</v>
      </c>
      <c r="D2009" s="2" t="str">
        <f t="shared" si="30"/>
        <v>Error?</v>
      </c>
    </row>
    <row r="2010" spans="1:4" x14ac:dyDescent="0.2">
      <c r="A2010" s="5">
        <v>1949</v>
      </c>
      <c r="B2010" s="138">
        <f>'Cap Outlay Deprec 26'!C10</f>
        <v>3276620</v>
      </c>
      <c r="D2010" s="2" t="str">
        <f t="shared" si="30"/>
        <v>Error?</v>
      </c>
    </row>
    <row r="2011" spans="1:4" x14ac:dyDescent="0.2">
      <c r="A2011" s="5">
        <v>1950</v>
      </c>
      <c r="B2011" s="138">
        <f>'Cap Outlay Deprec 26'!C12</f>
        <v>2595524</v>
      </c>
      <c r="D2011" s="2" t="str">
        <f t="shared" si="30"/>
        <v>Error?</v>
      </c>
    </row>
    <row r="2012" spans="1:4" x14ac:dyDescent="0.2">
      <c r="A2012" s="5">
        <v>1951</v>
      </c>
      <c r="B2012" s="138">
        <f>'Cap Outlay Deprec 26'!C13</f>
        <v>3145</v>
      </c>
      <c r="D2012" s="2" t="str">
        <f t="shared" si="30"/>
        <v>Error?</v>
      </c>
    </row>
    <row r="2013" spans="1:4" x14ac:dyDescent="0.2">
      <c r="A2013" s="5">
        <v>1952</v>
      </c>
      <c r="B2013" s="138">
        <f>'Cap Outlay Deprec 26'!C16</f>
        <v>43328259</v>
      </c>
      <c r="C2013" s="2" t="s">
        <v>594</v>
      </c>
      <c r="D2013" s="2" t="str">
        <f t="shared" si="30"/>
        <v>Error?</v>
      </c>
    </row>
    <row r="2014" spans="1:4" x14ac:dyDescent="0.2">
      <c r="A2014" s="5">
        <v>1953</v>
      </c>
      <c r="B2014" s="138">
        <f>'Cap Outlay Deprec 26'!D5</f>
        <v>217768</v>
      </c>
      <c r="D2014" s="2" t="str">
        <f t="shared" si="30"/>
        <v>Error?</v>
      </c>
    </row>
    <row r="2015" spans="1:4" x14ac:dyDescent="0.2">
      <c r="A2015" s="5">
        <v>1954</v>
      </c>
      <c r="B2015" s="138">
        <f>'Cap Outlay Deprec 26'!D8</f>
        <v>665250</v>
      </c>
      <c r="D2015" s="2" t="str">
        <f t="shared" si="30"/>
        <v>Error?</v>
      </c>
    </row>
    <row r="2016" spans="1:4" x14ac:dyDescent="0.2">
      <c r="A2016" s="5">
        <v>1955</v>
      </c>
      <c r="B2016" s="138">
        <f>'Cap Outlay Deprec 26'!D10</f>
        <v>111916</v>
      </c>
      <c r="D2016" s="2" t="str">
        <f t="shared" si="30"/>
        <v>Error?</v>
      </c>
    </row>
    <row r="2017" spans="1:4" x14ac:dyDescent="0.2">
      <c r="A2017" s="5">
        <v>1956</v>
      </c>
      <c r="B2017" s="138">
        <f>'Cap Outlay Deprec 26'!D12</f>
        <v>129729</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8297131</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452642</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452642</v>
      </c>
      <c r="C2025" s="2" t="s">
        <v>594</v>
      </c>
      <c r="D2025" s="2" t="str">
        <f t="shared" si="30"/>
        <v>Error?</v>
      </c>
    </row>
    <row r="2026" spans="1:4" x14ac:dyDescent="0.2">
      <c r="A2026" s="5">
        <v>1965</v>
      </c>
      <c r="B2026" s="138">
        <f>'Cap Outlay Deprec 26'!F5</f>
        <v>3731918</v>
      </c>
      <c r="C2026" s="2" t="s">
        <v>594</v>
      </c>
      <c r="D2026" s="2" t="str">
        <f t="shared" si="30"/>
        <v>Error?</v>
      </c>
    </row>
    <row r="2027" spans="1:4" x14ac:dyDescent="0.2">
      <c r="A2027" s="5">
        <v>1966</v>
      </c>
      <c r="B2027" s="138">
        <f>'Cap Outlay Deprec 26'!F8</f>
        <v>33972817</v>
      </c>
      <c r="C2027" s="2" t="s">
        <v>594</v>
      </c>
      <c r="D2027" s="2" t="str">
        <f t="shared" si="30"/>
        <v>Error?</v>
      </c>
    </row>
    <row r="2028" spans="1:4" x14ac:dyDescent="0.2">
      <c r="A2028" s="5">
        <v>1967</v>
      </c>
      <c r="B2028" s="138">
        <f>'Cap Outlay Deprec 26'!F10</f>
        <v>3388536</v>
      </c>
      <c r="C2028" s="2" t="s">
        <v>594</v>
      </c>
      <c r="D2028" s="2" t="str">
        <f t="shared" si="30"/>
        <v>Error?</v>
      </c>
    </row>
    <row r="2029" spans="1:4" x14ac:dyDescent="0.2">
      <c r="A2029" s="5">
        <v>1968</v>
      </c>
      <c r="B2029" s="138">
        <f>'Cap Outlay Deprec 26'!F12</f>
        <v>2272611</v>
      </c>
      <c r="C2029" s="2" t="s">
        <v>594</v>
      </c>
      <c r="D2029" s="2" t="str">
        <f t="shared" si="30"/>
        <v>Error?</v>
      </c>
    </row>
    <row r="2030" spans="1:4" x14ac:dyDescent="0.2">
      <c r="A2030" s="5">
        <v>1969</v>
      </c>
      <c r="B2030" s="138">
        <f>'Cap Outlay Deprec 26'!F13</f>
        <v>3145</v>
      </c>
      <c r="C2030" s="2" t="s">
        <v>594</v>
      </c>
      <c r="D2030" s="2" t="str">
        <f t="shared" si="30"/>
        <v>Error?</v>
      </c>
    </row>
    <row r="2031" spans="1:4" x14ac:dyDescent="0.2">
      <c r="A2031" s="5">
        <v>1970</v>
      </c>
      <c r="B2031" s="138">
        <f>'Cap Outlay Deprec 26'!F16</f>
        <v>51172748</v>
      </c>
      <c r="C2031" s="2" t="s">
        <v>594</v>
      </c>
      <c r="D2031" s="2" t="str">
        <f t="shared" si="30"/>
        <v>Error?</v>
      </c>
    </row>
    <row r="2032" spans="1:4" x14ac:dyDescent="0.2">
      <c r="A2032" s="10">
        <v>1971</v>
      </c>
      <c r="D2032" s="2" t="str">
        <f t="shared" si="30"/>
        <v>OK</v>
      </c>
    </row>
    <row r="2033" spans="1:4" x14ac:dyDescent="0.2">
      <c r="A2033" s="5">
        <v>1972</v>
      </c>
      <c r="B2033" s="138">
        <f>'Cap Outlay Deprec 26'!H8</f>
        <v>14125545</v>
      </c>
      <c r="D2033" s="2" t="str">
        <f t="shared" si="30"/>
        <v>Error?</v>
      </c>
    </row>
    <row r="2034" spans="1:4" x14ac:dyDescent="0.2">
      <c r="A2034" s="5">
        <v>1973</v>
      </c>
      <c r="B2034" s="138">
        <f>'Cap Outlay Deprec 26'!H10</f>
        <v>1822980</v>
      </c>
      <c r="D2034" s="2" t="str">
        <f t="shared" si="30"/>
        <v>Error?</v>
      </c>
    </row>
    <row r="2035" spans="1:4" x14ac:dyDescent="0.2">
      <c r="A2035" s="5">
        <v>1974</v>
      </c>
      <c r="B2035" s="138">
        <f>'Cap Outlay Deprec 26'!H12</f>
        <v>1620725</v>
      </c>
      <c r="D2035" s="2" t="str">
        <f t="shared" si="30"/>
        <v>Error?</v>
      </c>
    </row>
    <row r="2036" spans="1:4" x14ac:dyDescent="0.2">
      <c r="A2036" s="5">
        <v>1975</v>
      </c>
      <c r="B2036" s="138">
        <f>'Cap Outlay Deprec 26'!H13</f>
        <v>1887</v>
      </c>
      <c r="D2036" s="2" t="str">
        <f t="shared" si="30"/>
        <v>Error?</v>
      </c>
    </row>
    <row r="2037" spans="1:4" x14ac:dyDescent="0.2">
      <c r="A2037" s="5">
        <v>1976</v>
      </c>
      <c r="B2037" s="138">
        <f>'Cap Outlay Deprec 26'!H16</f>
        <v>17658920</v>
      </c>
      <c r="C2037" s="2" t="s">
        <v>594</v>
      </c>
      <c r="D2037" s="2" t="str">
        <f t="shared" si="30"/>
        <v>Error?</v>
      </c>
    </row>
    <row r="2038" spans="1:4" x14ac:dyDescent="0.2">
      <c r="A2038" s="10">
        <v>1977</v>
      </c>
      <c r="D2038" s="2" t="str">
        <f t="shared" si="30"/>
        <v>OK</v>
      </c>
    </row>
    <row r="2039" spans="1:4" x14ac:dyDescent="0.2">
      <c r="A2039" s="5">
        <v>1978</v>
      </c>
      <c r="B2039" s="138">
        <f>'Cap Outlay Deprec 26'!I8</f>
        <v>679456</v>
      </c>
      <c r="D2039" s="2" t="str">
        <f t="shared" si="30"/>
        <v>Error?</v>
      </c>
    </row>
    <row r="2040" spans="1:4" x14ac:dyDescent="0.2">
      <c r="A2040" s="5">
        <v>1979</v>
      </c>
      <c r="B2040" s="138">
        <f>'Cap Outlay Deprec 26'!I10</f>
        <v>103890</v>
      </c>
      <c r="D2040" s="2" t="str">
        <f t="shared" si="30"/>
        <v>Error?</v>
      </c>
    </row>
    <row r="2041" spans="1:4" x14ac:dyDescent="0.2">
      <c r="A2041" s="5">
        <v>1980</v>
      </c>
      <c r="B2041" s="138">
        <f>'Cap Outlay Deprec 26'!I12</f>
        <v>227264</v>
      </c>
      <c r="D2041" s="2" t="str">
        <f t="shared" si="30"/>
        <v>Error?</v>
      </c>
    </row>
    <row r="2042" spans="1:4" x14ac:dyDescent="0.2">
      <c r="A2042" s="5">
        <v>1981</v>
      </c>
      <c r="B2042" s="138">
        <f>'Cap Outlay Deprec 26'!I13</f>
        <v>629</v>
      </c>
      <c r="D2042" s="2" t="str">
        <f t="shared" si="30"/>
        <v>Error?</v>
      </c>
    </row>
    <row r="2043" spans="1:4" x14ac:dyDescent="0.2">
      <c r="A2043" s="5">
        <v>1982</v>
      </c>
      <c r="B2043" s="138">
        <f>'Cap Outlay Deprec 26'!I16</f>
        <v>1013647</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452642</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452642</v>
      </c>
      <c r="C2049" s="2" t="s">
        <v>594</v>
      </c>
      <c r="D2049" s="2" t="str">
        <f t="shared" si="31"/>
        <v>Error?</v>
      </c>
    </row>
    <row r="2050" spans="1:4" x14ac:dyDescent="0.2">
      <c r="A2050" s="10">
        <v>1989</v>
      </c>
      <c r="D2050" s="2" t="str">
        <f t="shared" si="31"/>
        <v>OK</v>
      </c>
    </row>
    <row r="2051" spans="1:4" x14ac:dyDescent="0.2">
      <c r="A2051" s="5">
        <v>1990</v>
      </c>
      <c r="B2051" s="138">
        <f>'Cap Outlay Deprec 26'!K8</f>
        <v>14805001</v>
      </c>
      <c r="C2051" s="2" t="s">
        <v>594</v>
      </c>
      <c r="D2051" s="2" t="str">
        <f t="shared" si="31"/>
        <v>Error?</v>
      </c>
    </row>
    <row r="2052" spans="1:4" x14ac:dyDescent="0.2">
      <c r="A2052" s="5">
        <v>1991</v>
      </c>
      <c r="B2052" s="138">
        <f>'Cap Outlay Deprec 26'!K10</f>
        <v>1926870</v>
      </c>
      <c r="C2052" s="2" t="s">
        <v>594</v>
      </c>
      <c r="D2052" s="2" t="str">
        <f t="shared" si="31"/>
        <v>Error?</v>
      </c>
    </row>
    <row r="2053" spans="1:4" x14ac:dyDescent="0.2">
      <c r="A2053" s="5">
        <v>1992</v>
      </c>
      <c r="B2053" s="138">
        <f>'Cap Outlay Deprec 26'!K12</f>
        <v>1395347</v>
      </c>
      <c r="C2053" s="2" t="s">
        <v>594</v>
      </c>
      <c r="D2053" s="2" t="str">
        <f t="shared" si="31"/>
        <v>Error?</v>
      </c>
    </row>
    <row r="2054" spans="1:4" x14ac:dyDescent="0.2">
      <c r="A2054" s="5">
        <v>1993</v>
      </c>
      <c r="B2054" s="138">
        <f>'Cap Outlay Deprec 26'!K13</f>
        <v>2516</v>
      </c>
      <c r="C2054" s="2" t="s">
        <v>594</v>
      </c>
      <c r="D2054" s="2" t="str">
        <f t="shared" si="31"/>
        <v>Error?</v>
      </c>
    </row>
    <row r="2055" spans="1:4" x14ac:dyDescent="0.2">
      <c r="A2055" s="5">
        <v>1994</v>
      </c>
      <c r="B2055" s="138">
        <f>'Cap Outlay Deprec 26'!K16</f>
        <v>18219925</v>
      </c>
      <c r="C2055" s="2" t="s">
        <v>594</v>
      </c>
      <c r="D2055" s="2" t="str">
        <f t="shared" si="31"/>
        <v>Error?</v>
      </c>
    </row>
    <row r="2056" spans="1:4" x14ac:dyDescent="0.2">
      <c r="A2056" s="5">
        <v>1995</v>
      </c>
      <c r="B2056" s="138">
        <f>'Cap Outlay Deprec 26'!L5</f>
        <v>3731918</v>
      </c>
      <c r="C2056" s="2" t="s">
        <v>594</v>
      </c>
      <c r="D2056" s="2" t="str">
        <f t="shared" si="31"/>
        <v>Error?</v>
      </c>
    </row>
    <row r="2057" spans="1:4" x14ac:dyDescent="0.2">
      <c r="A2057" s="5">
        <v>1996</v>
      </c>
      <c r="B2057" s="138">
        <f>'Cap Outlay Deprec 26'!L8</f>
        <v>19167816</v>
      </c>
      <c r="C2057" s="2" t="s">
        <v>594</v>
      </c>
      <c r="D2057" s="2" t="str">
        <f t="shared" si="31"/>
        <v>Error?</v>
      </c>
    </row>
    <row r="2058" spans="1:4" x14ac:dyDescent="0.2">
      <c r="A2058" s="5">
        <v>1997</v>
      </c>
      <c r="B2058" s="138">
        <f>'Cap Outlay Deprec 26'!L10</f>
        <v>1461666</v>
      </c>
      <c r="C2058" s="2" t="s">
        <v>594</v>
      </c>
      <c r="D2058" s="2" t="str">
        <f t="shared" si="31"/>
        <v>Error?</v>
      </c>
    </row>
    <row r="2059" spans="1:4" x14ac:dyDescent="0.2">
      <c r="A2059" s="5">
        <v>1998</v>
      </c>
      <c r="B2059" s="138">
        <f>'Cap Outlay Deprec 26'!L12</f>
        <v>877264</v>
      </c>
      <c r="C2059" s="2" t="s">
        <v>594</v>
      </c>
      <c r="D2059" s="2" t="str">
        <f t="shared" si="31"/>
        <v>Error?</v>
      </c>
    </row>
    <row r="2060" spans="1:4" x14ac:dyDescent="0.2">
      <c r="A2060" s="5">
        <v>1999</v>
      </c>
      <c r="B2060" s="138">
        <f>'Cap Outlay Deprec 26'!L13</f>
        <v>629</v>
      </c>
      <c r="C2060" s="2" t="s">
        <v>594</v>
      </c>
      <c r="D2060" s="2" t="str">
        <f t="shared" si="31"/>
        <v>Error?</v>
      </c>
    </row>
    <row r="2061" spans="1:4" x14ac:dyDescent="0.2">
      <c r="A2061" s="5">
        <v>2000</v>
      </c>
      <c r="B2061" s="138">
        <f>'Cap Outlay Deprec 26'!L16</f>
        <v>32952823</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174752</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479194</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15238622</v>
      </c>
      <c r="C2551" s="2" t="s">
        <v>594</v>
      </c>
      <c r="D2551" s="2" t="str">
        <f t="shared" si="38"/>
        <v>Error?</v>
      </c>
    </row>
    <row r="2552" spans="1:4" x14ac:dyDescent="0.2">
      <c r="A2552" s="10">
        <v>2491</v>
      </c>
      <c r="D2552" s="2" t="str">
        <f t="shared" si="38"/>
        <v>OK</v>
      </c>
    </row>
    <row r="2553" spans="1:4" x14ac:dyDescent="0.2">
      <c r="A2553" s="5">
        <v>2492</v>
      </c>
      <c r="B2553" s="138">
        <f>'Acct Summary 7-8'!C6</f>
        <v>6057206</v>
      </c>
      <c r="C2553" s="2" t="s">
        <v>594</v>
      </c>
      <c r="D2553" s="2" t="str">
        <f t="shared" si="38"/>
        <v>Error?</v>
      </c>
    </row>
    <row r="2554" spans="1:4" x14ac:dyDescent="0.2">
      <c r="A2554" s="5">
        <v>2493</v>
      </c>
      <c r="B2554" s="138">
        <f>'Acct Summary 7-8'!C7</f>
        <v>866181</v>
      </c>
      <c r="C2554" s="2" t="s">
        <v>594</v>
      </c>
      <c r="D2554" s="2" t="str">
        <f t="shared" si="38"/>
        <v>Error?</v>
      </c>
    </row>
    <row r="2555" spans="1:4" x14ac:dyDescent="0.2">
      <c r="A2555" s="5">
        <v>2494</v>
      </c>
      <c r="B2555" s="138">
        <f>'Acct Summary 7-8'!C8</f>
        <v>22162009</v>
      </c>
      <c r="C2555" s="2" t="s">
        <v>594</v>
      </c>
      <c r="D2555" s="2" t="str">
        <f t="shared" si="38"/>
        <v>Error?</v>
      </c>
    </row>
    <row r="2556" spans="1:4" x14ac:dyDescent="0.2">
      <c r="A2556" s="5">
        <v>2495</v>
      </c>
      <c r="B2556" s="138">
        <f>'Acct Summary 7-8'!C12</f>
        <v>15834800</v>
      </c>
      <c r="C2556" s="2" t="s">
        <v>594</v>
      </c>
      <c r="D2556" s="2" t="str">
        <f t="shared" si="38"/>
        <v>Error?</v>
      </c>
    </row>
    <row r="2557" spans="1:4" x14ac:dyDescent="0.2">
      <c r="A2557" s="5">
        <v>2496</v>
      </c>
      <c r="B2557" s="138">
        <f>'Acct Summary 7-8'!C13</f>
        <v>5889945</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174752</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21899497</v>
      </c>
      <c r="C2561" s="2" t="s">
        <v>594</v>
      </c>
      <c r="D2561" s="2" t="str">
        <f t="shared" si="39"/>
        <v>Error?</v>
      </c>
    </row>
    <row r="2562" spans="1:4" x14ac:dyDescent="0.2">
      <c r="A2562" s="5">
        <v>2501</v>
      </c>
      <c r="B2562" s="138">
        <f>'Acct Summary 7-8'!C20</f>
        <v>262512</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1841063</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1841063</v>
      </c>
      <c r="C2568" s="2" t="s">
        <v>594</v>
      </c>
      <c r="D2568" s="2" t="str">
        <f t="shared" si="39"/>
        <v>Error?</v>
      </c>
    </row>
    <row r="2569" spans="1:4" x14ac:dyDescent="0.2">
      <c r="A2569" s="5">
        <v>2508</v>
      </c>
      <c r="B2569" s="138">
        <f>'Acct Summary 7-8'!D13</f>
        <v>2074046</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2074046</v>
      </c>
      <c r="C2573" s="2" t="s">
        <v>594</v>
      </c>
      <c r="D2573" s="2" t="str">
        <f t="shared" si="39"/>
        <v>Error?</v>
      </c>
    </row>
    <row r="2574" spans="1:4" x14ac:dyDescent="0.2">
      <c r="A2574" s="5">
        <v>2513</v>
      </c>
      <c r="B2574" s="138">
        <f>'Acct Summary 7-8'!D20</f>
        <v>-232983</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805783</v>
      </c>
      <c r="C2591" s="2" t="s">
        <v>594</v>
      </c>
      <c r="D2591" s="2" t="str">
        <f t="shared" si="39"/>
        <v>Error?</v>
      </c>
    </row>
    <row r="2592" spans="1:4" x14ac:dyDescent="0.2">
      <c r="A2592" s="10">
        <v>2531</v>
      </c>
      <c r="D2592" s="2" t="str">
        <f t="shared" si="39"/>
        <v>OK</v>
      </c>
    </row>
    <row r="2593" spans="1:4" x14ac:dyDescent="0.2">
      <c r="A2593" s="5">
        <v>2532</v>
      </c>
      <c r="B2593" s="138">
        <f>'Acct Summary 7-8'!F6</f>
        <v>509512</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1315295</v>
      </c>
      <c r="C2595" s="2" t="s">
        <v>594</v>
      </c>
      <c r="D2595" s="2" t="str">
        <f t="shared" si="39"/>
        <v>Error?</v>
      </c>
    </row>
    <row r="2596" spans="1:4" x14ac:dyDescent="0.2">
      <c r="A2596" s="5">
        <v>2535</v>
      </c>
      <c r="B2596" s="138">
        <f>'Acct Summary 7-8'!F13</f>
        <v>1183140</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1183140</v>
      </c>
      <c r="C2600" s="2" t="s">
        <v>594</v>
      </c>
      <c r="D2600" s="2" t="str">
        <f t="shared" si="39"/>
        <v>Error?</v>
      </c>
    </row>
    <row r="2601" spans="1:4" x14ac:dyDescent="0.2">
      <c r="A2601" s="5">
        <v>2540</v>
      </c>
      <c r="B2601" s="138">
        <f>'Acct Summary 7-8'!F20</f>
        <v>132155</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525252</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525252</v>
      </c>
      <c r="C2606" s="2" t="s">
        <v>594</v>
      </c>
      <c r="D2606" s="2" t="str">
        <f t="shared" si="39"/>
        <v>Error?</v>
      </c>
    </row>
    <row r="2607" spans="1:4" x14ac:dyDescent="0.2">
      <c r="A2607" s="5">
        <v>2546</v>
      </c>
      <c r="B2607" s="138">
        <f>'Acct Summary 7-8'!G12</f>
        <v>204067</v>
      </c>
      <c r="C2607" s="2" t="s">
        <v>594</v>
      </c>
      <c r="D2607" s="2" t="str">
        <f t="shared" si="39"/>
        <v>Error?</v>
      </c>
    </row>
    <row r="2608" spans="1:4" x14ac:dyDescent="0.2">
      <c r="A2608" s="5">
        <v>2547</v>
      </c>
      <c r="B2608" s="138">
        <f>'Acct Summary 7-8'!G13</f>
        <v>337140</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541207</v>
      </c>
      <c r="C2612" s="2" t="s">
        <v>594</v>
      </c>
      <c r="D2612" s="2" t="str">
        <f t="shared" si="39"/>
        <v>Error?</v>
      </c>
    </row>
    <row r="2613" spans="1:4" x14ac:dyDescent="0.2">
      <c r="A2613" s="5">
        <v>2552</v>
      </c>
      <c r="B2613" s="138">
        <f>'Acct Summary 7-8'!G20</f>
        <v>-15955</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777336</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777336</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973582</v>
      </c>
      <c r="C2634" s="2" t="s">
        <v>594</v>
      </c>
      <c r="D2634" s="2" t="str">
        <f t="shared" si="40"/>
        <v>Error?</v>
      </c>
    </row>
    <row r="2635" spans="1:4" x14ac:dyDescent="0.2">
      <c r="A2635" s="5">
        <v>2574</v>
      </c>
      <c r="B2635" s="138">
        <f>'Acct Summary 7-8'!E17</f>
        <v>973582</v>
      </c>
      <c r="C2635" s="2" t="s">
        <v>594</v>
      </c>
      <c r="D2635" s="2" t="str">
        <f t="shared" si="40"/>
        <v>Error?</v>
      </c>
    </row>
    <row r="2636" spans="1:4" x14ac:dyDescent="0.2">
      <c r="A2636" s="5">
        <v>2575</v>
      </c>
      <c r="B2636" s="138">
        <f>'Acct Summary 7-8'!E20</f>
        <v>-196246</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109883</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109883</v>
      </c>
      <c r="C2658" s="2" t="s">
        <v>594</v>
      </c>
      <c r="D2658" s="2" t="str">
        <f t="shared" si="40"/>
        <v>Error?</v>
      </c>
    </row>
    <row r="2659" spans="1:4" x14ac:dyDescent="0.2">
      <c r="A2659" s="5">
        <v>2598</v>
      </c>
      <c r="B2659" s="138">
        <f>'Acct Summary 7-8'!H13</f>
        <v>8124840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8124840</v>
      </c>
      <c r="C2661" s="2" t="s">
        <v>594</v>
      </c>
      <c r="D2661" s="2" t="str">
        <f t="shared" si="40"/>
        <v>Error?</v>
      </c>
    </row>
    <row r="2662" spans="1:4" x14ac:dyDescent="0.2">
      <c r="A2662" s="5">
        <v>2601</v>
      </c>
      <c r="B2662" s="138">
        <f>'Acct Summary 7-8'!H20</f>
        <v>-8014957</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7712401</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3305225</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3306410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1682193</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3306410</v>
      </c>
      <c r="D2912" s="2" t="str">
        <f t="shared" si="44"/>
        <v>Error?</v>
      </c>
    </row>
    <row r="2913" spans="1:4" x14ac:dyDescent="0.2">
      <c r="A2913" s="5">
        <v>2852</v>
      </c>
      <c r="B2913" s="138">
        <f>'Assets-Liab 5-6'!I41</f>
        <v>3306410</v>
      </c>
      <c r="C2913" s="2" t="s">
        <v>594</v>
      </c>
      <c r="D2913" s="2" t="str">
        <f t="shared" si="44"/>
        <v>Error?</v>
      </c>
    </row>
    <row r="2914" spans="1:4" x14ac:dyDescent="0.2">
      <c r="A2914" s="5">
        <v>2853</v>
      </c>
      <c r="B2914" s="138">
        <f>'Assets-Liab 5-6'!L33</f>
        <v>170479</v>
      </c>
      <c r="D2914" s="2" t="str">
        <f t="shared" si="44"/>
        <v>Error?</v>
      </c>
    </row>
    <row r="2915" spans="1:4" x14ac:dyDescent="0.2">
      <c r="A2915" s="10">
        <v>2854</v>
      </c>
      <c r="D2915" s="2" t="str">
        <f t="shared" si="44"/>
        <v>OK</v>
      </c>
    </row>
    <row r="2916" spans="1:4" x14ac:dyDescent="0.2">
      <c r="A2916" s="5">
        <v>2855</v>
      </c>
      <c r="B2916" s="138">
        <f>'Assets-Liab 5-6'!L34</f>
        <v>170479</v>
      </c>
      <c r="C2916" s="2" t="s">
        <v>594</v>
      </c>
      <c r="D2916" s="2" t="str">
        <f t="shared" si="44"/>
        <v>Error?</v>
      </c>
    </row>
    <row r="2917" spans="1:4" x14ac:dyDescent="0.2">
      <c r="A2917" s="5">
        <v>2856</v>
      </c>
      <c r="B2917" s="138">
        <f>'Assets-Liab 5-6'!L41</f>
        <v>1682193</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38362</v>
      </c>
      <c r="D3055" s="2" t="str">
        <f t="shared" si="46"/>
        <v>Error?</v>
      </c>
    </row>
    <row r="3056" spans="1:4" x14ac:dyDescent="0.2">
      <c r="A3056" s="5">
        <v>2995</v>
      </c>
      <c r="B3056" s="138">
        <f>'Expenditures 15-22'!D10</f>
        <v>31432</v>
      </c>
      <c r="D3056" s="2" t="str">
        <f t="shared" si="46"/>
        <v>Error?</v>
      </c>
    </row>
    <row r="3057" spans="1:4" x14ac:dyDescent="0.2">
      <c r="A3057" s="5">
        <v>2996</v>
      </c>
      <c r="B3057" s="138">
        <f>'Expenditures 15-22'!E10</f>
        <v>113294</v>
      </c>
      <c r="D3057" s="2" t="str">
        <f t="shared" si="46"/>
        <v>Error?</v>
      </c>
    </row>
    <row r="3058" spans="1:4" x14ac:dyDescent="0.2">
      <c r="A3058" s="5">
        <v>2997</v>
      </c>
      <c r="B3058" s="138">
        <f>'Expenditures 15-22'!F10</f>
        <v>1083</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184171</v>
      </c>
      <c r="C3062" s="2" t="s">
        <v>594</v>
      </c>
      <c r="D3062" s="2" t="str">
        <f t="shared" si="46"/>
        <v>Error?</v>
      </c>
    </row>
    <row r="3063" spans="1:4" x14ac:dyDescent="0.2">
      <c r="A3063" s="10">
        <v>3002</v>
      </c>
      <c r="D3063" s="2" t="str">
        <f t="shared" si="46"/>
        <v>OK</v>
      </c>
    </row>
    <row r="3064" spans="1:4" x14ac:dyDescent="0.2">
      <c r="A3064" s="5">
        <v>3003</v>
      </c>
      <c r="B3064" s="138">
        <f>'Expenditures 15-22'!D219</f>
        <v>528</v>
      </c>
      <c r="D3064" s="2" t="str">
        <f t="shared" si="46"/>
        <v>Error?</v>
      </c>
    </row>
    <row r="3065" spans="1:4" x14ac:dyDescent="0.2">
      <c r="A3065" s="5">
        <v>3004</v>
      </c>
      <c r="B3065" s="138">
        <f>'Expenditures 15-22'!K219</f>
        <v>528</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1511714</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369440</v>
      </c>
      <c r="C3225" s="2" t="s">
        <v>594</v>
      </c>
      <c r="D3225" s="2" t="str">
        <f t="shared" si="49"/>
        <v>Error?</v>
      </c>
    </row>
    <row r="3226" spans="1:4" x14ac:dyDescent="0.2">
      <c r="A3226" s="5">
        <v>3165</v>
      </c>
      <c r="B3226" s="138">
        <f>'Acct Summary 7-8'!I8</f>
        <v>369440</v>
      </c>
      <c r="C3226" s="2" t="s">
        <v>594</v>
      </c>
      <c r="D3226" s="2" t="str">
        <f t="shared" si="49"/>
        <v>Error?</v>
      </c>
    </row>
    <row r="3227" spans="1:4" x14ac:dyDescent="0.2">
      <c r="A3227" s="5">
        <v>3166</v>
      </c>
      <c r="B3227" s="138">
        <f>'Acct Summary 7-8'!I20</f>
        <v>369440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262512</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-232983</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132155</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-15955</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202757</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202757</v>
      </c>
      <c r="C3277" s="2" t="s">
        <v>594</v>
      </c>
      <c r="D3277" s="2" t="str">
        <f t="shared" si="50"/>
        <v>Error?</v>
      </c>
    </row>
    <row r="3278" spans="1:4" x14ac:dyDescent="0.2">
      <c r="A3278" s="5">
        <v>3217</v>
      </c>
      <c r="B3278" s="138">
        <f>'Acct Summary 7-8'!E78</f>
        <v>6511</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3003744</v>
      </c>
      <c r="D3295" s="2" t="str">
        <f t="shared" si="50"/>
        <v>Error?</v>
      </c>
    </row>
    <row r="3296" spans="1:4" x14ac:dyDescent="0.2">
      <c r="A3296" s="5">
        <v>3235</v>
      </c>
      <c r="B3296" s="138">
        <f>'Acct Summary 7-8'!H44</f>
        <v>20817346</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20817346</v>
      </c>
      <c r="C3299" s="2" t="s">
        <v>594</v>
      </c>
      <c r="D3299" s="2" t="str">
        <f t="shared" si="50"/>
        <v>Error?</v>
      </c>
    </row>
    <row r="3300" spans="1:4" x14ac:dyDescent="0.2">
      <c r="A3300" s="5">
        <v>3239</v>
      </c>
      <c r="B3300" s="138">
        <f>'Acct Summary 7-8'!H78</f>
        <v>12802389</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3003744</v>
      </c>
      <c r="C3317" s="2" t="s">
        <v>594</v>
      </c>
      <c r="D3317" s="2" t="str">
        <f t="shared" si="50"/>
        <v>Error?</v>
      </c>
    </row>
    <row r="3318" spans="1:4" x14ac:dyDescent="0.2">
      <c r="A3318" s="5">
        <v>3257</v>
      </c>
      <c r="B3318" s="138">
        <f>'Acct Summary 7-8'!I76</f>
        <v>3003744</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369440</v>
      </c>
      <c r="C3320" s="2" t="s">
        <v>594</v>
      </c>
      <c r="D3320" s="2" t="str">
        <f t="shared" si="50"/>
        <v>Error?</v>
      </c>
    </row>
    <row r="3321" spans="1:4" x14ac:dyDescent="0.2">
      <c r="A3321" s="5">
        <v>3260</v>
      </c>
      <c r="B3321" s="138">
        <f>'Acct Summary 7-8'!I79</f>
        <v>2936970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3306410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1450840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764591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7519</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7600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2230550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108129</v>
      </c>
      <c r="D3387" s="2" t="str">
        <f t="shared" si="51"/>
        <v>Error?</v>
      </c>
    </row>
    <row r="3388" spans="1:4" x14ac:dyDescent="0.2">
      <c r="A3388" s="5">
        <v>3327</v>
      </c>
      <c r="B3388" s="138">
        <f>'Expenditures 15-22'!D217</f>
        <v>62032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108129</v>
      </c>
      <c r="C3390" s="2" t="s">
        <v>594</v>
      </c>
      <c r="D3390" s="2" t="str">
        <f t="shared" si="51"/>
        <v>Error?</v>
      </c>
    </row>
    <row r="3391" spans="1:4" x14ac:dyDescent="0.2">
      <c r="A3391" s="5">
        <v>3330</v>
      </c>
      <c r="B3391" s="138">
        <f>'Expenditures 15-22'!K217</f>
        <v>62032</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1762121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33934</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254135</v>
      </c>
      <c r="D3417" s="2" t="str">
        <f t="shared" si="52"/>
        <v>Error?</v>
      </c>
    </row>
    <row r="3418" spans="1:4" x14ac:dyDescent="0.2">
      <c r="A3418" s="10">
        <v>3357</v>
      </c>
      <c r="D3418" s="2" t="str">
        <f t="shared" si="52"/>
        <v>OK</v>
      </c>
    </row>
    <row r="3419" spans="1:4" x14ac:dyDescent="0.2">
      <c r="A3419" s="5">
        <v>3358</v>
      </c>
      <c r="B3419" s="138">
        <f>'Assets-Liab 5-6'!F4</f>
        <v>4864</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3886</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23974</v>
      </c>
      <c r="D3425" s="2" t="str">
        <f t="shared" si="52"/>
        <v>Error?</v>
      </c>
    </row>
    <row r="3426" spans="1:4" x14ac:dyDescent="0.2">
      <c r="A3426" s="10">
        <v>3365</v>
      </c>
      <c r="D3426" s="2" t="str">
        <f t="shared" si="52"/>
        <v>OK</v>
      </c>
    </row>
    <row r="3427" spans="1:4" x14ac:dyDescent="0.2">
      <c r="A3427" s="5">
        <v>3366</v>
      </c>
      <c r="B3427" s="138">
        <f>'Assets-Liab 5-6'!I4</f>
        <v>1185</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1675145</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240460</v>
      </c>
      <c r="C3446" s="2" t="s">
        <v>594</v>
      </c>
      <c r="D3446" s="2" t="str">
        <f t="shared" si="52"/>
        <v>Error?</v>
      </c>
    </row>
    <row r="3447" spans="1:4" x14ac:dyDescent="0.2">
      <c r="A3447" s="5">
        <v>3386</v>
      </c>
      <c r="B3447" s="138">
        <f>'Tax Sched 23'!D16</f>
        <v>240369</v>
      </c>
      <c r="C3447" s="2" t="s">
        <v>594</v>
      </c>
      <c r="D3447" s="2" t="str">
        <f t="shared" si="52"/>
        <v>Error?</v>
      </c>
    </row>
    <row r="3448" spans="1:4" x14ac:dyDescent="0.2">
      <c r="A3448" s="5">
        <v>3387</v>
      </c>
      <c r="B3448" s="138">
        <f>'Tax Sched 23'!C16</f>
        <v>91</v>
      </c>
      <c r="D3448" s="2" t="str">
        <f t="shared" si="52"/>
        <v>Error?</v>
      </c>
    </row>
    <row r="3449" spans="1:4" x14ac:dyDescent="0.2">
      <c r="A3449" s="5">
        <v>3388</v>
      </c>
      <c r="B3449" s="138">
        <f>'Tax Sched 23'!F16</f>
        <v>248413</v>
      </c>
      <c r="C3449" s="2" t="s">
        <v>594</v>
      </c>
      <c r="D3449" s="2" t="str">
        <f t="shared" si="52"/>
        <v>Error?</v>
      </c>
    </row>
    <row r="3450" spans="1:4" x14ac:dyDescent="0.2">
      <c r="A3450" s="5">
        <v>3389</v>
      </c>
      <c r="B3450" s="138">
        <f>'Tax Sched 23'!E16</f>
        <v>248504</v>
      </c>
      <c r="D3450" s="2" t="str">
        <f t="shared" si="52"/>
        <v>Error?</v>
      </c>
    </row>
    <row r="3451" spans="1:4" x14ac:dyDescent="0.2">
      <c r="A3451" s="5">
        <v>3390</v>
      </c>
      <c r="B3451" s="138">
        <f>'Cap Outlay Deprec 26'!C15</f>
        <v>539933</v>
      </c>
      <c r="D3451" s="2" t="str">
        <f t="shared" si="52"/>
        <v>Error?</v>
      </c>
    </row>
    <row r="3452" spans="1:4" x14ac:dyDescent="0.2">
      <c r="A3452" s="5">
        <v>3391</v>
      </c>
      <c r="B3452" s="138">
        <f>'Cap Outlay Deprec 26'!D15</f>
        <v>7172468</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7712401</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7712401</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6648</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753</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84609</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85362</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85362</v>
      </c>
      <c r="D3567" s="2" t="str">
        <f t="shared" si="54"/>
        <v>Error?</v>
      </c>
    </row>
    <row r="3568" spans="1:4" x14ac:dyDescent="0.2">
      <c r="A3568" s="5">
        <v>3507</v>
      </c>
      <c r="B3568" s="138">
        <f>'Assets-Liab 5-6'!K41</f>
        <v>85362</v>
      </c>
      <c r="C3568" s="2" t="s">
        <v>594</v>
      </c>
      <c r="D3568" s="2" t="str">
        <f t="shared" si="54"/>
        <v>Error?</v>
      </c>
    </row>
    <row r="3569" spans="1:4" x14ac:dyDescent="0.2">
      <c r="A3569" s="5">
        <v>3508</v>
      </c>
      <c r="B3569" s="138">
        <f>'Acct Summary 7-8'!K4</f>
        <v>1057</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1057</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1057</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1057</v>
      </c>
      <c r="C3588" s="2" t="s">
        <v>594</v>
      </c>
      <c r="D3588" s="2" t="str">
        <f t="shared" si="55"/>
        <v>Error?</v>
      </c>
    </row>
    <row r="3589" spans="1:4" x14ac:dyDescent="0.2">
      <c r="A3589" s="5">
        <v>3528</v>
      </c>
      <c r="B3589" s="138">
        <f>'Acct Summary 7-8'!K79</f>
        <v>84305</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85362</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1057</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393744</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7733780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29895789</v>
      </c>
      <c r="C4122" s="2" t="s">
        <v>594</v>
      </c>
      <c r="D4122" s="2" t="str">
        <f t="shared" si="63"/>
        <v>Error?</v>
      </c>
    </row>
    <row r="4123" spans="1:4" x14ac:dyDescent="0.2">
      <c r="A4123" s="5">
        <v>4062</v>
      </c>
      <c r="B4123" s="138">
        <f>'Acct Summary 7-8'!D10</f>
        <v>1841063</v>
      </c>
      <c r="C4123" s="2" t="s">
        <v>594</v>
      </c>
      <c r="D4123" s="2" t="str">
        <f t="shared" si="63"/>
        <v>Error?</v>
      </c>
    </row>
    <row r="4124" spans="1:4" x14ac:dyDescent="0.2">
      <c r="A4124" s="5">
        <v>4063</v>
      </c>
      <c r="B4124" s="138">
        <f>'Acct Summary 7-8'!E10</f>
        <v>777336</v>
      </c>
      <c r="C4124" s="2" t="s">
        <v>594</v>
      </c>
      <c r="D4124" s="2" t="str">
        <f t="shared" si="63"/>
        <v>Error?</v>
      </c>
    </row>
    <row r="4125" spans="1:4" x14ac:dyDescent="0.2">
      <c r="A4125" s="5">
        <v>4064</v>
      </c>
      <c r="B4125" s="138">
        <f>'Acct Summary 7-8'!F10</f>
        <v>1315295</v>
      </c>
      <c r="C4125" s="2" t="s">
        <v>594</v>
      </c>
      <c r="D4125" s="2" t="str">
        <f t="shared" si="63"/>
        <v>Error?</v>
      </c>
    </row>
    <row r="4126" spans="1:4" x14ac:dyDescent="0.2">
      <c r="A4126" s="5">
        <v>4065</v>
      </c>
      <c r="B4126" s="138">
        <f>'Acct Summary 7-8'!G10</f>
        <v>525252</v>
      </c>
      <c r="C4126" s="2" t="s">
        <v>594</v>
      </c>
      <c r="D4126" s="2" t="str">
        <f t="shared" si="63"/>
        <v>Error?</v>
      </c>
    </row>
    <row r="4127" spans="1:4" x14ac:dyDescent="0.2">
      <c r="A4127" s="5">
        <v>4066</v>
      </c>
      <c r="B4127" s="138">
        <f>'Acct Summary 7-8'!H10</f>
        <v>109883</v>
      </c>
      <c r="C4127" s="2" t="s">
        <v>594</v>
      </c>
      <c r="D4127" s="2" t="str">
        <f t="shared" si="63"/>
        <v>Error?</v>
      </c>
    </row>
    <row r="4128" spans="1:4" x14ac:dyDescent="0.2">
      <c r="A4128" s="5">
        <v>4067</v>
      </c>
      <c r="B4128" s="138">
        <f>'Acct Summary 7-8'!I10</f>
        <v>369440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1057</v>
      </c>
      <c r="C4130" s="2" t="s">
        <v>594</v>
      </c>
      <c r="D4130" s="2" t="str">
        <f t="shared" si="63"/>
        <v>Error?</v>
      </c>
    </row>
    <row r="4131" spans="1:4" x14ac:dyDescent="0.2">
      <c r="A4131" s="5">
        <v>4070</v>
      </c>
      <c r="B4131" s="138">
        <f>'Acct Summary 7-8'!C18</f>
        <v>7733780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29633277</v>
      </c>
      <c r="C4136" s="2" t="s">
        <v>594</v>
      </c>
      <c r="D4136" s="2" t="str">
        <f t="shared" si="63"/>
        <v>Error?</v>
      </c>
    </row>
    <row r="4137" spans="1:4" x14ac:dyDescent="0.2">
      <c r="A4137" s="5">
        <v>4076</v>
      </c>
      <c r="B4137" s="138">
        <f>'Acct Summary 7-8'!D19</f>
        <v>2074046</v>
      </c>
      <c r="C4137" s="2" t="s">
        <v>594</v>
      </c>
      <c r="D4137" s="2" t="str">
        <f t="shared" si="63"/>
        <v>Error?</v>
      </c>
    </row>
    <row r="4138" spans="1:4" x14ac:dyDescent="0.2">
      <c r="A4138" s="5">
        <v>4077</v>
      </c>
      <c r="B4138" s="138">
        <f>'Acct Summary 7-8'!E19</f>
        <v>973582</v>
      </c>
      <c r="C4138" s="2" t="s">
        <v>594</v>
      </c>
      <c r="D4138" s="2" t="str">
        <f t="shared" si="63"/>
        <v>Error?</v>
      </c>
    </row>
    <row r="4139" spans="1:4" x14ac:dyDescent="0.2">
      <c r="A4139" s="5">
        <v>4078</v>
      </c>
      <c r="B4139" s="138">
        <f>'Acct Summary 7-8'!F19</f>
        <v>1183140</v>
      </c>
      <c r="C4139" s="2" t="s">
        <v>594</v>
      </c>
      <c r="D4139" s="2" t="str">
        <f t="shared" si="63"/>
        <v>Error?</v>
      </c>
    </row>
    <row r="4140" spans="1:4" x14ac:dyDescent="0.2">
      <c r="A4140" s="5">
        <v>4079</v>
      </c>
      <c r="B4140" s="138">
        <f>'Acct Summary 7-8'!G19</f>
        <v>541207</v>
      </c>
      <c r="C4140" s="2" t="s">
        <v>594</v>
      </c>
      <c r="D4140" s="2" t="str">
        <f t="shared" si="63"/>
        <v>Error?</v>
      </c>
    </row>
    <row r="4141" spans="1:4" x14ac:dyDescent="0.2">
      <c r="A4141" s="5">
        <v>4080</v>
      </c>
      <c r="B4141" s="138">
        <f>'Acct Summary 7-8'!H19</f>
        <v>8124840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24405000</v>
      </c>
      <c r="C4171" s="2" t="s">
        <v>594</v>
      </c>
      <c r="D4171" s="2" t="str">
        <f t="shared" si="64"/>
        <v>Error?</v>
      </c>
    </row>
    <row r="4172" spans="1:4" x14ac:dyDescent="0.2">
      <c r="A4172" s="5">
        <v>4111</v>
      </c>
      <c r="B4172" s="138">
        <f>'Short-Term Long-Term Debt 24'!J49</f>
        <v>24090146</v>
      </c>
      <c r="C4172" s="2" t="s">
        <v>594</v>
      </c>
      <c r="D4172" s="2" t="str">
        <f t="shared" si="64"/>
        <v>Error?</v>
      </c>
    </row>
    <row r="4173" spans="1:4" x14ac:dyDescent="0.2">
      <c r="A4173" s="5">
        <v>4112</v>
      </c>
      <c r="B4173" s="138">
        <f>'Short-Term Long-Term Debt 24'!H49</f>
        <v>645000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1866.7</v>
      </c>
      <c r="C4265" s="2" t="s">
        <v>594</v>
      </c>
      <c r="D4265" s="2" t="str">
        <f t="shared" si="65"/>
        <v>Error?</v>
      </c>
      <c r="E4265" s="128"/>
    </row>
    <row r="4266" spans="1:5" x14ac:dyDescent="0.2">
      <c r="A4266" s="12">
        <v>4205</v>
      </c>
      <c r="B4266" s="138">
        <f>('FP Info 3'!F10)*100000</f>
        <v>230</v>
      </c>
      <c r="C4266" s="2" t="s">
        <v>594</v>
      </c>
      <c r="D4266" s="2" t="str">
        <f t="shared" si="65"/>
        <v>Error?</v>
      </c>
      <c r="E4266" s="128"/>
    </row>
    <row r="4267" spans="1:5" x14ac:dyDescent="0.2">
      <c r="A4267" s="12">
        <v>4206</v>
      </c>
      <c r="B4267" s="138">
        <f>('FP Info 3'!H10)*100000</f>
        <v>120.60000000000001</v>
      </c>
      <c r="C4267" s="2" t="s">
        <v>594</v>
      </c>
      <c r="D4267" s="2" t="str">
        <f t="shared" si="65"/>
        <v>Error?</v>
      </c>
      <c r="E4267" s="128"/>
    </row>
    <row r="4268" spans="1:5" x14ac:dyDescent="0.2">
      <c r="A4268" s="12">
        <v>4207</v>
      </c>
      <c r="B4268" s="138">
        <f>('FP Info 3'!J10)*100000</f>
        <v>2217</v>
      </c>
      <c r="C4268" s="2" t="s">
        <v>594</v>
      </c>
      <c r="D4268" s="2" t="str">
        <f t="shared" si="65"/>
        <v>Error?</v>
      </c>
    </row>
    <row r="4269" spans="1:5" x14ac:dyDescent="0.2">
      <c r="A4269" s="12">
        <v>4208</v>
      </c>
      <c r="B4269" s="138">
        <f>'FP Info 3'!J16</f>
        <v>10883434</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12356</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45152</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1445</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21382</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2907</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4999</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678973319</v>
      </c>
      <c r="D4995" s="2" t="str">
        <f t="shared" si="77"/>
        <v>Error?</v>
      </c>
    </row>
    <row r="4996" spans="1:4" x14ac:dyDescent="0.2">
      <c r="A4996" s="12">
        <v>4935</v>
      </c>
      <c r="B4996" s="138">
        <f>'FP Info 3'!H31</f>
        <v>46849159.011000007</v>
      </c>
      <c r="D4996" s="2" t="str">
        <f t="shared" si="77"/>
        <v>Error?</v>
      </c>
    </row>
    <row r="4997" spans="1:4" x14ac:dyDescent="0.2">
      <c r="A4997" s="12">
        <v>4936</v>
      </c>
      <c r="B4997" s="138">
        <f>'FP Info 3'!H37</f>
        <v>24405000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11901981</v>
      </c>
      <c r="D5061" s="2" t="str">
        <f t="shared" si="78"/>
        <v>Error?</v>
      </c>
    </row>
    <row r="5062" spans="1:4" x14ac:dyDescent="0.2">
      <c r="A5062" s="10">
        <v>5001</v>
      </c>
      <c r="D5062" s="2" t="str">
        <f t="shared" si="78"/>
        <v>OK</v>
      </c>
    </row>
    <row r="5063" spans="1:4" x14ac:dyDescent="0.2">
      <c r="A5063" s="5">
        <v>5002</v>
      </c>
      <c r="B5063" s="138">
        <f>'Revenues 9-14'!C7</f>
        <v>1054914</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12956895</v>
      </c>
      <c r="C5066" s="2" t="s">
        <v>594</v>
      </c>
      <c r="D5066" s="2" t="str">
        <f t="shared" si="78"/>
        <v>Error?</v>
      </c>
    </row>
    <row r="5067" spans="1:4" x14ac:dyDescent="0.2">
      <c r="A5067" s="5">
        <v>5006</v>
      </c>
      <c r="B5067" s="138">
        <f>'Revenues 9-14'!C14</f>
        <v>112</v>
      </c>
      <c r="D5067" s="2" t="str">
        <f t="shared" si="78"/>
        <v>Error?</v>
      </c>
    </row>
    <row r="5068" spans="1:4" x14ac:dyDescent="0.2">
      <c r="A5068" s="5">
        <v>5007</v>
      </c>
      <c r="B5068" s="138">
        <f>'Revenues 9-14'!C15</f>
        <v>0</v>
      </c>
      <c r="D5068" s="2" t="str">
        <f t="shared" si="78"/>
        <v>Error?</v>
      </c>
    </row>
    <row r="5069" spans="1:4" x14ac:dyDescent="0.2">
      <c r="A5069" s="5">
        <v>5008</v>
      </c>
      <c r="B5069" s="138">
        <f>'Revenues 9-14'!C16</f>
        <v>421268</v>
      </c>
      <c r="D5069" s="2" t="str">
        <f t="shared" si="78"/>
        <v>Error?</v>
      </c>
    </row>
    <row r="5070" spans="1:4" x14ac:dyDescent="0.2">
      <c r="A5070" s="5">
        <v>5009</v>
      </c>
      <c r="B5070" s="138">
        <f>'Revenues 9-14'!C17</f>
        <v>8258</v>
      </c>
      <c r="D5070" s="2" t="str">
        <f t="shared" si="78"/>
        <v>Error?</v>
      </c>
    </row>
    <row r="5071" spans="1:4" x14ac:dyDescent="0.2">
      <c r="A5071" s="5">
        <v>5010</v>
      </c>
      <c r="B5071" s="138">
        <f>'Revenues 9-14'!C18</f>
        <v>429638</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14190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14190</v>
      </c>
      <c r="C5087" s="2" t="s">
        <v>594</v>
      </c>
      <c r="D5087" s="2" t="str">
        <f t="shared" si="78"/>
        <v>Error?</v>
      </c>
    </row>
    <row r="5088" spans="1:4" x14ac:dyDescent="0.2">
      <c r="A5088" s="5">
        <v>5027</v>
      </c>
      <c r="B5088" s="138">
        <f>'Revenues 9-14'!C65</f>
        <v>106520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106520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24694</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468128</v>
      </c>
      <c r="C5096" s="2" t="s">
        <v>594</v>
      </c>
      <c r="D5096" s="2" t="str">
        <f t="shared" si="78"/>
        <v>Error?</v>
      </c>
    </row>
    <row r="5097" spans="1:4" x14ac:dyDescent="0.2">
      <c r="A5097" s="5">
        <v>5036</v>
      </c>
      <c r="B5097" s="138">
        <f>'Revenues 9-14'!C77</f>
        <v>106485</v>
      </c>
      <c r="D5097" s="2" t="str">
        <f t="shared" si="78"/>
        <v>Error?</v>
      </c>
    </row>
    <row r="5098" spans="1:4" x14ac:dyDescent="0.2">
      <c r="A5098" s="5">
        <v>5037</v>
      </c>
      <c r="B5098" s="138">
        <f>'Revenues 9-14'!C78</f>
        <v>0</v>
      </c>
      <c r="D5098" s="2" t="str">
        <f t="shared" si="78"/>
        <v>Error?</v>
      </c>
    </row>
    <row r="5099" spans="1:4" x14ac:dyDescent="0.2">
      <c r="A5099" s="5">
        <v>5038</v>
      </c>
      <c r="B5099" s="138">
        <f>'Revenues 9-14'!C79</f>
        <v>48084</v>
      </c>
      <c r="D5099" s="2" t="str">
        <f t="shared" si="78"/>
        <v>Error?</v>
      </c>
    </row>
    <row r="5100" spans="1:4" x14ac:dyDescent="0.2">
      <c r="A5100" s="5">
        <v>5039</v>
      </c>
      <c r="B5100" s="138">
        <f>'Revenues 9-14'!C80</f>
        <v>8837</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163406</v>
      </c>
      <c r="C5102" s="2" t="s">
        <v>594</v>
      </c>
      <c r="D5102" s="2" t="str">
        <f t="shared" si="78"/>
        <v>Error?</v>
      </c>
    </row>
    <row r="5103" spans="1:4" x14ac:dyDescent="0.2">
      <c r="A5103" s="5">
        <v>5042</v>
      </c>
      <c r="B5103" s="138">
        <f>'Revenues 9-14'!C84</f>
        <v>718450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1377</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719827</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32538</v>
      </c>
      <c r="D5114" s="2" t="str">
        <f t="shared" si="78"/>
        <v>Error?</v>
      </c>
    </row>
    <row r="5115" spans="1:4" x14ac:dyDescent="0.2">
      <c r="A5115" s="5">
        <v>5054</v>
      </c>
      <c r="B5115" s="138">
        <f>'Revenues 9-14'!C98</f>
        <v>0</v>
      </c>
      <c r="D5115" s="2" t="str">
        <f t="shared" si="78"/>
        <v>Error?</v>
      </c>
    </row>
    <row r="5116" spans="1:4" x14ac:dyDescent="0.2">
      <c r="A5116" s="5">
        <v>5055</v>
      </c>
      <c r="B5116" s="138">
        <f>'Revenues 9-14'!C99</f>
        <v>223639</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18573</v>
      </c>
      <c r="D5118" s="2" t="str">
        <f t="shared" si="78"/>
        <v>Error?</v>
      </c>
    </row>
    <row r="5119" spans="1:4" x14ac:dyDescent="0.2">
      <c r="A5119" s="5">
        <v>5058</v>
      </c>
      <c r="B5119" s="138">
        <f>'Revenues 9-14'!C107</f>
        <v>77225</v>
      </c>
      <c r="D5119" s="2" t="str">
        <f t="shared" ref="D5119:D5182" si="79">IF(ISBLANK(B5119),"OK",IF(A5119-B5119=0,"OK","Error?"))</f>
        <v>Error?</v>
      </c>
    </row>
    <row r="5120" spans="1:4" x14ac:dyDescent="0.2">
      <c r="A5120" s="5">
        <v>5059</v>
      </c>
      <c r="B5120" s="138">
        <f>'Revenues 9-14'!C108</f>
        <v>380018</v>
      </c>
      <c r="C5120" s="2" t="s">
        <v>594</v>
      </c>
      <c r="D5120" s="2" t="str">
        <f t="shared" si="79"/>
        <v>Error?</v>
      </c>
    </row>
    <row r="5121" spans="1:4" x14ac:dyDescent="0.2">
      <c r="A5121" s="5">
        <v>5060</v>
      </c>
      <c r="B5121" s="138">
        <f>'Revenues 9-14'!C109</f>
        <v>15238622</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5530578</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5530578</v>
      </c>
      <c r="C5132" s="2" t="s">
        <v>594</v>
      </c>
      <c r="D5132" s="2" t="str">
        <f t="shared" si="79"/>
        <v>Error?</v>
      </c>
    </row>
    <row r="5133" spans="1:4" x14ac:dyDescent="0.2">
      <c r="A5133" s="5">
        <v>5072</v>
      </c>
      <c r="B5133" s="138">
        <f>'Revenues 9-14'!C124</f>
        <v>200035</v>
      </c>
      <c r="D5133" s="2" t="str">
        <f t="shared" si="79"/>
        <v>Error?</v>
      </c>
    </row>
    <row r="5134" spans="1:4" x14ac:dyDescent="0.2">
      <c r="A5134" s="5">
        <v>5073</v>
      </c>
      <c r="B5134" s="138">
        <f>'Revenues 9-14'!C125</f>
        <v>127096</v>
      </c>
      <c r="D5134" s="2" t="str">
        <f t="shared" si="79"/>
        <v>Error?</v>
      </c>
    </row>
    <row r="5135" spans="1:4" x14ac:dyDescent="0.2">
      <c r="A5135" s="5">
        <v>5074</v>
      </c>
      <c r="B5135" s="138">
        <f>'Revenues 9-14'!C126</f>
        <v>141296</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14356</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482783</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17300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17300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1751</v>
      </c>
      <c r="D5167" s="2" t="str">
        <f t="shared" si="79"/>
        <v>Error?</v>
      </c>
    </row>
    <row r="5168" spans="1:4" x14ac:dyDescent="0.2">
      <c r="A5168" s="5">
        <v>5107</v>
      </c>
      <c r="B5168" s="138">
        <f>'Revenues 9-14'!C147</f>
        <v>21887</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526628</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6057206</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159265</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8449</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167714</v>
      </c>
      <c r="C5246" s="2" t="s">
        <v>594</v>
      </c>
      <c r="D5246" s="2" t="str">
        <f t="shared" si="80"/>
        <v>Error?</v>
      </c>
    </row>
    <row r="5247" spans="1:4" x14ac:dyDescent="0.2">
      <c r="A5247" s="5">
        <v>5186</v>
      </c>
      <c r="B5247" s="138">
        <f>'Revenues 9-14'!C203</f>
        <v>120092</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1445</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120092</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394827</v>
      </c>
      <c r="D5278" s="2" t="str">
        <f t="shared" si="81"/>
        <v>Error?</v>
      </c>
    </row>
    <row r="5279" spans="1:4" x14ac:dyDescent="0.2">
      <c r="A5279" s="5">
        <v>5218</v>
      </c>
      <c r="B5279" s="138">
        <f>'Revenues 9-14'!C221</f>
        <v>98214</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493041</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866181</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866181</v>
      </c>
      <c r="C5326" s="2" t="s">
        <v>594</v>
      </c>
      <c r="D5326" s="2" t="str">
        <f t="shared" si="82"/>
        <v>Error?</v>
      </c>
    </row>
    <row r="5327" spans="1:4" x14ac:dyDescent="0.2">
      <c r="A5327" s="5">
        <v>5266</v>
      </c>
      <c r="B5327" s="138">
        <f>'Revenues 9-14'!C275</f>
        <v>22162009</v>
      </c>
      <c r="C5327" s="2" t="s">
        <v>594</v>
      </c>
      <c r="D5327" s="2" t="str">
        <f t="shared" si="82"/>
        <v>Error?</v>
      </c>
    </row>
    <row r="5328" spans="1:4" x14ac:dyDescent="0.2">
      <c r="A5328" s="5">
        <v>5267</v>
      </c>
      <c r="B5328" s="138">
        <f>'Revenues 9-14'!D5</f>
        <v>1570946</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1570946</v>
      </c>
      <c r="C5334" s="2" t="s">
        <v>594</v>
      </c>
      <c r="D5334" s="2" t="str">
        <f t="shared" si="82"/>
        <v>Error?</v>
      </c>
    </row>
    <row r="5335" spans="1:4" x14ac:dyDescent="0.2">
      <c r="A5335" s="5">
        <v>5274</v>
      </c>
      <c r="B5335" s="138">
        <f>'Revenues 9-14'!D14</f>
        <v>14</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126304</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126318</v>
      </c>
      <c r="C5339" s="2" t="s">
        <v>594</v>
      </c>
      <c r="D5339" s="2" t="str">
        <f t="shared" si="82"/>
        <v>Error?</v>
      </c>
    </row>
    <row r="5340" spans="1:4" x14ac:dyDescent="0.2">
      <c r="A5340" s="5">
        <v>5279</v>
      </c>
      <c r="B5340" s="138">
        <f>'Revenues 9-14'!D65</f>
        <v>41067</v>
      </c>
      <c r="D5340" s="2" t="str">
        <f t="shared" si="82"/>
        <v>Error?</v>
      </c>
    </row>
    <row r="5341" spans="1:4" x14ac:dyDescent="0.2">
      <c r="A5341" s="5">
        <v>5280</v>
      </c>
      <c r="B5341" s="138">
        <f>'Revenues 9-14'!D66</f>
        <v>0</v>
      </c>
      <c r="D5341" s="2" t="str">
        <f t="shared" si="82"/>
        <v>Error?</v>
      </c>
    </row>
    <row r="5342" spans="1:4" x14ac:dyDescent="0.2">
      <c r="A5342" s="5">
        <v>5281</v>
      </c>
      <c r="B5342" s="138">
        <f>'Revenues 9-14'!D67</f>
        <v>41067</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27415</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27415</v>
      </c>
      <c r="C5348" s="2" t="s">
        <v>594</v>
      </c>
      <c r="D5348" s="2" t="str">
        <f t="shared" si="82"/>
        <v>Error?</v>
      </c>
    </row>
    <row r="5349" spans="1:4" x14ac:dyDescent="0.2">
      <c r="A5349" s="5">
        <v>5288</v>
      </c>
      <c r="B5349" s="138">
        <f>'Revenues 9-14'!D95</f>
        <v>64756</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10561</v>
      </c>
      <c r="D5354" s="2" t="str">
        <f t="shared" si="82"/>
        <v>Error?</v>
      </c>
    </row>
    <row r="5355" spans="1:4" x14ac:dyDescent="0.2">
      <c r="A5355" s="5">
        <v>5294</v>
      </c>
      <c r="B5355" s="138">
        <f>'Revenues 9-14'!D108</f>
        <v>75317</v>
      </c>
      <c r="C5355" s="2" t="s">
        <v>594</v>
      </c>
      <c r="D5355" s="2" t="str">
        <f t="shared" si="82"/>
        <v>Error?</v>
      </c>
    </row>
    <row r="5356" spans="1:4" x14ac:dyDescent="0.2">
      <c r="A5356" s="5">
        <v>5295</v>
      </c>
      <c r="B5356" s="138">
        <f>'Revenues 9-14'!D109</f>
        <v>1841063</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1841063</v>
      </c>
      <c r="C5508" s="2" t="s">
        <v>594</v>
      </c>
      <c r="D5508" s="2" t="str">
        <f t="shared" si="85"/>
        <v>Error?</v>
      </c>
    </row>
    <row r="5509" spans="1:4" x14ac:dyDescent="0.2">
      <c r="A5509" s="5">
        <v>5448</v>
      </c>
      <c r="B5509" s="138">
        <f>'Revenues 9-14'!E5</f>
        <v>768165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768165</v>
      </c>
      <c r="C5513" s="2" t="s">
        <v>594</v>
      </c>
      <c r="D5513" s="2" t="str">
        <f t="shared" si="85"/>
        <v>Error?</v>
      </c>
    </row>
    <row r="5514" spans="1:4" x14ac:dyDescent="0.2">
      <c r="A5514" s="5">
        <v>5453</v>
      </c>
      <c r="B5514" s="138">
        <f>'Revenues 9-14'!E14</f>
        <v>7</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7</v>
      </c>
      <c r="C5518" s="2" t="s">
        <v>594</v>
      </c>
      <c r="D5518" s="2" t="str">
        <f t="shared" si="85"/>
        <v>Error?</v>
      </c>
    </row>
    <row r="5519" spans="1:4" x14ac:dyDescent="0.2">
      <c r="A5519" s="5">
        <v>5458</v>
      </c>
      <c r="B5519" s="138">
        <f>'Revenues 9-14'!E65</f>
        <v>9164</v>
      </c>
      <c r="D5519" s="2" t="str">
        <f t="shared" si="85"/>
        <v>Error?</v>
      </c>
    </row>
    <row r="5520" spans="1:4" x14ac:dyDescent="0.2">
      <c r="A5520" s="5">
        <v>5459</v>
      </c>
      <c r="B5520" s="138">
        <f>'Revenues 9-14'!E66</f>
        <v>0</v>
      </c>
      <c r="D5520" s="2" t="str">
        <f t="shared" si="85"/>
        <v>Error?</v>
      </c>
    </row>
    <row r="5521" spans="1:4" x14ac:dyDescent="0.2">
      <c r="A5521" s="5">
        <v>5460</v>
      </c>
      <c r="B5521" s="138">
        <f>'Revenues 9-14'!E67</f>
        <v>9164</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777336</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777336</v>
      </c>
      <c r="C5552" s="2" t="s">
        <v>594</v>
      </c>
      <c r="D5552" s="2" t="str">
        <f t="shared" si="85"/>
        <v>Error?</v>
      </c>
    </row>
    <row r="5553" spans="1:4" x14ac:dyDescent="0.2">
      <c r="A5553" s="5">
        <v>5492</v>
      </c>
      <c r="B5553" s="138">
        <f>'Revenues 9-14'!F5</f>
        <v>793343</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793343</v>
      </c>
      <c r="C5557" s="2" t="s">
        <v>594</v>
      </c>
      <c r="D5557" s="2" t="str">
        <f t="shared" si="85"/>
        <v>Error?</v>
      </c>
    </row>
    <row r="5558" spans="1:4" x14ac:dyDescent="0.2">
      <c r="A5558" s="5">
        <v>5497</v>
      </c>
      <c r="B5558" s="138">
        <f>'Revenues 9-14'!F14</f>
        <v>7</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7</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12433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12433</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805783</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134731</v>
      </c>
      <c r="D5615" s="2" t="str">
        <f t="shared" si="86"/>
        <v>Error?</v>
      </c>
    </row>
    <row r="5616" spans="1:4" x14ac:dyDescent="0.2">
      <c r="A5616" s="10">
        <v>5555</v>
      </c>
      <c r="D5616" s="2" t="str">
        <f t="shared" si="86"/>
        <v>OK</v>
      </c>
    </row>
    <row r="5617" spans="1:4" x14ac:dyDescent="0.2">
      <c r="A5617" s="5">
        <v>5556</v>
      </c>
      <c r="B5617" s="138">
        <f>'Revenues 9-14'!F152</f>
        <v>374781</v>
      </c>
      <c r="D5617" s="2" t="str">
        <f t="shared" si="86"/>
        <v>Error?</v>
      </c>
    </row>
    <row r="5618" spans="1:4" x14ac:dyDescent="0.2">
      <c r="A5618" s="5">
        <v>5557</v>
      </c>
      <c r="B5618" s="138">
        <f>'Revenues 9-14'!F154</f>
        <v>509512</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509512</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509512</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1315295</v>
      </c>
      <c r="C5720" s="2" t="s">
        <v>594</v>
      </c>
      <c r="D5720" s="2" t="str">
        <f t="shared" si="88"/>
        <v>Error?</v>
      </c>
    </row>
    <row r="5721" spans="1:4" x14ac:dyDescent="0.2">
      <c r="A5721" s="5">
        <v>5660</v>
      </c>
      <c r="B5721" s="138">
        <f>'Revenues 9-14'!G5</f>
        <v>221238</v>
      </c>
      <c r="D5721" s="2" t="str">
        <f t="shared" si="88"/>
        <v>Error?</v>
      </c>
    </row>
    <row r="5722" spans="1:4" x14ac:dyDescent="0.2">
      <c r="A5722" s="5">
        <v>5661</v>
      </c>
      <c r="B5722" s="138">
        <f>'Revenues 9-14'!G7</f>
        <v>0</v>
      </c>
      <c r="D5722" s="2" t="str">
        <f t="shared" si="88"/>
        <v>Error?</v>
      </c>
    </row>
    <row r="5723" spans="1:4" x14ac:dyDescent="0.2">
      <c r="A5723" s="5">
        <v>5662</v>
      </c>
      <c r="B5723" s="138">
        <f>'Revenues 9-14'!G8</f>
        <v>240460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461698</v>
      </c>
      <c r="C5725" s="2" t="s">
        <v>594</v>
      </c>
      <c r="D5725" s="2" t="str">
        <f t="shared" si="88"/>
        <v>Error?</v>
      </c>
    </row>
    <row r="5726" spans="1:4" x14ac:dyDescent="0.2">
      <c r="A5726" s="5">
        <v>5665</v>
      </c>
      <c r="B5726" s="138">
        <f>'Revenues 9-14'!G14</f>
        <v>4</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42500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42504</v>
      </c>
      <c r="C5730" s="2" t="s">
        <v>594</v>
      </c>
      <c r="D5730" s="2" t="str">
        <f t="shared" si="88"/>
        <v>Error?</v>
      </c>
    </row>
    <row r="5731" spans="1:4" x14ac:dyDescent="0.2">
      <c r="A5731" s="5">
        <v>5670</v>
      </c>
      <c r="B5731" s="138">
        <f>'Revenues 9-14'!G65</f>
        <v>21050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21050</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525252</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109883</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109883</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109883</v>
      </c>
      <c r="C5915" s="2" t="s">
        <v>594</v>
      </c>
      <c r="D5915" s="2" t="str">
        <f t="shared" si="91"/>
        <v>Error?</v>
      </c>
    </row>
    <row r="5916" spans="1:4" x14ac:dyDescent="0.2">
      <c r="A5916" s="5">
        <v>5855</v>
      </c>
      <c r="B5916" s="138">
        <f>'Revenues 9-14'!I5</f>
        <v>301106</v>
      </c>
      <c r="D5916" s="2" t="str">
        <f t="shared" si="91"/>
        <v>Error?</v>
      </c>
    </row>
    <row r="5917" spans="1:4" x14ac:dyDescent="0.2">
      <c r="A5917" s="5">
        <v>5856</v>
      </c>
      <c r="B5917" s="138">
        <f>'Revenues 9-14'!I11</f>
        <v>0</v>
      </c>
      <c r="D5917" s="2" t="str">
        <f t="shared" si="91"/>
        <v>Error?</v>
      </c>
    </row>
    <row r="5918" spans="1:4" x14ac:dyDescent="0.2">
      <c r="A5918" s="5">
        <v>5857</v>
      </c>
      <c r="B5918" s="138">
        <f>'Revenues 9-14'!I12</f>
        <v>301106</v>
      </c>
      <c r="C5918" s="2" t="s">
        <v>594</v>
      </c>
      <c r="D5918" s="2" t="str">
        <f t="shared" si="91"/>
        <v>Error?</v>
      </c>
    </row>
    <row r="5919" spans="1:4" x14ac:dyDescent="0.2">
      <c r="A5919" s="5">
        <v>5858</v>
      </c>
      <c r="B5919" s="138">
        <f>'Revenues 9-14'!I14</f>
        <v>3</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3</v>
      </c>
      <c r="C5923" s="2" t="s">
        <v>594</v>
      </c>
      <c r="D5923" s="2" t="str">
        <f t="shared" si="91"/>
        <v>Error?</v>
      </c>
    </row>
    <row r="5924" spans="1:4" x14ac:dyDescent="0.2">
      <c r="A5924" s="5">
        <v>5863</v>
      </c>
      <c r="B5924" s="138">
        <f>'Revenues 9-14'!I65</f>
        <v>68331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68331</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369440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1057</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1057</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1057</v>
      </c>
      <c r="C6023" s="2" t="s">
        <v>594</v>
      </c>
      <c r="D6023" s="2" t="str">
        <f t="shared" si="93"/>
        <v>Error?</v>
      </c>
    </row>
    <row r="6024" spans="1:5" x14ac:dyDescent="0.2">
      <c r="A6024" s="5">
        <v>5963</v>
      </c>
      <c r="B6024" s="138">
        <f>'Revenues 9-14'!G109</f>
        <v>525252</v>
      </c>
      <c r="C6024" s="2" t="s">
        <v>594</v>
      </c>
      <c r="D6024" s="2" t="str">
        <f t="shared" si="93"/>
        <v>Error?</v>
      </c>
    </row>
    <row r="6025" spans="1:5" x14ac:dyDescent="0.2">
      <c r="A6025" s="5">
        <v>5964</v>
      </c>
      <c r="B6025" s="138">
        <f>'Revenues 9-14'!H109</f>
        <v>109883</v>
      </c>
      <c r="C6025" s="2" t="s">
        <v>594</v>
      </c>
      <c r="D6025" s="2" t="str">
        <f t="shared" si="93"/>
        <v>Error?</v>
      </c>
    </row>
    <row r="6026" spans="1:5" x14ac:dyDescent="0.2">
      <c r="A6026" s="5">
        <v>5965</v>
      </c>
      <c r="B6026" s="138">
        <f>'Revenues 9-14'!I109</f>
        <v>369440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1057</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443434</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52142</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1812.75</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7048</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337572</v>
      </c>
      <c r="D6142" s="2" t="str">
        <f t="shared" si="94"/>
        <v>Error?</v>
      </c>
      <c r="E6142" s="2" t="s">
        <v>199</v>
      </c>
    </row>
    <row r="6143" spans="1:5" x14ac:dyDescent="0.2">
      <c r="A6143">
        <v>6082</v>
      </c>
      <c r="B6143" s="138">
        <f>'Assets-Liab 5-6'!D27</f>
        <v>28654</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24042</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1041876</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3003744</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262512</v>
      </c>
      <c r="D6267" s="2" t="str">
        <f t="shared" si="96"/>
        <v>Error?</v>
      </c>
      <c r="E6267" s="2" t="s">
        <v>199</v>
      </c>
    </row>
    <row r="6268" spans="1:5" x14ac:dyDescent="0.2">
      <c r="A6268">
        <v>6207</v>
      </c>
      <c r="B6268" s="138">
        <f>'Acct Summary 7-8'!D82</f>
        <v>-232983</v>
      </c>
      <c r="D6268" s="2" t="str">
        <f t="shared" si="96"/>
        <v>Error?</v>
      </c>
      <c r="E6268" s="2" t="s">
        <v>199</v>
      </c>
    </row>
    <row r="6269" spans="1:5" x14ac:dyDescent="0.2">
      <c r="A6269">
        <v>6208</v>
      </c>
      <c r="B6269" s="138">
        <f>'Acct Summary 7-8'!E82</f>
        <v>6511</v>
      </c>
      <c r="D6269" s="2" t="str">
        <f t="shared" si="96"/>
        <v>Error?</v>
      </c>
      <c r="E6269" s="2" t="s">
        <v>199</v>
      </c>
    </row>
    <row r="6270" spans="1:5" x14ac:dyDescent="0.2">
      <c r="A6270">
        <v>6209</v>
      </c>
      <c r="B6270" s="138">
        <f>'Acct Summary 7-8'!F82</f>
        <v>132155</v>
      </c>
      <c r="D6270" s="2" t="str">
        <f t="shared" si="96"/>
        <v>Error?</v>
      </c>
      <c r="E6270" s="2" t="s">
        <v>199</v>
      </c>
    </row>
    <row r="6271" spans="1:5" x14ac:dyDescent="0.2">
      <c r="A6271">
        <v>6210</v>
      </c>
      <c r="B6271" s="138">
        <f>'Acct Summary 7-8'!G82</f>
        <v>-15955</v>
      </c>
      <c r="D6271" s="2" t="str">
        <f t="shared" ref="D6271:D6334" si="97">IF(ISBLANK(B6271),"OK",IF(A6271-B6271=0,"OK","Error?"))</f>
        <v>Error?</v>
      </c>
      <c r="E6271" s="2" t="s">
        <v>199</v>
      </c>
    </row>
    <row r="6272" spans="1:5" x14ac:dyDescent="0.2">
      <c r="A6272">
        <v>6211</v>
      </c>
      <c r="B6272" s="138">
        <f>'Acct Summary 7-8'!H82</f>
        <v>12802389</v>
      </c>
      <c r="D6272" s="2" t="str">
        <f t="shared" si="97"/>
        <v>Error?</v>
      </c>
      <c r="E6272" s="2" t="s">
        <v>199</v>
      </c>
    </row>
    <row r="6273" spans="1:5" x14ac:dyDescent="0.2">
      <c r="A6273">
        <v>6212</v>
      </c>
      <c r="B6273" s="138">
        <f>'Acct Summary 7-8'!I82</f>
        <v>369440</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1057</v>
      </c>
      <c r="D6275" s="2" t="str">
        <f t="shared" si="97"/>
        <v>Error?</v>
      </c>
      <c r="E6275" s="2" t="s">
        <v>199</v>
      </c>
    </row>
    <row r="6276" spans="1:5" x14ac:dyDescent="0.2">
      <c r="A6276">
        <v>6215</v>
      </c>
      <c r="B6276" s="138">
        <f>'Acct Summary 7-8'!C83</f>
        <v>6.0866532866889006E-2</v>
      </c>
      <c r="D6276" s="2" t="str">
        <f t="shared" si="97"/>
        <v>Error?</v>
      </c>
      <c r="E6276" s="2" t="s">
        <v>199</v>
      </c>
    </row>
    <row r="6277" spans="1:5" x14ac:dyDescent="0.2">
      <c r="A6277">
        <v>6216</v>
      </c>
      <c r="B6277" s="138">
        <f>'Acct Summary 7-8'!D83</f>
        <v>-9.4344657678028812E-2</v>
      </c>
      <c r="D6277" s="2" t="str">
        <f t="shared" si="97"/>
        <v>Error?</v>
      </c>
      <c r="E6277" s="2" t="s">
        <v>199</v>
      </c>
    </row>
    <row r="6278" spans="1:5" x14ac:dyDescent="0.2">
      <c r="A6278">
        <v>6217</v>
      </c>
      <c r="B6278" s="138">
        <f>'Acct Summary 7-8'!E83</f>
        <v>2.0679426019678961E-2</v>
      </c>
      <c r="D6278" s="2" t="str">
        <f t="shared" si="97"/>
        <v>Error?</v>
      </c>
      <c r="E6278" s="2" t="s">
        <v>199</v>
      </c>
    </row>
    <row r="6279" spans="1:5" x14ac:dyDescent="0.2">
      <c r="A6279">
        <v>6218</v>
      </c>
      <c r="B6279" s="138">
        <f>'Acct Summary 7-8'!F83</f>
        <v>0.16631136235502578</v>
      </c>
      <c r="D6279" s="2" t="str">
        <f t="shared" si="97"/>
        <v>Error?</v>
      </c>
      <c r="E6279" s="2" t="s">
        <v>199</v>
      </c>
    </row>
    <row r="6280" spans="1:5" x14ac:dyDescent="0.2">
      <c r="A6280">
        <v>6219</v>
      </c>
      <c r="B6280" s="138">
        <f>'Acct Summary 7-8'!G83</f>
        <v>-1.1279253243448065E-2</v>
      </c>
      <c r="D6280" s="2" t="str">
        <f t="shared" si="97"/>
        <v>Error?</v>
      </c>
      <c r="E6280" s="2" t="s">
        <v>199</v>
      </c>
    </row>
    <row r="6281" spans="1:5" x14ac:dyDescent="0.2">
      <c r="A6281">
        <v>6220</v>
      </c>
      <c r="B6281" s="138">
        <f>'Acct Summary 7-8'!H83</f>
        <v>0.93878744787952095</v>
      </c>
      <c r="D6281" s="2" t="str">
        <f t="shared" si="97"/>
        <v>Error?</v>
      </c>
      <c r="E6281" s="2" t="s">
        <v>199</v>
      </c>
    </row>
    <row r="6282" spans="1:5" x14ac:dyDescent="0.2">
      <c r="A6282">
        <v>6221</v>
      </c>
      <c r="B6282" s="138">
        <f>'Acct Summary 7-8'!I83</f>
        <v>0.11173447939003329</v>
      </c>
      <c r="D6282" s="2" t="str">
        <f t="shared" si="97"/>
        <v>Error?</v>
      </c>
      <c r="E6282" s="2" t="s">
        <v>199</v>
      </c>
    </row>
    <row r="6283" spans="1:5" x14ac:dyDescent="0.2">
      <c r="A6283">
        <v>6222</v>
      </c>
      <c r="B6283" s="138" t="e">
        <f>'Acct Summary 7-8'!J83</f>
        <v>#DIV/0!</v>
      </c>
      <c r="D6283" s="2" t="e">
        <f t="shared" si="97"/>
        <v>#DIV/0!</v>
      </c>
      <c r="E6283" s="2" t="s">
        <v>199</v>
      </c>
    </row>
    <row r="6284" spans="1:5" x14ac:dyDescent="0.2">
      <c r="A6284">
        <v>6223</v>
      </c>
      <c r="B6284" s="138">
        <f>'Acct Summary 7-8'!K83</f>
        <v>1.2382558984091283E-2</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28043</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56345</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697592</v>
      </c>
      <c r="D6880" s="2" t="str">
        <f t="shared" si="106"/>
        <v>Error?</v>
      </c>
    </row>
    <row r="6881" spans="1:4" x14ac:dyDescent="0.2">
      <c r="A6881">
        <v>6820</v>
      </c>
      <c r="B6881" s="138">
        <f>'Expenditures 15-22'!K22</f>
        <v>697592</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1787</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1787</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1787</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174752</v>
      </c>
      <c r="D6981" s="2" t="str">
        <f t="shared" si="108"/>
        <v>Error?</v>
      </c>
    </row>
    <row r="6982" spans="1:4" x14ac:dyDescent="0.2">
      <c r="A6982">
        <v>6921</v>
      </c>
      <c r="B6982" s="138">
        <f>'Expenditures 15-22'!K85</f>
        <v>174752</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174752</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1787</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574</v>
      </c>
      <c r="D7079" s="2" t="str">
        <f t="shared" si="109"/>
        <v>Error?</v>
      </c>
    </row>
    <row r="7080" spans="1:4" x14ac:dyDescent="0.2">
      <c r="A7080">
        <v>7019</v>
      </c>
      <c r="B7080" s="138">
        <f>'Expenditures 15-22'!K226</f>
        <v>574</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41544</v>
      </c>
      <c r="D7263" s="2" t="str">
        <f t="shared" si="112"/>
        <v>Error?</v>
      </c>
    </row>
    <row r="7264" spans="1:4" x14ac:dyDescent="0.2">
      <c r="A7264">
        <f t="shared" si="113"/>
        <v>7203</v>
      </c>
      <c r="B7264" s="138">
        <f>'Expenditures 15-22'!D17</f>
        <v>14801</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91320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91320</v>
      </c>
      <c r="D7618" s="2" t="str">
        <f t="shared" si="124"/>
        <v>Error?</v>
      </c>
      <c r="E7618" s="2" t="s">
        <v>19</v>
      </c>
    </row>
    <row r="7619" spans="1:5" x14ac:dyDescent="0.2">
      <c r="A7619">
        <f t="shared" si="123"/>
        <v>7558</v>
      </c>
      <c r="B7619" s="138">
        <f>'Cap Outlay Deprec 26'!H14</f>
        <v>87783</v>
      </c>
      <c r="D7619" s="2" t="str">
        <f t="shared" si="124"/>
        <v>Error?</v>
      </c>
      <c r="E7619" s="2" t="s">
        <v>19</v>
      </c>
    </row>
    <row r="7620" spans="1:5" x14ac:dyDescent="0.2">
      <c r="A7620">
        <f t="shared" si="123"/>
        <v>7559</v>
      </c>
      <c r="B7620" s="138">
        <f>'Cap Outlay Deprec 26'!I14</f>
        <v>2408</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90191</v>
      </c>
      <c r="D7622" s="2" t="str">
        <f t="shared" si="124"/>
        <v>Error?</v>
      </c>
      <c r="E7622" s="2" t="s">
        <v>19</v>
      </c>
    </row>
    <row r="7623" spans="1:5" x14ac:dyDescent="0.2">
      <c r="A7623">
        <f t="shared" si="123"/>
        <v>7562</v>
      </c>
      <c r="B7623" s="138">
        <f>'Cap Outlay Deprec 26'!L14</f>
        <v>1129</v>
      </c>
      <c r="D7623" s="2" t="str">
        <f t="shared" si="124"/>
        <v>Error?</v>
      </c>
      <c r="E7623" s="2" t="s">
        <v>19</v>
      </c>
    </row>
    <row r="7624" spans="1:5" x14ac:dyDescent="0.2">
      <c r="A7624">
        <f t="shared" si="123"/>
        <v>7563</v>
      </c>
      <c r="B7624" s="138">
        <f>'Cap Outlay Deprec 26'!F17</f>
        <v>1787</v>
      </c>
      <c r="D7624" s="2" t="str">
        <f t="shared" si="124"/>
        <v>Error?</v>
      </c>
      <c r="E7624" s="2" t="s">
        <v>19</v>
      </c>
    </row>
    <row r="7625" spans="1:5" x14ac:dyDescent="0.2">
      <c r="A7625">
        <f t="shared" si="123"/>
        <v>7564</v>
      </c>
      <c r="B7625" s="138">
        <f>'Cap Outlay Deprec 26'!I17</f>
        <v>178.7</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1013825.7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28043</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21887</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49930</v>
      </c>
      <c r="D7719" s="2" t="str">
        <f t="shared" si="126"/>
        <v>Error?</v>
      </c>
      <c r="E7719" s="2" t="s">
        <v>881</v>
      </c>
    </row>
    <row r="7720" spans="1:6" x14ac:dyDescent="0.2">
      <c r="A7720">
        <v>7659</v>
      </c>
      <c r="B7720" s="138">
        <f>'Rest Tax Levies-Tort Im 25'!H14</f>
        <v>1054914</v>
      </c>
      <c r="D7720" s="2" t="str">
        <f t="shared" si="126"/>
        <v>Error?</v>
      </c>
      <c r="E7720" s="2" t="s">
        <v>881</v>
      </c>
    </row>
    <row r="7721" spans="1:6" x14ac:dyDescent="0.2">
      <c r="A7721">
        <v>7660</v>
      </c>
      <c r="B7721" s="138">
        <f>'Rest Tax Levies-Tort Im 25'!K14</f>
        <v>49930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1964</v>
      </c>
    </row>
    <row r="7775" spans="1:5" x14ac:dyDescent="0.2">
      <c r="A7775">
        <v>7714</v>
      </c>
      <c r="B7775" s="138">
        <f>'Expenditures 15-22'!H133</f>
        <v>0</v>
      </c>
      <c r="D7775" s="2" t="str">
        <f t="shared" si="127"/>
        <v>Error?</v>
      </c>
      <c r="E7775" s="4" t="s">
        <v>1964</v>
      </c>
    </row>
    <row r="7776" spans="1:5" x14ac:dyDescent="0.2">
      <c r="A7776">
        <v>7715</v>
      </c>
      <c r="B7776" s="138">
        <f>'Expenditures 15-22'!K133</f>
        <v>0</v>
      </c>
      <c r="D7776" s="2" t="str">
        <f t="shared" si="127"/>
        <v>Error?</v>
      </c>
      <c r="E7776" s="4" t="s">
        <v>1964</v>
      </c>
    </row>
    <row r="7777" spans="1:5" x14ac:dyDescent="0.2">
      <c r="A7777">
        <v>7716</v>
      </c>
      <c r="B7777" s="138">
        <f>'Expenditures 15-22'!H157</f>
        <v>0</v>
      </c>
      <c r="D7777" s="2" t="str">
        <f t="shared" si="127"/>
        <v>Error?</v>
      </c>
      <c r="E7777" s="4" t="s">
        <v>1964</v>
      </c>
    </row>
    <row r="7778" spans="1:5" x14ac:dyDescent="0.2">
      <c r="A7778">
        <v>7717</v>
      </c>
      <c r="B7778" s="138">
        <f>'Expenditures 15-22'!K157</f>
        <v>0</v>
      </c>
      <c r="D7778" s="2" t="str">
        <f t="shared" si="127"/>
        <v>Error?</v>
      </c>
      <c r="E7778" s="4" t="s">
        <v>1964</v>
      </c>
    </row>
    <row r="7779" spans="1:5" x14ac:dyDescent="0.2">
      <c r="A7779">
        <v>7718</v>
      </c>
      <c r="B7779" s="138">
        <f>'Expenditures 15-22'!H158</f>
        <v>0</v>
      </c>
      <c r="D7779" s="2" t="str">
        <f t="shared" si="127"/>
        <v>Error?</v>
      </c>
      <c r="E7779" s="4" t="s">
        <v>1964</v>
      </c>
    </row>
    <row r="7780" spans="1:5" x14ac:dyDescent="0.2">
      <c r="A7780">
        <v>7719</v>
      </c>
      <c r="B7780" s="138">
        <f>'Expenditures 15-22'!K158</f>
        <v>0</v>
      </c>
      <c r="D7780" s="2" t="str">
        <f t="shared" si="127"/>
        <v>Error?</v>
      </c>
      <c r="E7780" s="4" t="s">
        <v>1964</v>
      </c>
    </row>
    <row r="7781" spans="1:5" x14ac:dyDescent="0.2">
      <c r="A7781">
        <v>7720</v>
      </c>
      <c r="B7781" s="138">
        <f>'Expenditures 15-22'!H159</f>
        <v>0</v>
      </c>
      <c r="D7781" s="2" t="str">
        <f t="shared" si="127"/>
        <v>Error?</v>
      </c>
      <c r="E7781" s="4" t="s">
        <v>1964</v>
      </c>
    </row>
    <row r="7782" spans="1:5" x14ac:dyDescent="0.2">
      <c r="A7782">
        <v>7721</v>
      </c>
      <c r="B7782" s="138">
        <f>'Expenditures 15-22'!K159</f>
        <v>0</v>
      </c>
      <c r="D7782" s="2" t="str">
        <f t="shared" si="127"/>
        <v>Error?</v>
      </c>
      <c r="E7782" s="4" t="s">
        <v>1964</v>
      </c>
    </row>
    <row r="7783" spans="1:5" x14ac:dyDescent="0.2">
      <c r="A7783">
        <v>7722</v>
      </c>
      <c r="B7783" s="138">
        <f>'Expenditures 15-22'!D282</f>
        <v>0</v>
      </c>
      <c r="D7783" s="2" t="str">
        <f t="shared" si="127"/>
        <v>Error?</v>
      </c>
      <c r="E7783" s="4" t="s">
        <v>1964</v>
      </c>
    </row>
    <row r="7784" spans="1:5" x14ac:dyDescent="0.2">
      <c r="A7784">
        <v>7723</v>
      </c>
      <c r="B7784" s="138">
        <f>'Expenditures 15-22'!K282</f>
        <v>0</v>
      </c>
      <c r="D7784" s="2" t="str">
        <f t="shared" si="127"/>
        <v>Error?</v>
      </c>
      <c r="E7784" s="4" t="s">
        <v>1964</v>
      </c>
    </row>
    <row r="7785" spans="1:5" x14ac:dyDescent="0.2">
      <c r="A7785">
        <v>7724</v>
      </c>
      <c r="B7785" s="138">
        <f>'Expenditures 15-22'!H332</f>
        <v>0</v>
      </c>
      <c r="D7785" s="2" t="str">
        <f t="shared" si="127"/>
        <v>Error?</v>
      </c>
      <c r="E7785" s="4" t="s">
        <v>1964</v>
      </c>
    </row>
    <row r="7786" spans="1:5" x14ac:dyDescent="0.2">
      <c r="A7786">
        <v>7725</v>
      </c>
      <c r="B7786" s="138">
        <f>'Expenditures 15-22'!K332</f>
        <v>0</v>
      </c>
      <c r="D7786" s="2" t="str">
        <f t="shared" si="127"/>
        <v>Error?</v>
      </c>
      <c r="E7786" s="4" t="s">
        <v>1964</v>
      </c>
    </row>
    <row r="7787" spans="1:5" x14ac:dyDescent="0.2">
      <c r="A7787">
        <v>7726</v>
      </c>
      <c r="B7787" s="138">
        <f>'Expenditures 15-22'!H333</f>
        <v>0</v>
      </c>
      <c r="D7787" s="2" t="str">
        <f t="shared" si="127"/>
        <v>Error?</v>
      </c>
      <c r="E7787" s="4" t="s">
        <v>1964</v>
      </c>
    </row>
    <row r="7788" spans="1:5" x14ac:dyDescent="0.2">
      <c r="A7788">
        <v>7727</v>
      </c>
      <c r="B7788" s="138">
        <f>'Expenditures 15-22'!K333</f>
        <v>0</v>
      </c>
      <c r="D7788" s="2" t="str">
        <f t="shared" si="127"/>
        <v>Error?</v>
      </c>
      <c r="E7788" s="4" t="s">
        <v>1964</v>
      </c>
    </row>
    <row r="7789" spans="1:5" x14ac:dyDescent="0.2">
      <c r="A7789">
        <v>7728</v>
      </c>
      <c r="B7789" s="138">
        <f>'Expenditures 15-22'!H334</f>
        <v>0</v>
      </c>
      <c r="D7789" s="2" t="str">
        <f t="shared" si="127"/>
        <v>Error?</v>
      </c>
      <c r="E7789" s="4" t="s">
        <v>1964</v>
      </c>
    </row>
    <row r="7790" spans="1:5" x14ac:dyDescent="0.2">
      <c r="A7790">
        <v>7729</v>
      </c>
      <c r="B7790" s="138">
        <f>'Expenditures 15-22'!K334</f>
        <v>0</v>
      </c>
      <c r="D7790" s="2" t="str">
        <f t="shared" si="127"/>
        <v>Error?</v>
      </c>
      <c r="E7790" s="4" t="s">
        <v>1964</v>
      </c>
    </row>
    <row r="7791" spans="1:5" x14ac:dyDescent="0.2">
      <c r="A7791">
        <v>7730</v>
      </c>
      <c r="B7791" s="138">
        <f>'Expenditures 15-22'!H354</f>
        <v>0</v>
      </c>
      <c r="D7791" s="2" t="str">
        <f t="shared" si="127"/>
        <v>Error?</v>
      </c>
      <c r="E7791" s="4" t="s">
        <v>1964</v>
      </c>
    </row>
    <row r="7792" spans="1:5" x14ac:dyDescent="0.2">
      <c r="A7792">
        <v>7731</v>
      </c>
      <c r="B7792" s="138">
        <f>'Expenditures 15-22'!K354</f>
        <v>0</v>
      </c>
      <c r="D7792" s="2" t="str">
        <f t="shared" si="127"/>
        <v>Error?</v>
      </c>
      <c r="E7792" s="4" t="s">
        <v>1964</v>
      </c>
    </row>
    <row r="7793" spans="1:5" x14ac:dyDescent="0.2">
      <c r="A7793">
        <v>7732</v>
      </c>
      <c r="B7793" s="138">
        <f>'Expenditures 15-22'!H355</f>
        <v>0</v>
      </c>
      <c r="D7793" s="2" t="str">
        <f t="shared" si="127"/>
        <v>Error?</v>
      </c>
      <c r="E7793" s="4" t="s">
        <v>1964</v>
      </c>
    </row>
    <row r="7794" spans="1:5" x14ac:dyDescent="0.2">
      <c r="A7794">
        <v>7733</v>
      </c>
      <c r="B7794" s="138">
        <f>'Expenditures 15-22'!K355</f>
        <v>0</v>
      </c>
      <c r="D7794" s="2" t="str">
        <f t="shared" si="127"/>
        <v>Error?</v>
      </c>
      <c r="E7794" s="4" t="s">
        <v>1964</v>
      </c>
    </row>
    <row r="7795" spans="1:5" x14ac:dyDescent="0.2">
      <c r="A7795">
        <v>7734</v>
      </c>
      <c r="B7795" s="138">
        <f>'Expenditures 15-22'!E138</f>
        <v>0</v>
      </c>
      <c r="D7795" s="2" t="str">
        <f t="shared" si="127"/>
        <v>Error?</v>
      </c>
      <c r="E7795" s="4" t="s">
        <v>1964</v>
      </c>
    </row>
    <row r="7796" spans="1:5" x14ac:dyDescent="0.2">
      <c r="A7796">
        <v>7735</v>
      </c>
      <c r="B7796" s="138">
        <f>'Acct Summary 7-8'!J15</f>
        <v>0</v>
      </c>
      <c r="D7796" s="2" t="str">
        <f t="shared" si="127"/>
        <v>Error?</v>
      </c>
      <c r="E7796" s="4" t="s">
        <v>1964</v>
      </c>
    </row>
    <row r="7797" spans="1:5" x14ac:dyDescent="0.2">
      <c r="A7797">
        <v>7736</v>
      </c>
      <c r="B7797" s="138">
        <f>'Contracts Paid in CY 29'!D141</f>
        <v>1127798</v>
      </c>
      <c r="D7797" s="2" t="str">
        <f t="shared" si="127"/>
        <v>Error?</v>
      </c>
      <c r="E7797" s="4" t="s">
        <v>2017</v>
      </c>
    </row>
    <row r="7798" spans="1:5" x14ac:dyDescent="0.2">
      <c r="A7798">
        <v>7737</v>
      </c>
      <c r="B7798" s="138">
        <f>'Contracts Paid in CY 29'!F141</f>
        <v>25000</v>
      </c>
      <c r="D7798" s="2" t="str">
        <f t="shared" si="127"/>
        <v>Error?</v>
      </c>
      <c r="E7798" s="4" t="s">
        <v>2017</v>
      </c>
    </row>
    <row r="7799" spans="1:5" x14ac:dyDescent="0.2">
      <c r="A7799">
        <v>7738</v>
      </c>
      <c r="B7799" s="138">
        <f>'Contracts Paid in CY 29'!G141</f>
        <v>1102798</v>
      </c>
      <c r="D7799" s="2" t="str">
        <f t="shared" si="127"/>
        <v>Error?</v>
      </c>
      <c r="E7799" s="4" t="s">
        <v>2017</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79" customWidth="1"/>
    <col min="2" max="2" width="2.28515625" style="1175" customWidth="1"/>
    <col min="3" max="3" width="9.140625" style="1179"/>
    <col min="4" max="4" width="14.7109375" style="1179" customWidth="1"/>
    <col min="5" max="5" width="15" style="1179" customWidth="1"/>
    <col min="6" max="6" width="2.5703125" style="1179" customWidth="1"/>
    <col min="7" max="7" width="3.7109375" style="1179" customWidth="1"/>
    <col min="8" max="8" width="9.7109375" style="1179" customWidth="1"/>
    <col min="9" max="9" width="10.7109375" style="1179" customWidth="1"/>
    <col min="10" max="10" width="5" style="1179" customWidth="1"/>
    <col min="11" max="11" width="6.5703125" style="1179" customWidth="1"/>
    <col min="12" max="12" width="12.85546875" style="1179" customWidth="1"/>
    <col min="13" max="13" width="2.7109375" style="1179" customWidth="1"/>
    <col min="14" max="14" width="13.140625" style="1179" customWidth="1"/>
    <col min="15" max="15" width="7.140625" style="1179" customWidth="1"/>
    <col min="16" max="16" width="7" style="1179" customWidth="1"/>
    <col min="17" max="17" width="9.7109375" style="1179" customWidth="1"/>
    <col min="18" max="19" width="9.85546875" style="1179" customWidth="1"/>
    <col min="20" max="16384" width="9.140625" style="1179"/>
  </cols>
  <sheetData>
    <row r="1" spans="1:29" x14ac:dyDescent="0.2">
      <c r="A1" s="1174"/>
      <c r="C1" s="1174"/>
      <c r="D1" s="1174"/>
      <c r="E1" s="1174"/>
      <c r="F1" s="1176"/>
      <c r="G1" s="1176"/>
      <c r="H1" s="1174"/>
      <c r="I1" s="1174"/>
      <c r="J1" s="1174"/>
      <c r="K1" s="1174"/>
      <c r="L1" s="1177"/>
      <c r="M1" s="1178"/>
    </row>
    <row r="2" spans="1:29" ht="13.5" customHeight="1" x14ac:dyDescent="0.2">
      <c r="A2" s="2607" t="s">
        <v>1253</v>
      </c>
      <c r="B2" s="2607"/>
      <c r="C2" s="2607"/>
      <c r="D2" s="2607"/>
      <c r="E2" s="2607"/>
      <c r="F2" s="2607"/>
      <c r="G2" s="2607"/>
      <c r="H2" s="2607"/>
      <c r="I2" s="2607"/>
      <c r="J2" s="2607"/>
      <c r="K2" s="2607"/>
      <c r="L2" s="2607"/>
    </row>
    <row r="3" spans="1:29" ht="13.5" customHeight="1" x14ac:dyDescent="0.2">
      <c r="A3" s="2593" t="s">
        <v>1252</v>
      </c>
      <c r="B3" s="2593"/>
      <c r="C3" s="2593"/>
      <c r="D3" s="2593"/>
      <c r="E3" s="2593"/>
      <c r="F3" s="2593"/>
      <c r="G3" s="2593"/>
      <c r="H3" s="2593"/>
      <c r="I3" s="2593"/>
      <c r="J3" s="2593"/>
      <c r="K3" s="2593"/>
      <c r="L3" s="2593"/>
    </row>
    <row r="4" spans="1:29" ht="13.5" customHeight="1" x14ac:dyDescent="0.2">
      <c r="A4" s="2607" t="s">
        <v>1799</v>
      </c>
      <c r="B4" s="2624"/>
      <c r="C4" s="2624"/>
      <c r="D4" s="2624"/>
      <c r="E4" s="2624"/>
      <c r="F4" s="2624"/>
      <c r="G4" s="2624"/>
      <c r="H4" s="2624"/>
      <c r="I4" s="2624"/>
      <c r="J4" s="2624"/>
      <c r="K4" s="2624"/>
      <c r="L4" s="2624"/>
    </row>
    <row r="5" spans="1:29" ht="29.85" customHeight="1" x14ac:dyDescent="0.2">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x14ac:dyDescent="0.2">
      <c r="A6" s="1183" t="s">
        <v>1251</v>
      </c>
      <c r="B6" s="1184"/>
      <c r="C6" s="1185"/>
      <c r="D6" s="1185"/>
      <c r="E6" s="1186" t="s">
        <v>1250</v>
      </c>
      <c r="F6" s="1187"/>
      <c r="G6" s="1188" t="s">
        <v>1249</v>
      </c>
      <c r="H6" s="1185"/>
      <c r="I6" s="1185"/>
      <c r="J6" s="1185"/>
      <c r="K6" s="1185"/>
      <c r="L6" s="1189"/>
      <c r="V6" s="1182"/>
      <c r="W6" s="1182"/>
      <c r="X6" s="1182"/>
      <c r="Y6" s="1182"/>
      <c r="Z6" s="1182"/>
      <c r="AA6" s="1182"/>
      <c r="AB6" s="1182"/>
      <c r="AC6" s="1182"/>
    </row>
    <row r="7" spans="1:29" ht="16.5" customHeight="1" x14ac:dyDescent="0.2">
      <c r="A7" s="2625" t="s">
        <v>2084</v>
      </c>
      <c r="B7" s="2626"/>
      <c r="C7" s="2626"/>
      <c r="D7" s="2627"/>
      <c r="E7" s="2628" t="str">
        <f>COVER!A13</f>
        <v>04-101-2070-16</v>
      </c>
      <c r="F7" s="2629"/>
      <c r="G7" s="2594" t="str">
        <f>COVER!T23</f>
        <v>066-005027</v>
      </c>
      <c r="H7" s="2595"/>
      <c r="I7" s="2595"/>
      <c r="J7" s="2595"/>
      <c r="K7" s="2595"/>
      <c r="L7" s="2596"/>
    </row>
    <row r="8" spans="1:29" ht="13.5" customHeight="1" x14ac:dyDescent="0.2">
      <c r="A8" s="1183" t="s">
        <v>1597</v>
      </c>
      <c r="B8" s="1184"/>
      <c r="C8" s="1185"/>
      <c r="D8" s="1185"/>
      <c r="E8" s="1190"/>
      <c r="F8" s="1189"/>
      <c r="G8" s="1191" t="s">
        <v>1248</v>
      </c>
      <c r="H8" s="1192"/>
      <c r="I8" s="1192"/>
      <c r="J8" s="1192"/>
      <c r="K8" s="1192"/>
      <c r="L8" s="1193"/>
    </row>
    <row r="9" spans="1:29" ht="13.5" customHeight="1" x14ac:dyDescent="0.2">
      <c r="A9" s="2597"/>
      <c r="B9" s="2598"/>
      <c r="C9" s="2598"/>
      <c r="D9" s="2598"/>
      <c r="E9" s="2598"/>
      <c r="F9" s="2599"/>
      <c r="G9" s="2600" t="str">
        <f>COVER!T13</f>
        <v>Gorenz and Associates, Ltd.</v>
      </c>
      <c r="H9" s="2601"/>
      <c r="I9" s="2601"/>
      <c r="J9" s="2601"/>
      <c r="K9" s="2601"/>
      <c r="L9" s="2602"/>
    </row>
    <row r="10" spans="1:29" ht="13.5" customHeight="1" x14ac:dyDescent="0.2">
      <c r="A10" s="2584" t="str">
        <f>COVER!A38</f>
        <v>Michael Dugan</v>
      </c>
      <c r="B10" s="2585"/>
      <c r="C10" s="2585"/>
      <c r="D10" s="2585"/>
      <c r="E10" s="2585"/>
      <c r="F10" s="2586"/>
      <c r="G10" s="2600" t="str">
        <f>COVER!T17</f>
        <v>4200 N Knoxville Ave</v>
      </c>
      <c r="H10" s="2613"/>
      <c r="I10" s="2613"/>
      <c r="J10" s="2613"/>
      <c r="K10" s="2613"/>
      <c r="L10" s="2614"/>
    </row>
    <row r="11" spans="1:29" ht="13.5" customHeight="1" x14ac:dyDescent="0.2">
      <c r="A11" s="1183" t="s">
        <v>1599</v>
      </c>
      <c r="B11" s="1184"/>
      <c r="C11" s="1185"/>
      <c r="D11" s="1190"/>
      <c r="E11" s="1185"/>
      <c r="F11" s="1189"/>
      <c r="G11" s="2600" t="str">
        <f>COVER!T19</f>
        <v>Peoria</v>
      </c>
      <c r="H11" s="2613"/>
      <c r="I11" s="2613"/>
      <c r="J11" s="2613"/>
      <c r="K11" s="2613"/>
      <c r="L11" s="2614"/>
    </row>
    <row r="12" spans="1:29" ht="13.5" customHeight="1" x14ac:dyDescent="0.2">
      <c r="A12" s="2618" t="s">
        <v>1598</v>
      </c>
      <c r="B12" s="2619"/>
      <c r="C12" s="2619"/>
      <c r="D12" s="2619"/>
      <c r="E12" s="2619"/>
      <c r="F12" s="2620"/>
      <c r="G12" s="2615"/>
      <c r="H12" s="2616"/>
      <c r="I12" s="2616"/>
      <c r="J12" s="2616"/>
      <c r="K12" s="2616"/>
      <c r="L12" s="2617"/>
    </row>
    <row r="13" spans="1:29" ht="13.5" customHeight="1" x14ac:dyDescent="0.2">
      <c r="A13" s="2600"/>
      <c r="B13" s="2613"/>
      <c r="C13" s="2613"/>
      <c r="D13" s="2613"/>
      <c r="E13" s="2613"/>
      <c r="F13" s="2614"/>
      <c r="G13" s="2608" t="s">
        <v>1600</v>
      </c>
      <c r="H13" s="2609"/>
      <c r="I13" s="2621" t="str">
        <f>COVER!T25</f>
        <v>rrumbold@gorenzcpa.com</v>
      </c>
      <c r="J13" s="2622"/>
      <c r="K13" s="2622"/>
      <c r="L13" s="2623"/>
    </row>
    <row r="14" spans="1:29" ht="13.5" customHeight="1" x14ac:dyDescent="0.2">
      <c r="A14" s="2600" t="str">
        <f>COVER!A19</f>
        <v>307 Salem Street</v>
      </c>
      <c r="B14" s="2613"/>
      <c r="C14" s="2613"/>
      <c r="D14" s="2613"/>
      <c r="E14" s="2613"/>
      <c r="F14" s="2614"/>
      <c r="G14" s="1194" t="s">
        <v>1247</v>
      </c>
      <c r="H14" s="1192"/>
      <c r="I14" s="1192"/>
      <c r="J14" s="1192"/>
      <c r="K14" s="1192"/>
      <c r="L14" s="1193"/>
    </row>
    <row r="15" spans="1:29" ht="13.5" customHeight="1" x14ac:dyDescent="0.2">
      <c r="A15" s="2600" t="s">
        <v>2131</v>
      </c>
      <c r="B15" s="2613"/>
      <c r="C15" s="2613"/>
      <c r="D15" s="2613"/>
      <c r="E15" s="2613"/>
      <c r="F15" s="2614"/>
      <c r="G15" s="2610" t="str">
        <f>COVER!T15</f>
        <v>Russell J. Rumbold II, CPA</v>
      </c>
      <c r="H15" s="2611"/>
      <c r="I15" s="2611"/>
      <c r="J15" s="2611"/>
      <c r="K15" s="2611"/>
      <c r="L15" s="2612"/>
    </row>
    <row r="16" spans="1:29" ht="12.2" customHeight="1" x14ac:dyDescent="0.2">
      <c r="A16" s="2590"/>
      <c r="B16" s="2591"/>
      <c r="C16" s="2591"/>
      <c r="D16" s="2591"/>
      <c r="E16" s="2591"/>
      <c r="F16" s="2592"/>
      <c r="G16" s="2603"/>
      <c r="H16" s="2604"/>
      <c r="I16" s="2604"/>
      <c r="J16" s="2604"/>
      <c r="K16" s="2604"/>
      <c r="L16" s="2605"/>
    </row>
    <row r="17" spans="1:13" ht="12.2" customHeight="1" x14ac:dyDescent="0.2">
      <c r="A17" s="2606"/>
      <c r="B17" s="2591"/>
      <c r="C17" s="2591"/>
      <c r="D17" s="2591"/>
      <c r="E17" s="2591"/>
      <c r="F17" s="2592"/>
      <c r="G17" s="1194" t="s">
        <v>1246</v>
      </c>
      <c r="H17" s="1192"/>
      <c r="I17" s="1192"/>
      <c r="J17" s="1192"/>
      <c r="K17" s="1196" t="s">
        <v>1245</v>
      </c>
      <c r="L17" s="1189"/>
      <c r="M17" s="1182"/>
    </row>
    <row r="18" spans="1:13" ht="12.2" customHeight="1" x14ac:dyDescent="0.2">
      <c r="A18" s="2584"/>
      <c r="B18" s="2585"/>
      <c r="C18" s="2585"/>
      <c r="D18" s="2585"/>
      <c r="E18" s="2585"/>
      <c r="F18" s="2586"/>
      <c r="G18" s="2587" t="str">
        <f>COVER!T21</f>
        <v>309-685-7621</v>
      </c>
      <c r="H18" s="2588"/>
      <c r="I18" s="2588"/>
      <c r="J18" s="2588"/>
      <c r="K18" s="2587" t="str">
        <f>COVER!X21</f>
        <v>309-685-4758</v>
      </c>
      <c r="L18" s="2589"/>
    </row>
    <row r="19" spans="1:13" ht="12.2" customHeight="1" x14ac:dyDescent="0.2">
      <c r="A19" s="1197"/>
      <c r="C19" s="1197"/>
      <c r="D19" s="1197"/>
      <c r="E19" s="1197"/>
      <c r="F19" s="1197"/>
      <c r="G19" s="1197"/>
      <c r="H19" s="1197"/>
      <c r="I19" s="1197"/>
      <c r="J19" s="1197"/>
      <c r="K19" s="1197"/>
      <c r="L19" s="1197"/>
    </row>
    <row r="20" spans="1:13" ht="12.2" customHeight="1" x14ac:dyDescent="0.2">
      <c r="A20" s="1197"/>
      <c r="C20" s="1197"/>
      <c r="D20" s="1197"/>
      <c r="E20" s="1197"/>
      <c r="F20" s="1197"/>
      <c r="G20" s="1197"/>
      <c r="H20" s="1197"/>
      <c r="I20" s="1197"/>
      <c r="J20" s="1197" t="s">
        <v>1231</v>
      </c>
      <c r="K20" s="1175" t="s">
        <v>1231</v>
      </c>
    </row>
    <row r="21" spans="1:13" ht="12.2" customHeight="1" x14ac:dyDescent="0.2">
      <c r="A21" s="1198" t="s">
        <v>1800</v>
      </c>
    </row>
    <row r="22" spans="1:13" ht="12.2" customHeight="1" x14ac:dyDescent="0.2">
      <c r="A22" s="1199"/>
    </row>
    <row r="23" spans="1:13" ht="12.2" customHeight="1" x14ac:dyDescent="0.2">
      <c r="A23" s="1199"/>
      <c r="B23" s="1200" t="s">
        <v>2074</v>
      </c>
      <c r="C23" s="1201" t="s">
        <v>1244</v>
      </c>
    </row>
    <row r="24" spans="1:13" ht="10.15" customHeight="1" x14ac:dyDescent="0.2">
      <c r="A24" s="1199"/>
      <c r="C24" s="1201" t="s">
        <v>1243</v>
      </c>
    </row>
    <row r="25" spans="1:13" ht="9" customHeight="1" x14ac:dyDescent="0.2">
      <c r="B25" s="1202" t="s">
        <v>1231</v>
      </c>
      <c r="C25" s="1203"/>
    </row>
    <row r="26" spans="1:13" s="1197" customFormat="1" ht="12.2" customHeight="1" x14ac:dyDescent="0.2">
      <c r="B26" s="1200" t="s">
        <v>2074</v>
      </c>
      <c r="C26" s="1201" t="s">
        <v>1801</v>
      </c>
    </row>
    <row r="27" spans="1:13" s="1197" customFormat="1" ht="9" customHeight="1" x14ac:dyDescent="0.2">
      <c r="B27" s="1202"/>
      <c r="C27" s="1201"/>
    </row>
    <row r="28" spans="1:13" s="1197" customFormat="1" ht="12.2" customHeight="1" x14ac:dyDescent="0.2">
      <c r="A28" s="1204"/>
      <c r="B28" s="1200" t="s">
        <v>2074</v>
      </c>
      <c r="C28" s="1201" t="s">
        <v>1802</v>
      </c>
    </row>
    <row r="29" spans="1:13" s="1197" customFormat="1" ht="9" customHeight="1" x14ac:dyDescent="0.2">
      <c r="A29" s="1204"/>
      <c r="B29" s="1202"/>
      <c r="C29" s="1201"/>
    </row>
    <row r="30" spans="1:13" s="1197" customFormat="1" ht="12.2" customHeight="1" x14ac:dyDescent="0.2">
      <c r="B30" s="1200" t="s">
        <v>2074</v>
      </c>
      <c r="C30" s="1201" t="s">
        <v>1643</v>
      </c>
      <c r="D30" s="1195"/>
      <c r="E30" s="1195"/>
    </row>
    <row r="31" spans="1:13" s="1197" customFormat="1" ht="9" customHeight="1" x14ac:dyDescent="0.2">
      <c r="B31" s="1202"/>
      <c r="C31" s="1201"/>
      <c r="D31" s="1195"/>
      <c r="E31" s="1195"/>
    </row>
    <row r="32" spans="1:13" s="1197" customFormat="1" ht="12.2" customHeight="1" x14ac:dyDescent="0.2">
      <c r="B32" s="1200" t="s">
        <v>2074</v>
      </c>
      <c r="C32" s="1201" t="s">
        <v>1644</v>
      </c>
      <c r="D32" s="1195"/>
      <c r="E32" s="1195"/>
    </row>
    <row r="33" spans="1:8" s="1197" customFormat="1" ht="10.9" customHeight="1" x14ac:dyDescent="0.2">
      <c r="B33" s="1202"/>
      <c r="C33" s="1205" t="s">
        <v>1803</v>
      </c>
      <c r="D33" s="1195"/>
      <c r="E33" s="1195"/>
    </row>
    <row r="34" spans="1:8" ht="9" customHeight="1" x14ac:dyDescent="0.2">
      <c r="B34" s="1202"/>
      <c r="C34" s="1205"/>
    </row>
    <row r="35" spans="1:8" s="1197" customFormat="1" ht="13.5" customHeight="1" x14ac:dyDescent="0.2">
      <c r="B35" s="1200" t="s">
        <v>2074</v>
      </c>
      <c r="C35" s="1201" t="s">
        <v>1645</v>
      </c>
    </row>
    <row r="36" spans="1:8" s="1197" customFormat="1" ht="10.9" customHeight="1" x14ac:dyDescent="0.2">
      <c r="B36" s="1202"/>
      <c r="C36" s="1205" t="s">
        <v>1646</v>
      </c>
    </row>
    <row r="37" spans="1:8" ht="9" customHeight="1" x14ac:dyDescent="0.2">
      <c r="B37" s="1202"/>
      <c r="C37" s="1205"/>
    </row>
    <row r="38" spans="1:8" s="1197" customFormat="1" ht="12.2" customHeight="1" x14ac:dyDescent="0.2">
      <c r="B38" s="1200" t="s">
        <v>2074</v>
      </c>
      <c r="C38" s="1201" t="s">
        <v>1647</v>
      </c>
    </row>
    <row r="39" spans="1:8" ht="9" customHeight="1" x14ac:dyDescent="0.2">
      <c r="B39" s="1202"/>
      <c r="C39" s="1205"/>
    </row>
    <row r="40" spans="1:8" s="1197" customFormat="1" ht="13.5" customHeight="1" x14ac:dyDescent="0.2">
      <c r="B40" s="1200" t="s">
        <v>2074</v>
      </c>
      <c r="C40" s="1201" t="s">
        <v>1648</v>
      </c>
    </row>
    <row r="41" spans="1:8" ht="9" customHeight="1" x14ac:dyDescent="0.2">
      <c r="A41" s="1206"/>
      <c r="B41" s="1202"/>
      <c r="C41" s="1205"/>
    </row>
    <row r="42" spans="1:8" s="1197" customFormat="1" ht="13.5" customHeight="1" x14ac:dyDescent="0.2">
      <c r="B42" s="1200" t="s">
        <v>2074</v>
      </c>
      <c r="C42" s="1201" t="s">
        <v>1944</v>
      </c>
      <c r="D42" s="1195"/>
      <c r="E42" s="1195"/>
      <c r="F42" s="1195"/>
      <c r="G42" s="1195"/>
      <c r="H42" s="1195"/>
    </row>
    <row r="43" spans="1:8" s="1197" customFormat="1" ht="12.95" customHeight="1" x14ac:dyDescent="0.2">
      <c r="B43" s="1202"/>
      <c r="C43" s="1192"/>
      <c r="D43" s="1195"/>
      <c r="E43" s="1195"/>
      <c r="F43" s="1195"/>
      <c r="G43" s="1195"/>
      <c r="H43" s="1195"/>
    </row>
    <row r="44" spans="1:8" s="1197" customFormat="1" ht="13.5" customHeight="1" x14ac:dyDescent="0.2">
      <c r="A44" s="1198" t="s">
        <v>1242</v>
      </c>
      <c r="B44" s="1202"/>
      <c r="D44" s="1195"/>
      <c r="E44" s="1195"/>
      <c r="F44" s="1195"/>
      <c r="G44" s="1195"/>
      <c r="H44" s="1195"/>
    </row>
    <row r="45" spans="1:8" ht="12" customHeight="1" x14ac:dyDescent="0.2">
      <c r="B45" s="1202"/>
      <c r="D45" s="1207"/>
      <c r="E45" s="1207"/>
      <c r="F45" s="1207"/>
      <c r="G45" s="1207"/>
      <c r="H45" s="1207"/>
    </row>
    <row r="46" spans="1:8" s="1197" customFormat="1" ht="12.2" customHeight="1" x14ac:dyDescent="0.2">
      <c r="B46" s="1200" t="s">
        <v>2074</v>
      </c>
      <c r="C46" s="1208" t="s">
        <v>1649</v>
      </c>
      <c r="D46" s="1195"/>
      <c r="E46" s="1195"/>
      <c r="F46" s="1195"/>
      <c r="G46" s="1195"/>
      <c r="H46" s="1195"/>
    </row>
    <row r="47" spans="1:8" ht="9" customHeight="1" x14ac:dyDescent="0.2"/>
    <row r="48" spans="1:8" ht="12.2" customHeight="1" x14ac:dyDescent="0.2">
      <c r="B48" s="1209"/>
      <c r="C48" s="1210" t="s">
        <v>1650</v>
      </c>
    </row>
    <row r="49" spans="1:12" ht="9" customHeight="1" x14ac:dyDescent="0.2"/>
    <row r="50" spans="1:12" ht="6" customHeight="1" x14ac:dyDescent="0.2">
      <c r="C50" s="1210"/>
    </row>
    <row r="51" spans="1:12" ht="12.2" customHeight="1" x14ac:dyDescent="0.2">
      <c r="A51" s="1212" t="s">
        <v>1804</v>
      </c>
    </row>
    <row r="52" spans="1:12" ht="12.2" customHeight="1" x14ac:dyDescent="0.2">
      <c r="A52" s="1207"/>
    </row>
    <row r="53" spans="1:12" ht="12.2" customHeight="1" x14ac:dyDescent="0.2"/>
    <row r="54" spans="1:12" ht="12.2" customHeight="1" x14ac:dyDescent="0.2"/>
    <row r="55" spans="1:12" ht="12.2" customHeight="1" x14ac:dyDescent="0.2"/>
    <row r="56" spans="1:12" ht="12.2" customHeight="1" x14ac:dyDescent="0.2">
      <c r="A56" s="1211"/>
    </row>
    <row r="59" spans="1:12" ht="12.75" customHeight="1" x14ac:dyDescent="0.2"/>
    <row r="60" spans="1:12" ht="36" customHeight="1" x14ac:dyDescent="0.2">
      <c r="L60" s="1177"/>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rintOptions horizontalCentered="1"/>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6" customWidth="1"/>
    <col min="2" max="2" width="2.7109375" style="1220" customWidth="1"/>
    <col min="3" max="3" width="3.28515625" style="1230" customWidth="1"/>
    <col min="4" max="4" width="97.7109375" style="1220" customWidth="1"/>
    <col min="5" max="5" width="4.140625" style="1220" customWidth="1"/>
    <col min="6" max="16384" width="10.7109375" style="1220"/>
  </cols>
  <sheetData>
    <row r="1" spans="1:11" s="1213" customFormat="1" ht="12.75" x14ac:dyDescent="0.2">
      <c r="A1" s="2630" t="str">
        <f>'Single Audit Cover'!A7</f>
        <v>Hononegah Community High School District No. 207</v>
      </c>
      <c r="B1" s="2624"/>
      <c r="C1" s="2624"/>
      <c r="D1" s="2624"/>
    </row>
    <row r="2" spans="1:11" s="1213" customFormat="1" ht="12.75" x14ac:dyDescent="0.2">
      <c r="A2" s="2631" t="str">
        <f>'Single Audit Cover'!E7</f>
        <v>04-101-2070-16</v>
      </c>
      <c r="B2" s="2632"/>
      <c r="C2" s="2632"/>
      <c r="D2" s="2632"/>
    </row>
    <row r="3" spans="1:11" s="1213" customFormat="1" ht="12.75" x14ac:dyDescent="0.2">
      <c r="A3" s="2630" t="s">
        <v>1593</v>
      </c>
      <c r="B3" s="2624"/>
      <c r="C3" s="2624"/>
      <c r="D3" s="2624"/>
    </row>
    <row r="4" spans="1:11" s="1213" customFormat="1" ht="4.5" customHeight="1" x14ac:dyDescent="0.2">
      <c r="A4" s="1214"/>
      <c r="B4" s="1215"/>
      <c r="C4" s="1215"/>
      <c r="D4" s="1215"/>
    </row>
    <row r="5" spans="1:11" x14ac:dyDescent="0.2">
      <c r="B5" s="1217" t="s">
        <v>1594</v>
      </c>
      <c r="C5" s="1218"/>
      <c r="D5" s="1219"/>
    </row>
    <row r="6" spans="1:11" x14ac:dyDescent="0.2">
      <c r="B6" s="1217" t="s">
        <v>1287</v>
      </c>
      <c r="C6" s="1218"/>
      <c r="D6" s="1219"/>
    </row>
    <row r="7" spans="1:11" x14ac:dyDescent="0.2">
      <c r="B7" s="1217" t="s">
        <v>1595</v>
      </c>
      <c r="C7" s="1218"/>
      <c r="D7" s="1219"/>
    </row>
    <row r="8" spans="1:11" ht="4.5" customHeight="1" x14ac:dyDescent="0.2">
      <c r="B8" s="1217"/>
      <c r="C8" s="1218"/>
      <c r="D8" s="1219"/>
    </row>
    <row r="9" spans="1:11" x14ac:dyDescent="0.2">
      <c r="B9" s="1221" t="s">
        <v>1286</v>
      </c>
      <c r="C9" s="1222"/>
      <c r="D9" s="1219"/>
    </row>
    <row r="10" spans="1:11" ht="4.5" customHeight="1" x14ac:dyDescent="0.2">
      <c r="B10" s="1221"/>
      <c r="C10" s="1222"/>
      <c r="D10" s="1219"/>
    </row>
    <row r="11" spans="1:11" x14ac:dyDescent="0.2">
      <c r="B11" s="1223"/>
      <c r="C11" s="1224">
        <v>1</v>
      </c>
      <c r="D11" s="1225" t="s">
        <v>1805</v>
      </c>
      <c r="E11" s="1226"/>
      <c r="F11" s="1226"/>
      <c r="G11" s="1226"/>
      <c r="H11" s="1226"/>
      <c r="I11" s="1226"/>
      <c r="J11" s="1226"/>
      <c r="K11" s="1226"/>
    </row>
    <row r="12" spans="1:11" ht="3" customHeight="1" x14ac:dyDescent="0.2">
      <c r="B12" s="1227"/>
      <c r="C12" s="1224"/>
      <c r="D12" s="1225"/>
      <c r="E12" s="1226"/>
      <c r="F12" s="1226"/>
      <c r="G12" s="1226"/>
      <c r="H12" s="1226"/>
      <c r="I12" s="1226"/>
      <c r="J12" s="1226"/>
      <c r="K12" s="1226"/>
    </row>
    <row r="13" spans="1:11" x14ac:dyDescent="0.2">
      <c r="B13" s="1223"/>
      <c r="C13" s="1224">
        <f>C11+1</f>
        <v>2</v>
      </c>
      <c r="D13" s="1228" t="s">
        <v>1806</v>
      </c>
      <c r="E13" s="1226"/>
      <c r="F13" s="1226"/>
      <c r="G13" s="1226"/>
      <c r="H13" s="1226"/>
      <c r="I13" s="1226"/>
      <c r="J13" s="1226"/>
      <c r="K13" s="1226"/>
    </row>
    <row r="14" spans="1:11" ht="3" customHeight="1" x14ac:dyDescent="0.2">
      <c r="B14" s="1227"/>
      <c r="C14" s="1224"/>
      <c r="D14" s="1228"/>
      <c r="E14" s="1226"/>
      <c r="F14" s="1226"/>
      <c r="G14" s="1226"/>
      <c r="H14" s="1226"/>
      <c r="I14" s="1226"/>
      <c r="J14" s="1226"/>
      <c r="K14" s="1226"/>
    </row>
    <row r="15" spans="1:11" x14ac:dyDescent="0.2">
      <c r="B15" s="1223"/>
      <c r="C15" s="1224">
        <f>C13+1</f>
        <v>3</v>
      </c>
      <c r="D15" s="1225" t="s">
        <v>1807</v>
      </c>
      <c r="E15" s="1226"/>
      <c r="F15" s="1226"/>
      <c r="G15" s="1226"/>
      <c r="H15" s="1226"/>
      <c r="I15" s="1226"/>
      <c r="J15" s="1226"/>
      <c r="K15" s="1226"/>
    </row>
    <row r="16" spans="1:11" ht="10.5" customHeight="1" x14ac:dyDescent="0.2">
      <c r="B16" s="1229"/>
      <c r="D16" s="1228" t="s">
        <v>1285</v>
      </c>
      <c r="E16" s="1226"/>
      <c r="F16" s="1226"/>
      <c r="G16" s="1226"/>
      <c r="H16" s="1226"/>
      <c r="I16" s="1226"/>
      <c r="J16" s="1226"/>
      <c r="K16" s="1226"/>
    </row>
    <row r="17" spans="1:11" ht="3" customHeight="1" x14ac:dyDescent="0.2">
      <c r="B17" s="1229"/>
      <c r="D17" s="1228"/>
      <c r="E17" s="1226"/>
      <c r="F17" s="1226"/>
      <c r="G17" s="1226"/>
      <c r="H17" s="1226"/>
      <c r="I17" s="1226"/>
      <c r="J17" s="1226"/>
      <c r="K17" s="1226"/>
    </row>
    <row r="18" spans="1:11" x14ac:dyDescent="0.2">
      <c r="B18" s="1223"/>
      <c r="C18" s="1224">
        <f>C15+1</f>
        <v>4</v>
      </c>
      <c r="D18" s="1231" t="s">
        <v>1808</v>
      </c>
      <c r="E18" s="1226"/>
      <c r="F18" s="1226"/>
      <c r="G18" s="1226"/>
      <c r="H18" s="1226"/>
      <c r="I18" s="1226"/>
      <c r="J18" s="1226"/>
      <c r="K18" s="1226"/>
    </row>
    <row r="19" spans="1:11" ht="9.75" customHeight="1" x14ac:dyDescent="0.2">
      <c r="A19" s="1220"/>
      <c r="B19" s="1229"/>
      <c r="D19" s="1228" t="s">
        <v>1284</v>
      </c>
      <c r="E19" s="1226"/>
      <c r="F19" s="1226"/>
      <c r="G19" s="1226"/>
      <c r="H19" s="1226"/>
      <c r="I19" s="1226"/>
      <c r="J19" s="1226"/>
      <c r="K19" s="1226"/>
    </row>
    <row r="20" spans="1:11" ht="3" customHeight="1" x14ac:dyDescent="0.2">
      <c r="A20" s="1220"/>
      <c r="B20" s="1229"/>
      <c r="D20" s="1228"/>
      <c r="E20" s="1226"/>
      <c r="F20" s="1226"/>
      <c r="G20" s="1226"/>
      <c r="H20" s="1226"/>
      <c r="I20" s="1226"/>
      <c r="J20" s="1226"/>
      <c r="K20" s="1226"/>
    </row>
    <row r="21" spans="1:11" x14ac:dyDescent="0.2">
      <c r="A21" s="1220"/>
      <c r="B21" s="1223"/>
      <c r="C21" s="1224">
        <f>C18+1</f>
        <v>5</v>
      </c>
      <c r="D21" s="1228" t="s">
        <v>1283</v>
      </c>
      <c r="E21" s="1226"/>
      <c r="F21" s="1226"/>
      <c r="G21" s="1226"/>
      <c r="H21" s="1226"/>
      <c r="I21" s="1226"/>
      <c r="J21" s="1226"/>
      <c r="K21" s="1226"/>
    </row>
    <row r="22" spans="1:11" ht="10.5" customHeight="1" x14ac:dyDescent="0.2">
      <c r="A22" s="1220"/>
      <c r="B22" s="1229"/>
      <c r="D22" s="1228" t="s">
        <v>1282</v>
      </c>
      <c r="E22" s="1226"/>
      <c r="F22" s="1226"/>
      <c r="G22" s="1226"/>
      <c r="H22" s="1226"/>
      <c r="I22" s="1226"/>
      <c r="J22" s="1226"/>
      <c r="K22" s="1226"/>
    </row>
    <row r="23" spans="1:11" ht="3" customHeight="1" x14ac:dyDescent="0.2">
      <c r="A23" s="1220"/>
      <c r="B23" s="1229"/>
      <c r="D23" s="1228"/>
      <c r="E23" s="1226"/>
      <c r="F23" s="1226"/>
      <c r="G23" s="1226"/>
      <c r="H23" s="1226"/>
      <c r="I23" s="1226"/>
      <c r="J23" s="1226"/>
      <c r="K23" s="1226"/>
    </row>
    <row r="24" spans="1:11" x14ac:dyDescent="0.2">
      <c r="A24" s="1220"/>
      <c r="B24" s="1223"/>
      <c r="C24" s="1224">
        <f>C21+1</f>
        <v>6</v>
      </c>
      <c r="D24" s="1232" t="s">
        <v>1829</v>
      </c>
      <c r="E24" s="1226"/>
      <c r="F24" s="1226"/>
      <c r="G24" s="1226"/>
      <c r="H24" s="1226"/>
      <c r="I24" s="1226"/>
      <c r="J24" s="1226"/>
      <c r="K24" s="1226"/>
    </row>
    <row r="25" spans="1:11" x14ac:dyDescent="0.2">
      <c r="A25" s="1220"/>
      <c r="B25" s="1229"/>
      <c r="D25" s="1228" t="s">
        <v>1809</v>
      </c>
      <c r="E25" s="1226"/>
      <c r="F25" s="1226"/>
      <c r="G25" s="1226"/>
      <c r="H25" s="1226"/>
      <c r="I25" s="1226"/>
      <c r="J25" s="1226"/>
      <c r="K25" s="1226"/>
    </row>
    <row r="26" spans="1:11" x14ac:dyDescent="0.2">
      <c r="A26" s="1220"/>
      <c r="B26" s="1229"/>
      <c r="D26" s="1233" t="s">
        <v>1810</v>
      </c>
      <c r="E26" s="1226"/>
      <c r="F26" s="1226"/>
      <c r="G26" s="1226"/>
      <c r="H26" s="1226"/>
      <c r="I26" s="1226"/>
      <c r="J26" s="1226"/>
      <c r="K26" s="1226"/>
    </row>
    <row r="27" spans="1:11" ht="3" customHeight="1" x14ac:dyDescent="0.2">
      <c r="A27" s="1220"/>
      <c r="B27" s="1229"/>
      <c r="D27" s="1233"/>
      <c r="E27" s="1226"/>
      <c r="F27" s="1226"/>
      <c r="G27" s="1226"/>
      <c r="H27" s="1226"/>
      <c r="I27" s="1226"/>
      <c r="J27" s="1226"/>
      <c r="K27" s="1226"/>
    </row>
    <row r="28" spans="1:11" x14ac:dyDescent="0.2">
      <c r="A28" s="1220"/>
      <c r="B28" s="1223"/>
      <c r="C28" s="1230">
        <f>C24+1</f>
        <v>7</v>
      </c>
      <c r="D28" s="1233" t="s">
        <v>1651</v>
      </c>
      <c r="E28" s="1226"/>
      <c r="F28" s="1226"/>
      <c r="G28" s="1226"/>
      <c r="H28" s="1226"/>
      <c r="I28" s="1226"/>
      <c r="J28" s="1226"/>
      <c r="K28" s="1226"/>
    </row>
    <row r="29" spans="1:11" ht="10.5" customHeight="1" x14ac:dyDescent="0.2">
      <c r="A29" s="1220"/>
      <c r="D29" s="1234" t="s">
        <v>1652</v>
      </c>
    </row>
    <row r="30" spans="1:11" ht="6" customHeight="1" x14ac:dyDescent="0.2">
      <c r="A30" s="1220"/>
      <c r="D30" s="1219"/>
    </row>
    <row r="31" spans="1:11" x14ac:dyDescent="0.2">
      <c r="A31" s="1220"/>
      <c r="B31" s="1221" t="s">
        <v>1281</v>
      </c>
      <c r="C31" s="1222"/>
      <c r="D31" s="1219"/>
    </row>
    <row r="32" spans="1:11" ht="4.5" customHeight="1" x14ac:dyDescent="0.2">
      <c r="A32" s="1220"/>
      <c r="B32" s="1221"/>
      <c r="C32" s="1222"/>
      <c r="D32" s="1219"/>
    </row>
    <row r="33" spans="1:5" x14ac:dyDescent="0.2">
      <c r="A33" s="1220"/>
      <c r="B33" s="1223"/>
      <c r="C33" s="1224">
        <v>8</v>
      </c>
      <c r="D33" s="1235" t="s">
        <v>1280</v>
      </c>
    </row>
    <row r="34" spans="1:5" ht="10.5" customHeight="1" x14ac:dyDescent="0.2">
      <c r="A34" s="1220"/>
      <c r="B34" s="1236"/>
      <c r="C34" s="1224"/>
      <c r="D34" s="1235" t="s">
        <v>1653</v>
      </c>
    </row>
    <row r="35" spans="1:5" ht="3" customHeight="1" x14ac:dyDescent="0.2">
      <c r="A35" s="1220"/>
      <c r="B35" s="1229"/>
      <c r="D35" s="1219"/>
    </row>
    <row r="36" spans="1:5" x14ac:dyDescent="0.2">
      <c r="A36" s="1220"/>
      <c r="B36" s="1223"/>
      <c r="C36" s="1224">
        <f>C33+1</f>
        <v>9</v>
      </c>
      <c r="D36" s="1235" t="s">
        <v>1279</v>
      </c>
    </row>
    <row r="37" spans="1:5" ht="10.5" customHeight="1" x14ac:dyDescent="0.2">
      <c r="A37" s="1220"/>
      <c r="B37" s="1229"/>
      <c r="D37" s="1235" t="s">
        <v>1653</v>
      </c>
    </row>
    <row r="38" spans="1:5" ht="3" customHeight="1" x14ac:dyDescent="0.2">
      <c r="A38" s="1220"/>
      <c r="B38" s="1237"/>
      <c r="C38" s="1238"/>
      <c r="D38" s="1219"/>
    </row>
    <row r="39" spans="1:5" x14ac:dyDescent="0.2">
      <c r="A39" s="1220"/>
      <c r="B39" s="1239"/>
      <c r="C39" s="1230">
        <f>C36+1</f>
        <v>10</v>
      </c>
      <c r="D39" s="1219" t="s">
        <v>1278</v>
      </c>
    </row>
    <row r="40" spans="1:5" ht="10.5" customHeight="1" x14ac:dyDescent="0.2">
      <c r="A40" s="1220"/>
      <c r="B40" s="1240"/>
      <c r="C40" s="1238"/>
      <c r="D40" s="1219" t="s">
        <v>1654</v>
      </c>
    </row>
    <row r="41" spans="1:5" ht="3" customHeight="1" x14ac:dyDescent="0.2">
      <c r="A41" s="1220"/>
      <c r="B41" s="1237"/>
      <c r="C41" s="1238"/>
      <c r="D41" s="1219"/>
    </row>
    <row r="42" spans="1:5" ht="10.5" customHeight="1" x14ac:dyDescent="0.2">
      <c r="A42" s="1220"/>
      <c r="B42" s="1239"/>
      <c r="C42" s="1230">
        <v>11</v>
      </c>
      <c r="D42" s="1241" t="s">
        <v>1655</v>
      </c>
      <c r="E42" s="312"/>
    </row>
    <row r="43" spans="1:5" ht="3" customHeight="1" x14ac:dyDescent="0.2">
      <c r="A43" s="1220"/>
      <c r="B43" s="1237"/>
      <c r="C43" s="1238"/>
      <c r="D43" s="1219"/>
    </row>
    <row r="44" spans="1:5" x14ac:dyDescent="0.2">
      <c r="A44" s="1220"/>
      <c r="B44" s="1223"/>
      <c r="C44" s="1224">
        <f>C42+1</f>
        <v>12</v>
      </c>
      <c r="D44" s="1235" t="s">
        <v>1277</v>
      </c>
    </row>
    <row r="45" spans="1:5" ht="10.5" customHeight="1" x14ac:dyDescent="0.2">
      <c r="A45" s="1220"/>
      <c r="B45" s="1236"/>
      <c r="C45" s="1224"/>
      <c r="D45" s="1235" t="s">
        <v>1276</v>
      </c>
    </row>
    <row r="46" spans="1:5" ht="10.5" customHeight="1" x14ac:dyDescent="0.2">
      <c r="A46" s="1220"/>
      <c r="B46" s="1237"/>
      <c r="C46" s="1238"/>
      <c r="D46" s="1235" t="s">
        <v>1275</v>
      </c>
    </row>
    <row r="47" spans="1:5" ht="3" customHeight="1" x14ac:dyDescent="0.2">
      <c r="A47" s="1220"/>
      <c r="B47" s="1237"/>
      <c r="C47" s="1238"/>
      <c r="D47" s="1235"/>
    </row>
    <row r="48" spans="1:5" x14ac:dyDescent="0.2">
      <c r="A48" s="1220"/>
      <c r="B48" s="1223"/>
      <c r="C48" s="1224">
        <f>C44+1</f>
        <v>13</v>
      </c>
      <c r="D48" s="1235" t="s">
        <v>1656</v>
      </c>
    </row>
    <row r="49" spans="1:4" ht="3" customHeight="1" x14ac:dyDescent="0.2">
      <c r="A49" s="1220"/>
      <c r="B49" s="1227"/>
      <c r="C49" s="1224"/>
      <c r="D49" s="1235"/>
    </row>
    <row r="50" spans="1:4" x14ac:dyDescent="0.2">
      <c r="A50" s="1220"/>
      <c r="B50" s="1223"/>
      <c r="C50" s="1224">
        <f>C48+1</f>
        <v>14</v>
      </c>
      <c r="D50" s="1235" t="s">
        <v>1274</v>
      </c>
    </row>
    <row r="51" spans="1:4" ht="3" customHeight="1" x14ac:dyDescent="0.2">
      <c r="A51" s="1220"/>
      <c r="B51" s="1227"/>
      <c r="C51" s="1224"/>
      <c r="D51" s="1235"/>
    </row>
    <row r="52" spans="1:4" x14ac:dyDescent="0.2">
      <c r="A52" s="1220"/>
      <c r="B52" s="1223"/>
      <c r="C52" s="1224">
        <f>C50+1</f>
        <v>15</v>
      </c>
      <c r="D52" s="1235" t="s">
        <v>1273</v>
      </c>
    </row>
    <row r="53" spans="1:4" ht="3" customHeight="1" x14ac:dyDescent="0.2">
      <c r="A53" s="1220"/>
      <c r="B53" s="1227"/>
      <c r="C53" s="1224"/>
      <c r="D53" s="1235"/>
    </row>
    <row r="54" spans="1:4" x14ac:dyDescent="0.2">
      <c r="A54" s="1220"/>
      <c r="B54" s="1223"/>
      <c r="C54" s="1224">
        <f>C52+1</f>
        <v>16</v>
      </c>
      <c r="D54" s="1235" t="s">
        <v>1272</v>
      </c>
    </row>
    <row r="55" spans="1:4" ht="3" customHeight="1" x14ac:dyDescent="0.2">
      <c r="A55" s="1220"/>
      <c r="B55" s="1227"/>
      <c r="C55" s="1224"/>
      <c r="D55" s="1235"/>
    </row>
    <row r="56" spans="1:4" x14ac:dyDescent="0.2">
      <c r="A56" s="1220"/>
      <c r="B56" s="1223"/>
      <c r="C56" s="1224">
        <f>C54+1</f>
        <v>17</v>
      </c>
      <c r="D56" s="1219" t="s">
        <v>1811</v>
      </c>
    </row>
    <row r="57" spans="1:4" ht="10.5" customHeight="1" x14ac:dyDescent="0.2">
      <c r="A57" s="1220"/>
      <c r="D57" s="1235" t="s">
        <v>1812</v>
      </c>
    </row>
    <row r="58" spans="1:4" x14ac:dyDescent="0.2">
      <c r="A58" s="1220"/>
      <c r="C58" s="1242"/>
      <c r="D58" s="1235" t="s">
        <v>1813</v>
      </c>
    </row>
    <row r="59" spans="1:4" ht="10.5" customHeight="1" x14ac:dyDescent="0.2">
      <c r="A59" s="1220"/>
      <c r="D59" s="1219" t="s">
        <v>1271</v>
      </c>
    </row>
    <row r="60" spans="1:4" ht="10.5" customHeight="1" x14ac:dyDescent="0.2">
      <c r="A60" s="1220"/>
      <c r="D60" s="1243" t="s">
        <v>1681</v>
      </c>
    </row>
    <row r="61" spans="1:4" ht="10.5" customHeight="1" x14ac:dyDescent="0.2">
      <c r="A61" s="1220"/>
      <c r="C61" s="1242"/>
      <c r="D61" s="1235" t="s">
        <v>1814</v>
      </c>
    </row>
    <row r="62" spans="1:4" ht="10.5" customHeight="1" x14ac:dyDescent="0.2">
      <c r="A62" s="1220"/>
      <c r="D62" s="1244" t="s">
        <v>1270</v>
      </c>
    </row>
    <row r="63" spans="1:4" ht="10.5" customHeight="1" x14ac:dyDescent="0.2">
      <c r="A63" s="1220"/>
      <c r="D63" s="1219" t="s">
        <v>1657</v>
      </c>
    </row>
    <row r="64" spans="1:4" ht="10.5" customHeight="1" x14ac:dyDescent="0.2">
      <c r="A64" s="1220"/>
      <c r="D64" s="1243" t="s">
        <v>1680</v>
      </c>
    </row>
    <row r="65" spans="1:4" x14ac:dyDescent="0.2">
      <c r="A65" s="1220"/>
      <c r="C65" s="1242"/>
      <c r="D65" s="1235" t="s">
        <v>1815</v>
      </c>
    </row>
    <row r="66" spans="1:4" ht="10.5" customHeight="1" x14ac:dyDescent="0.2">
      <c r="A66" s="1220"/>
      <c r="D66" s="1245" t="s">
        <v>1269</v>
      </c>
    </row>
    <row r="67" spans="1:4" ht="10.5" customHeight="1" x14ac:dyDescent="0.2">
      <c r="A67" s="1220"/>
      <c r="D67" s="1219" t="s">
        <v>1658</v>
      </c>
    </row>
    <row r="68" spans="1:4" ht="10.5" customHeight="1" x14ac:dyDescent="0.2">
      <c r="A68" s="1220"/>
      <c r="D68" s="1243" t="s">
        <v>1680</v>
      </c>
    </row>
    <row r="69" spans="1:4" ht="10.5" customHeight="1" x14ac:dyDescent="0.2">
      <c r="A69" s="1220"/>
      <c r="C69" s="1242"/>
      <c r="D69" s="1235" t="s">
        <v>1816</v>
      </c>
    </row>
    <row r="70" spans="1:4" x14ac:dyDescent="0.2">
      <c r="A70" s="1220"/>
      <c r="D70" s="1244" t="s">
        <v>1268</v>
      </c>
    </row>
    <row r="71" spans="1:4" ht="3" customHeight="1" x14ac:dyDescent="0.2">
      <c r="A71" s="1220"/>
      <c r="D71" s="1219"/>
    </row>
    <row r="72" spans="1:4" x14ac:dyDescent="0.2">
      <c r="A72" s="1220"/>
      <c r="B72" s="1223"/>
      <c r="C72" s="1224">
        <f>C56+1</f>
        <v>18</v>
      </c>
      <c r="D72" s="1245" t="s">
        <v>1817</v>
      </c>
    </row>
    <row r="73" spans="1:4" ht="3" customHeight="1" x14ac:dyDescent="0.2">
      <c r="A73" s="1220"/>
      <c r="B73" s="1227"/>
      <c r="C73" s="1224"/>
      <c r="D73" s="1245"/>
    </row>
    <row r="74" spans="1:4" x14ac:dyDescent="0.2">
      <c r="A74" s="1220"/>
      <c r="B74" s="1223"/>
      <c r="C74" s="1224">
        <f>C72+1</f>
        <v>19</v>
      </c>
      <c r="D74" s="1235" t="s">
        <v>1267</v>
      </c>
    </row>
    <row r="75" spans="1:4" ht="3" customHeight="1" x14ac:dyDescent="0.2">
      <c r="A75" s="1220"/>
      <c r="B75" s="1227"/>
      <c r="C75" s="1224"/>
      <c r="D75" s="1235"/>
    </row>
    <row r="76" spans="1:4" x14ac:dyDescent="0.2">
      <c r="A76" s="1220"/>
      <c r="B76" s="1223"/>
      <c r="C76" s="1224">
        <f>C74+1</f>
        <v>20</v>
      </c>
      <c r="D76" s="1246" t="s">
        <v>1818</v>
      </c>
    </row>
    <row r="77" spans="1:4" ht="3" customHeight="1" x14ac:dyDescent="0.2">
      <c r="A77" s="1220"/>
      <c r="B77" s="1227"/>
      <c r="C77" s="1224"/>
      <c r="D77" s="1246"/>
    </row>
    <row r="78" spans="1:4" x14ac:dyDescent="0.2">
      <c r="A78" s="1220"/>
      <c r="B78" s="1223"/>
      <c r="C78" s="1224">
        <f>C76+1</f>
        <v>21</v>
      </c>
      <c r="D78" s="1219" t="s">
        <v>1819</v>
      </c>
    </row>
    <row r="79" spans="1:4" ht="3" customHeight="1" x14ac:dyDescent="0.2">
      <c r="A79" s="1220"/>
      <c r="B79" s="1227"/>
      <c r="C79" s="1224"/>
      <c r="D79" s="1219"/>
    </row>
    <row r="80" spans="1:4" x14ac:dyDescent="0.2">
      <c r="A80" s="1220"/>
      <c r="B80" s="1223"/>
      <c r="C80" s="1224">
        <f>C78+1</f>
        <v>22</v>
      </c>
      <c r="D80" s="1247" t="s">
        <v>1820</v>
      </c>
    </row>
    <row r="81" spans="1:4" ht="3" customHeight="1" x14ac:dyDescent="0.2">
      <c r="A81" s="1220"/>
      <c r="B81" s="1227"/>
      <c r="C81" s="1224"/>
      <c r="D81" s="1247"/>
    </row>
    <row r="82" spans="1:4" x14ac:dyDescent="0.2">
      <c r="A82" s="1220"/>
      <c r="B82" s="1223"/>
      <c r="C82" s="1224">
        <f>C80+1</f>
        <v>23</v>
      </c>
      <c r="D82" s="1246" t="s">
        <v>1821</v>
      </c>
    </row>
    <row r="83" spans="1:4" ht="10.5" customHeight="1" x14ac:dyDescent="0.2">
      <c r="A83" s="1220"/>
      <c r="B83" s="1229"/>
      <c r="D83" s="1235" t="s">
        <v>1266</v>
      </c>
    </row>
    <row r="84" spans="1:4" ht="3" customHeight="1" x14ac:dyDescent="0.2">
      <c r="A84" s="1220"/>
      <c r="B84" s="1229"/>
      <c r="D84" s="1235"/>
    </row>
    <row r="85" spans="1:4" x14ac:dyDescent="0.2">
      <c r="A85" s="1220"/>
      <c r="B85" s="1223"/>
      <c r="C85" s="1224">
        <f>C82+1</f>
        <v>24</v>
      </c>
      <c r="D85" s="1235" t="s">
        <v>1265</v>
      </c>
    </row>
    <row r="86" spans="1:4" ht="3" customHeight="1" x14ac:dyDescent="0.2">
      <c r="A86" s="1220"/>
      <c r="B86" s="1227"/>
      <c r="C86" s="1224"/>
      <c r="D86" s="1235"/>
    </row>
    <row r="87" spans="1:4" x14ac:dyDescent="0.2">
      <c r="A87" s="1220"/>
      <c r="B87" s="1223"/>
      <c r="C87" s="1224">
        <f>C85+1</f>
        <v>25</v>
      </c>
      <c r="D87" s="1235" t="s">
        <v>1264</v>
      </c>
    </row>
    <row r="88" spans="1:4" ht="3" customHeight="1" x14ac:dyDescent="0.2">
      <c r="A88" s="1220"/>
      <c r="B88" s="1227"/>
      <c r="C88" s="1224"/>
      <c r="D88" s="1235"/>
    </row>
    <row r="89" spans="1:4" x14ac:dyDescent="0.2">
      <c r="A89" s="1220"/>
      <c r="B89" s="1223"/>
      <c r="C89" s="1224">
        <f>C87+1</f>
        <v>26</v>
      </c>
      <c r="D89" s="1235" t="s">
        <v>1263</v>
      </c>
    </row>
    <row r="90" spans="1:4" ht="3" customHeight="1" x14ac:dyDescent="0.2">
      <c r="A90" s="1220"/>
      <c r="B90" s="1227"/>
      <c r="C90" s="1224"/>
      <c r="D90" s="1235"/>
    </row>
    <row r="91" spans="1:4" x14ac:dyDescent="0.2">
      <c r="A91" s="1220"/>
      <c r="B91" s="1223"/>
      <c r="C91" s="1224">
        <f>C89+1</f>
        <v>27</v>
      </c>
      <c r="D91" s="1235" t="s">
        <v>1822</v>
      </c>
    </row>
    <row r="92" spans="1:4" x14ac:dyDescent="0.2">
      <c r="A92" s="1220"/>
      <c r="B92" s="1248"/>
      <c r="C92" s="1242"/>
      <c r="D92" s="1235" t="s">
        <v>1262</v>
      </c>
    </row>
    <row r="93" spans="1:4" ht="4.5" customHeight="1" x14ac:dyDescent="0.2">
      <c r="A93" s="1220"/>
      <c r="D93" s="1219"/>
    </row>
    <row r="94" spans="1:4" x14ac:dyDescent="0.2">
      <c r="A94" s="1220"/>
      <c r="B94" s="1221" t="s">
        <v>1659</v>
      </c>
      <c r="C94" s="1222"/>
      <c r="D94" s="1219"/>
    </row>
    <row r="95" spans="1:4" ht="4.5" customHeight="1" x14ac:dyDescent="0.2">
      <c r="A95" s="1220"/>
      <c r="B95" s="1221"/>
      <c r="C95" s="1222"/>
      <c r="D95" s="1219"/>
    </row>
    <row r="96" spans="1:4" x14ac:dyDescent="0.2">
      <c r="A96" s="1220"/>
      <c r="B96" s="1223"/>
      <c r="C96" s="1224">
        <f>C91+1</f>
        <v>28</v>
      </c>
      <c r="D96" s="1235" t="s">
        <v>1823</v>
      </c>
    </row>
    <row r="97" spans="1:4" ht="3" customHeight="1" x14ac:dyDescent="0.2">
      <c r="A97" s="1220"/>
      <c r="B97" s="1227"/>
      <c r="C97" s="1224"/>
      <c r="D97" s="1235"/>
    </row>
    <row r="98" spans="1:4" x14ac:dyDescent="0.2">
      <c r="A98" s="1220"/>
      <c r="B98" s="1223"/>
      <c r="C98" s="1224">
        <f>C96+1</f>
        <v>29</v>
      </c>
      <c r="D98" s="1249" t="s">
        <v>1824</v>
      </c>
    </row>
    <row r="99" spans="1:4" ht="3" customHeight="1" x14ac:dyDescent="0.2">
      <c r="A99" s="1220"/>
      <c r="B99" s="1227"/>
      <c r="C99" s="1224"/>
      <c r="D99" s="1249"/>
    </row>
    <row r="100" spans="1:4" x14ac:dyDescent="0.2">
      <c r="A100" s="1220"/>
      <c r="B100" s="1223"/>
      <c r="C100" s="1224">
        <f>C98+1</f>
        <v>30</v>
      </c>
      <c r="D100" s="1235" t="s">
        <v>1825</v>
      </c>
    </row>
    <row r="101" spans="1:4" ht="3" customHeight="1" x14ac:dyDescent="0.2">
      <c r="A101" s="1220"/>
      <c r="B101" s="1227"/>
      <c r="C101" s="1224"/>
      <c r="D101" s="1250"/>
    </row>
    <row r="102" spans="1:4" x14ac:dyDescent="0.2">
      <c r="A102" s="1220"/>
      <c r="B102" s="1223"/>
      <c r="C102" s="1224">
        <f>C100+1</f>
        <v>31</v>
      </c>
      <c r="D102" s="1235" t="s">
        <v>1660</v>
      </c>
    </row>
    <row r="103" spans="1:4" ht="4.5" customHeight="1" x14ac:dyDescent="0.2">
      <c r="A103" s="1220"/>
      <c r="B103" s="312"/>
      <c r="C103" s="1224"/>
      <c r="D103" s="1235"/>
    </row>
    <row r="104" spans="1:4" ht="14.1" customHeight="1" x14ac:dyDescent="0.2">
      <c r="A104" s="1220"/>
      <c r="B104" s="1251" t="s">
        <v>1261</v>
      </c>
    </row>
    <row r="105" spans="1:4" ht="4.5" customHeight="1" x14ac:dyDescent="0.2">
      <c r="A105" s="1220"/>
      <c r="B105" s="1251"/>
    </row>
    <row r="106" spans="1:4" x14ac:dyDescent="0.2">
      <c r="A106" s="1220"/>
      <c r="B106" s="1223"/>
      <c r="C106" s="1224">
        <f>C102+1</f>
        <v>32</v>
      </c>
      <c r="D106" s="1219" t="s">
        <v>1661</v>
      </c>
    </row>
    <row r="107" spans="1:4" ht="3" customHeight="1" x14ac:dyDescent="0.2">
      <c r="A107" s="1220"/>
      <c r="B107" s="1227"/>
      <c r="C107" s="1224"/>
      <c r="D107" s="1219"/>
    </row>
    <row r="108" spans="1:4" x14ac:dyDescent="0.2">
      <c r="A108" s="1220"/>
      <c r="B108" s="1223"/>
      <c r="C108" s="1224">
        <v>33</v>
      </c>
      <c r="D108" s="1219" t="s">
        <v>1826</v>
      </c>
    </row>
    <row r="109" spans="1:4" ht="3" customHeight="1" x14ac:dyDescent="0.2">
      <c r="A109" s="1220"/>
      <c r="B109" s="1227"/>
      <c r="C109" s="1224"/>
      <c r="D109" s="1219"/>
    </row>
    <row r="110" spans="1:4" x14ac:dyDescent="0.2">
      <c r="A110" s="1220"/>
      <c r="B110" s="1223"/>
      <c r="C110" s="1224">
        <f>C108+1</f>
        <v>34</v>
      </c>
      <c r="D110" s="1219" t="s">
        <v>1260</v>
      </c>
    </row>
    <row r="111" spans="1:4" ht="3" customHeight="1" x14ac:dyDescent="0.2">
      <c r="A111" s="1220"/>
      <c r="B111" s="1227"/>
      <c r="C111" s="1224"/>
      <c r="D111" s="1219"/>
    </row>
    <row r="112" spans="1:4" x14ac:dyDescent="0.2">
      <c r="A112" s="1220"/>
      <c r="B112" s="1223"/>
      <c r="C112" s="1224">
        <f>C110+1</f>
        <v>35</v>
      </c>
      <c r="D112" s="1219" t="s">
        <v>1259</v>
      </c>
    </row>
    <row r="113" spans="1:4" ht="11.25" customHeight="1" x14ac:dyDescent="0.2">
      <c r="A113" s="1220"/>
      <c r="B113" s="1252"/>
      <c r="C113" s="1224"/>
      <c r="D113" s="1253" t="s">
        <v>1258</v>
      </c>
    </row>
    <row r="114" spans="1:4" ht="3" customHeight="1" x14ac:dyDescent="0.2">
      <c r="A114" s="1220"/>
      <c r="B114" s="1254"/>
      <c r="C114" s="1224"/>
      <c r="D114" s="1253"/>
    </row>
    <row r="115" spans="1:4" x14ac:dyDescent="0.2">
      <c r="A115" s="1220"/>
      <c r="B115" s="1223"/>
      <c r="C115" s="1224">
        <f>C112+1</f>
        <v>36</v>
      </c>
      <c r="D115" s="1235" t="s">
        <v>1257</v>
      </c>
    </row>
    <row r="116" spans="1:4" ht="3" customHeight="1" x14ac:dyDescent="0.2">
      <c r="A116" s="1220"/>
      <c r="B116" s="1227"/>
      <c r="C116" s="1224"/>
      <c r="D116" s="1235"/>
    </row>
    <row r="117" spans="1:4" x14ac:dyDescent="0.2">
      <c r="A117" s="1220"/>
      <c r="B117" s="1223"/>
      <c r="C117" s="1224">
        <f>C115+1</f>
        <v>37</v>
      </c>
      <c r="D117" s="1235" t="s">
        <v>1827</v>
      </c>
    </row>
    <row r="118" spans="1:4" ht="3" customHeight="1" x14ac:dyDescent="0.2">
      <c r="A118" s="1220"/>
      <c r="B118" s="1227"/>
      <c r="C118" s="1224"/>
      <c r="D118" s="1235"/>
    </row>
    <row r="119" spans="1:4" x14ac:dyDescent="0.2">
      <c r="A119" s="1220"/>
      <c r="B119" s="1223"/>
      <c r="C119" s="1224">
        <f>C117+1</f>
        <v>38</v>
      </c>
      <c r="D119" s="1235" t="s">
        <v>1828</v>
      </c>
    </row>
    <row r="120" spans="1:4" ht="10.5" customHeight="1" x14ac:dyDescent="0.2">
      <c r="A120" s="1220"/>
      <c r="B120" s="1248"/>
      <c r="C120" s="1224"/>
      <c r="D120" s="1235" t="s">
        <v>1256</v>
      </c>
    </row>
    <row r="121" spans="1:4" ht="10.5" customHeight="1" x14ac:dyDescent="0.2">
      <c r="A121" s="1220"/>
      <c r="B121" s="1248"/>
      <c r="C121" s="1224"/>
      <c r="D121" s="1235" t="s">
        <v>1255</v>
      </c>
    </row>
    <row r="122" spans="1:4" ht="3" customHeight="1" x14ac:dyDescent="0.2">
      <c r="A122" s="1220"/>
      <c r="B122" s="1248"/>
      <c r="C122" s="1224"/>
      <c r="D122" s="1235"/>
    </row>
    <row r="123" spans="1:4" x14ac:dyDescent="0.2">
      <c r="A123" s="1220"/>
      <c r="B123" s="1223"/>
      <c r="C123" s="1224">
        <f>C119+1</f>
        <v>39</v>
      </c>
      <c r="D123" s="1245" t="s">
        <v>1945</v>
      </c>
    </row>
    <row r="124" spans="1:4" x14ac:dyDescent="0.2">
      <c r="A124" s="1220"/>
      <c r="B124" s="312"/>
      <c r="C124" s="1224"/>
      <c r="D124" s="1235" t="s">
        <v>1254</v>
      </c>
    </row>
    <row r="125" spans="1:4" ht="4.5" customHeight="1" x14ac:dyDescent="0.2">
      <c r="A125" s="1220"/>
      <c r="D125" s="1219"/>
    </row>
    <row r="126" spans="1:4" x14ac:dyDescent="0.2">
      <c r="A126" s="1220"/>
      <c r="B126" s="1255"/>
      <c r="C126" s="1224"/>
      <c r="D126" s="1235"/>
    </row>
    <row r="127" spans="1:4" x14ac:dyDescent="0.2">
      <c r="A127" s="1220"/>
      <c r="D127" s="1235"/>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6" customWidth="1"/>
    <col min="3" max="3" width="1.28515625" style="1256" customWidth="1"/>
    <col min="4" max="4" width="24.42578125" style="1257" customWidth="1"/>
    <col min="5" max="5" width="5" style="317" customWidth="1"/>
    <col min="6" max="16384" width="15.7109375" style="317"/>
  </cols>
  <sheetData>
    <row r="1" spans="1:5" x14ac:dyDescent="0.2">
      <c r="A1" s="2634" t="str">
        <f>'Single Audit Cover'!A7</f>
        <v>Hononegah Community High School District No. 207</v>
      </c>
      <c r="B1" s="2634"/>
      <c r="C1" s="2634"/>
      <c r="D1" s="2634"/>
      <c r="E1" s="2634"/>
    </row>
    <row r="2" spans="1:5" x14ac:dyDescent="0.2">
      <c r="A2" s="2635" t="str">
        <f>'Single Audit Cover'!E7</f>
        <v>04-101-2070-16</v>
      </c>
      <c r="B2" s="2635"/>
      <c r="C2" s="2635"/>
      <c r="D2" s="2635"/>
      <c r="E2" s="2635"/>
    </row>
    <row r="3" spans="1:5" ht="4.5" customHeight="1" x14ac:dyDescent="0.2"/>
    <row r="4" spans="1:5" x14ac:dyDescent="0.2">
      <c r="A4" s="2634" t="s">
        <v>1307</v>
      </c>
      <c r="B4" s="2634"/>
      <c r="C4" s="2634"/>
      <c r="D4" s="2634"/>
      <c r="E4" s="2634"/>
    </row>
    <row r="5" spans="1:5" x14ac:dyDescent="0.2">
      <c r="A5" s="2637" t="str">
        <f>'Single Audit Cover'!A4</f>
        <v>Year Ending June 30, 2018</v>
      </c>
      <c r="B5" s="2637"/>
      <c r="C5" s="2637"/>
      <c r="D5" s="2637"/>
      <c r="E5" s="2637"/>
    </row>
    <row r="6" spans="1:5" x14ac:dyDescent="0.2">
      <c r="A6" s="2634" t="s">
        <v>1306</v>
      </c>
      <c r="B6" s="2634"/>
      <c r="C6" s="2634"/>
      <c r="D6" s="2634"/>
      <c r="E6" s="2634"/>
    </row>
    <row r="8" spans="1:5" x14ac:dyDescent="0.2">
      <c r="A8" s="1258" t="s">
        <v>1305</v>
      </c>
    </row>
    <row r="10" spans="1:5" x14ac:dyDescent="0.2">
      <c r="A10" s="1259" t="s">
        <v>1304</v>
      </c>
      <c r="B10" s="1260" t="s">
        <v>1303</v>
      </c>
      <c r="C10" s="1260"/>
      <c r="D10" s="1261">
        <f>SUM('Acct Summary 7-8'!C7:K7)</f>
        <v>866181</v>
      </c>
    </row>
    <row r="11" spans="1:5" ht="18" customHeight="1" x14ac:dyDescent="0.2">
      <c r="A11" s="1259" t="s">
        <v>1302</v>
      </c>
      <c r="B11" s="1260"/>
      <c r="C11" s="1260"/>
    </row>
    <row r="12" spans="1:5" x14ac:dyDescent="0.2">
      <c r="A12" s="1259" t="s">
        <v>1301</v>
      </c>
      <c r="B12" s="1260" t="s">
        <v>1300</v>
      </c>
      <c r="C12" s="1260"/>
      <c r="D12" s="1262">
        <f>SUM('Revenues 9-14'!C112:D112,'Revenues 9-14'!F112:G112)</f>
        <v>0</v>
      </c>
    </row>
    <row r="13" spans="1:5" x14ac:dyDescent="0.2">
      <c r="A13" s="1259" t="s">
        <v>1299</v>
      </c>
      <c r="B13" s="1260"/>
      <c r="C13" s="1260"/>
    </row>
    <row r="14" spans="1:5" x14ac:dyDescent="0.2">
      <c r="A14" s="1259" t="s">
        <v>1830</v>
      </c>
      <c r="B14" s="1260"/>
      <c r="C14" s="1260"/>
      <c r="D14" s="1262">
        <f>'ICR Computation 30'!E11</f>
        <v>52142</v>
      </c>
    </row>
    <row r="15" spans="1:5" x14ac:dyDescent="0.2">
      <c r="A15" s="1259"/>
      <c r="B15" s="1260"/>
      <c r="C15" s="1260"/>
    </row>
    <row r="16" spans="1:5" x14ac:dyDescent="0.2">
      <c r="A16" s="1259" t="s">
        <v>1953</v>
      </c>
      <c r="B16" s="1260"/>
      <c r="C16" s="1260"/>
    </row>
    <row r="17" spans="1:4" x14ac:dyDescent="0.2">
      <c r="A17" s="1259" t="s">
        <v>1601</v>
      </c>
      <c r="B17" s="1260" t="s">
        <v>1298</v>
      </c>
      <c r="C17" s="1260"/>
      <c r="D17" s="1262">
        <f>-SUM('Revenues 9-14'!C271:D271,'Revenues 9-14'!F271:G271)</f>
        <v>-45152</v>
      </c>
    </row>
    <row r="19" spans="1:4" ht="13.5" thickBot="1" x14ac:dyDescent="0.25">
      <c r="A19" s="1263" t="s">
        <v>1297</v>
      </c>
      <c r="D19" s="1264">
        <f>SUM(D10:D17)</f>
        <v>873171</v>
      </c>
    </row>
    <row r="20" spans="1:4" ht="21.75" customHeight="1" thickTop="1" x14ac:dyDescent="0.2"/>
    <row r="21" spans="1:4" x14ac:dyDescent="0.2">
      <c r="A21" s="1258" t="s">
        <v>1296</v>
      </c>
    </row>
    <row r="22" spans="1:4" ht="8.25" customHeight="1" x14ac:dyDescent="0.2"/>
    <row r="23" spans="1:4" x14ac:dyDescent="0.2">
      <c r="A23" s="1265" t="s">
        <v>1290</v>
      </c>
    </row>
    <row r="24" spans="1:4" x14ac:dyDescent="0.2">
      <c r="A24" s="2636" t="s">
        <v>2309</v>
      </c>
      <c r="B24" s="2636"/>
      <c r="D24" s="1266">
        <v>-52142</v>
      </c>
    </row>
    <row r="25" spans="1:4" x14ac:dyDescent="0.2">
      <c r="A25" s="2633"/>
      <c r="B25" s="2633"/>
      <c r="D25" s="1266"/>
    </row>
    <row r="26" spans="1:4" x14ac:dyDescent="0.2">
      <c r="A26" s="2633"/>
      <c r="B26" s="2633"/>
      <c r="D26" s="1266"/>
    </row>
    <row r="27" spans="1:4" x14ac:dyDescent="0.2">
      <c r="A27" s="2633"/>
      <c r="B27" s="2633"/>
      <c r="D27" s="1266"/>
    </row>
    <row r="28" spans="1:4" x14ac:dyDescent="0.2">
      <c r="A28" s="2633"/>
      <c r="B28" s="2633"/>
      <c r="D28" s="1266"/>
    </row>
    <row r="29" spans="1:4" x14ac:dyDescent="0.2">
      <c r="A29" s="2633"/>
      <c r="B29" s="2633"/>
      <c r="D29" s="1266"/>
    </row>
    <row r="30" spans="1:4" x14ac:dyDescent="0.2">
      <c r="A30" s="2633"/>
      <c r="B30" s="2633"/>
      <c r="D30" s="1266"/>
    </row>
    <row r="32" spans="1:4" x14ac:dyDescent="0.2">
      <c r="A32" s="1258" t="s">
        <v>1295</v>
      </c>
      <c r="D32" s="1261">
        <f>SUM(D19:D30)</f>
        <v>821029</v>
      </c>
    </row>
    <row r="33" spans="1:4" x14ac:dyDescent="0.2">
      <c r="D33" s="1267"/>
    </row>
    <row r="34" spans="1:4" x14ac:dyDescent="0.2">
      <c r="A34" s="317" t="s">
        <v>1294</v>
      </c>
    </row>
    <row r="35" spans="1:4" x14ac:dyDescent="0.2">
      <c r="A35" s="317" t="s">
        <v>1293</v>
      </c>
      <c r="B35" s="1256" t="s">
        <v>1292</v>
      </c>
      <c r="D35" s="1268">
        <f>'SEFA 18'!H115</f>
        <v>821028.848</v>
      </c>
    </row>
    <row r="37" spans="1:4" x14ac:dyDescent="0.2">
      <c r="A37" s="1258" t="s">
        <v>1291</v>
      </c>
    </row>
    <row r="39" spans="1:4" ht="13.35" customHeight="1" x14ac:dyDescent="0.2">
      <c r="A39" s="1265" t="s">
        <v>1290</v>
      </c>
    </row>
    <row r="40" spans="1:4" x14ac:dyDescent="0.2">
      <c r="A40" s="2633"/>
      <c r="B40" s="2633"/>
      <c r="D40" s="1266"/>
    </row>
    <row r="41" spans="1:4" x14ac:dyDescent="0.2">
      <c r="A41" s="2633"/>
      <c r="B41" s="2633"/>
      <c r="D41" s="1269"/>
    </row>
    <row r="42" spans="1:4" x14ac:dyDescent="0.2">
      <c r="A42" s="2633"/>
      <c r="B42" s="2633"/>
      <c r="D42" s="1269"/>
    </row>
    <row r="43" spans="1:4" x14ac:dyDescent="0.2">
      <c r="A43" s="2633"/>
      <c r="B43" s="2633"/>
      <c r="D43" s="1269"/>
    </row>
    <row r="44" spans="1:4" x14ac:dyDescent="0.2">
      <c r="A44" s="2633"/>
      <c r="B44" s="2633"/>
      <c r="D44" s="1269"/>
    </row>
    <row r="45" spans="1:4" x14ac:dyDescent="0.2">
      <c r="A45" s="2633"/>
      <c r="B45" s="2633"/>
      <c r="D45" s="1269"/>
    </row>
    <row r="47" spans="1:4" x14ac:dyDescent="0.2">
      <c r="B47" s="1270" t="s">
        <v>1289</v>
      </c>
      <c r="C47" s="1270"/>
      <c r="D47" s="1271">
        <f>SUM(D35:D45)</f>
        <v>821028.848</v>
      </c>
    </row>
    <row r="49" spans="2:4" x14ac:dyDescent="0.2">
      <c r="B49" s="1270" t="s">
        <v>1288</v>
      </c>
      <c r="C49" s="1270"/>
      <c r="D49" s="1271">
        <f>D32-D47</f>
        <v>0.15200000000186265</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13" sqref="B13"/>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6" customWidth="1"/>
    <col min="8" max="8" width="13.7109375" style="1256" bestFit="1" customWidth="1"/>
    <col min="9" max="9" width="11.7109375" style="1256" customWidth="1"/>
    <col min="10" max="10" width="13.7109375" style="1256" customWidth="1"/>
    <col min="11" max="12" width="11.7109375" style="1256" customWidth="1"/>
    <col min="13" max="13" width="11.7109375" style="317" customWidth="1"/>
    <col min="14" max="14" width="2.7109375" style="317" customWidth="1"/>
    <col min="15" max="16384" width="33.5703125" style="317"/>
  </cols>
  <sheetData>
    <row r="1" spans="2:14" ht="11.85" customHeight="1" x14ac:dyDescent="0.2">
      <c r="B1" s="2593" t="str">
        <f>'Single Audit Cover'!A7</f>
        <v>Hononegah Community High School District No. 207</v>
      </c>
      <c r="C1" s="2638"/>
      <c r="D1" s="2638"/>
      <c r="E1" s="2638"/>
      <c r="F1" s="2638"/>
      <c r="G1" s="2638"/>
      <c r="H1" s="2638"/>
      <c r="I1" s="2638"/>
      <c r="J1" s="2638"/>
      <c r="K1" s="2638"/>
      <c r="L1" s="2638"/>
      <c r="M1" s="2638"/>
    </row>
    <row r="2" spans="2:14" ht="15" x14ac:dyDescent="0.2">
      <c r="B2" s="2639" t="str">
        <f>'Single Audit Cover'!E7</f>
        <v>04-101-2070-16</v>
      </c>
      <c r="C2" s="2639"/>
      <c r="D2" s="2639"/>
      <c r="E2" s="2639"/>
      <c r="F2" s="2639"/>
      <c r="G2" s="2639"/>
      <c r="H2" s="2639"/>
      <c r="I2" s="2639"/>
      <c r="J2" s="2639"/>
      <c r="K2" s="2639"/>
      <c r="L2" s="2639"/>
      <c r="M2" s="2639"/>
      <c r="N2" s="1300"/>
    </row>
    <row r="3" spans="2:14" ht="15" x14ac:dyDescent="0.2">
      <c r="B3" s="2640" t="s">
        <v>1281</v>
      </c>
      <c r="C3" s="2640"/>
      <c r="D3" s="2640"/>
      <c r="E3" s="2640"/>
      <c r="F3" s="2640"/>
      <c r="G3" s="2640"/>
      <c r="H3" s="2640"/>
      <c r="I3" s="2640"/>
      <c r="J3" s="2640"/>
      <c r="K3" s="2640"/>
      <c r="L3" s="2640"/>
      <c r="M3" s="2640"/>
      <c r="N3" s="1300"/>
    </row>
    <row r="4" spans="2:14" ht="15" x14ac:dyDescent="0.2">
      <c r="B4" s="2641" t="str">
        <f>'Single Audit Cover'!A4</f>
        <v>Year Ending June 30, 2018</v>
      </c>
      <c r="C4" s="2641"/>
      <c r="D4" s="2641"/>
      <c r="E4" s="2641"/>
      <c r="F4" s="2641"/>
      <c r="G4" s="2641"/>
      <c r="H4" s="2641"/>
      <c r="I4" s="2641"/>
      <c r="J4" s="2641"/>
      <c r="K4" s="2641"/>
      <c r="L4" s="2641"/>
      <c r="M4" s="2641"/>
      <c r="N4" s="1300"/>
    </row>
    <row r="6" spans="2:14" x14ac:dyDescent="0.2">
      <c r="B6" s="1301"/>
      <c r="C6" s="1302"/>
      <c r="D6" s="1303" t="s">
        <v>1327</v>
      </c>
      <c r="E6" s="1304" t="s">
        <v>548</v>
      </c>
      <c r="F6" s="1305"/>
      <c r="G6" s="1306" t="s">
        <v>1834</v>
      </c>
      <c r="H6" s="1304"/>
      <c r="I6" s="1304"/>
      <c r="J6" s="1304"/>
      <c r="K6" s="1307"/>
      <c r="L6" s="1308"/>
      <c r="M6" s="1309"/>
    </row>
    <row r="7" spans="2:14" x14ac:dyDescent="0.2">
      <c r="B7" s="1310" t="s">
        <v>1662</v>
      </c>
      <c r="C7" s="1311"/>
      <c r="D7" s="1312"/>
      <c r="E7" s="1313"/>
      <c r="F7" s="1314"/>
      <c r="G7" s="1313"/>
      <c r="H7" s="1315" t="s">
        <v>1324</v>
      </c>
      <c r="I7" s="1313"/>
      <c r="J7" s="1316" t="s">
        <v>1324</v>
      </c>
      <c r="K7" s="1317"/>
      <c r="L7" s="1318" t="s">
        <v>1322</v>
      </c>
      <c r="M7" s="1319"/>
    </row>
    <row r="8" spans="2:14" x14ac:dyDescent="0.2">
      <c r="B8" s="1683"/>
      <c r="C8" s="1311" t="s">
        <v>1326</v>
      </c>
      <c r="D8" s="1312" t="s">
        <v>1325</v>
      </c>
      <c r="E8" s="1320" t="s">
        <v>1324</v>
      </c>
      <c r="F8" s="1321" t="s">
        <v>1324</v>
      </c>
      <c r="G8" s="1322" t="s">
        <v>1324</v>
      </c>
      <c r="H8" s="1315" t="s">
        <v>1663</v>
      </c>
      <c r="I8" s="1317" t="s">
        <v>1324</v>
      </c>
      <c r="J8" s="1316" t="s">
        <v>1947</v>
      </c>
      <c r="K8" s="1317" t="s">
        <v>1323</v>
      </c>
      <c r="L8" s="1318" t="s">
        <v>1319</v>
      </c>
      <c r="M8" s="1319" t="s">
        <v>30</v>
      </c>
    </row>
    <row r="9" spans="2:14" ht="14.25" x14ac:dyDescent="0.2">
      <c r="B9" s="1323" t="s">
        <v>1321</v>
      </c>
      <c r="C9" s="1311" t="s">
        <v>1835</v>
      </c>
      <c r="D9" s="1312" t="s">
        <v>1836</v>
      </c>
      <c r="E9" s="1320" t="s">
        <v>1663</v>
      </c>
      <c r="F9" s="1321" t="s">
        <v>1947</v>
      </c>
      <c r="G9" s="1322" t="s">
        <v>1663</v>
      </c>
      <c r="H9" s="1315" t="s">
        <v>1664</v>
      </c>
      <c r="I9" s="1317" t="s">
        <v>1947</v>
      </c>
      <c r="J9" s="1316" t="s">
        <v>1664</v>
      </c>
      <c r="K9" s="1317" t="s">
        <v>1320</v>
      </c>
      <c r="L9" s="1324" t="s">
        <v>1665</v>
      </c>
      <c r="M9" s="1319"/>
    </row>
    <row r="10" spans="2:14" ht="11.85" customHeight="1" x14ac:dyDescent="0.2">
      <c r="B10" s="1323" t="s">
        <v>1318</v>
      </c>
      <c r="C10" s="1325" t="s">
        <v>1317</v>
      </c>
      <c r="D10" s="1326" t="s">
        <v>1316</v>
      </c>
      <c r="E10" s="1327" t="s">
        <v>1315</v>
      </c>
      <c r="F10" s="1328" t="s">
        <v>1314</v>
      </c>
      <c r="G10" s="1329" t="s">
        <v>1313</v>
      </c>
      <c r="H10" s="1330" t="s">
        <v>1328</v>
      </c>
      <c r="I10" s="1331" t="s">
        <v>1312</v>
      </c>
      <c r="J10" s="1332" t="s">
        <v>1328</v>
      </c>
      <c r="K10" s="1333" t="s">
        <v>1311</v>
      </c>
      <c r="L10" s="1333" t="s">
        <v>1310</v>
      </c>
      <c r="M10" s="1334" t="s">
        <v>1309</v>
      </c>
    </row>
    <row r="11" spans="2:14" ht="20.100000000000001" customHeight="1" x14ac:dyDescent="0.2">
      <c r="B11" s="1335"/>
      <c r="C11" s="1336"/>
      <c r="D11" s="1337"/>
      <c r="E11" s="1338"/>
      <c r="F11" s="1338"/>
      <c r="G11" s="1338"/>
      <c r="H11" s="1338"/>
      <c r="I11" s="1338"/>
      <c r="J11" s="1338"/>
      <c r="K11" s="1338"/>
      <c r="L11" s="1338">
        <f>+G11+I11+K11</f>
        <v>0</v>
      </c>
      <c r="M11" s="1338"/>
    </row>
    <row r="12" spans="2:14" ht="20.100000000000001" customHeight="1" x14ac:dyDescent="0.2">
      <c r="B12" s="1335"/>
      <c r="C12" s="1339"/>
      <c r="D12" s="1340"/>
      <c r="E12" s="1341"/>
      <c r="F12" s="1341"/>
      <c r="G12" s="1341"/>
      <c r="H12" s="1341"/>
      <c r="I12" s="1341"/>
      <c r="J12" s="1341"/>
      <c r="K12" s="1341"/>
      <c r="L12" s="1338">
        <f t="shared" ref="L12:L27" si="0">+G12+I12+K12</f>
        <v>0</v>
      </c>
      <c r="M12" s="1341"/>
    </row>
    <row r="13" spans="2:14" ht="20.100000000000001" customHeight="1" x14ac:dyDescent="0.2">
      <c r="B13" s="1335" t="s">
        <v>2082</v>
      </c>
      <c r="C13" s="1339"/>
      <c r="D13" s="1340"/>
      <c r="E13" s="1341"/>
      <c r="F13" s="1341"/>
      <c r="G13" s="1341"/>
      <c r="H13" s="1341"/>
      <c r="I13" s="1341"/>
      <c r="J13" s="1341"/>
      <c r="K13" s="1341"/>
      <c r="L13" s="1338">
        <f t="shared" si="0"/>
        <v>0</v>
      </c>
      <c r="M13" s="1341"/>
    </row>
    <row r="14" spans="2:14" ht="20.100000000000001" customHeight="1" x14ac:dyDescent="0.2">
      <c r="B14" s="1335"/>
      <c r="C14" s="1339"/>
      <c r="D14" s="1340"/>
      <c r="E14" s="1341"/>
      <c r="F14" s="1341"/>
      <c r="G14" s="1341"/>
      <c r="H14" s="1341"/>
      <c r="I14" s="1341"/>
      <c r="J14" s="1341"/>
      <c r="K14" s="1341"/>
      <c r="L14" s="1338">
        <f t="shared" si="0"/>
        <v>0</v>
      </c>
      <c r="M14" s="1341"/>
    </row>
    <row r="15" spans="2:14" ht="20.100000000000001" customHeight="1" x14ac:dyDescent="0.2">
      <c r="B15" s="1335" t="s">
        <v>1231</v>
      </c>
      <c r="C15" s="1339"/>
      <c r="D15" s="1340"/>
      <c r="E15" s="1341"/>
      <c r="F15" s="1341"/>
      <c r="G15" s="1341"/>
      <c r="H15" s="1341"/>
      <c r="I15" s="1341"/>
      <c r="J15" s="1341"/>
      <c r="K15" s="1341"/>
      <c r="L15" s="1338">
        <f t="shared" si="0"/>
        <v>0</v>
      </c>
      <c r="M15" s="1341"/>
    </row>
    <row r="16" spans="2:14" ht="20.100000000000001" customHeight="1" x14ac:dyDescent="0.2">
      <c r="B16" s="1335"/>
      <c r="C16" s="1339"/>
      <c r="D16" s="1340"/>
      <c r="E16" s="1341"/>
      <c r="F16" s="1341"/>
      <c r="G16" s="1341"/>
      <c r="H16" s="1341"/>
      <c r="I16" s="1341"/>
      <c r="J16" s="1341"/>
      <c r="K16" s="1341"/>
      <c r="L16" s="1338">
        <f t="shared" si="0"/>
        <v>0</v>
      </c>
      <c r="M16" s="1341"/>
    </row>
    <row r="17" spans="2:14" ht="20.100000000000001" customHeight="1" x14ac:dyDescent="0.2">
      <c r="B17" s="1335"/>
      <c r="C17" s="1339"/>
      <c r="D17" s="1340"/>
      <c r="E17" s="1341"/>
      <c r="F17" s="1341"/>
      <c r="G17" s="1341"/>
      <c r="H17" s="1341"/>
      <c r="I17" s="1341"/>
      <c r="J17" s="1341"/>
      <c r="K17" s="1341"/>
      <c r="L17" s="1338">
        <f t="shared" si="0"/>
        <v>0</v>
      </c>
      <c r="M17" s="1341"/>
    </row>
    <row r="18" spans="2:14" ht="20.100000000000001" customHeight="1" x14ac:dyDescent="0.2">
      <c r="B18" s="1335"/>
      <c r="C18" s="1339"/>
      <c r="D18" s="1340"/>
      <c r="E18" s="1341"/>
      <c r="F18" s="1341"/>
      <c r="G18" s="1341"/>
      <c r="H18" s="1341"/>
      <c r="I18" s="1341"/>
      <c r="J18" s="1341"/>
      <c r="K18" s="1341"/>
      <c r="L18" s="1338">
        <f t="shared" si="0"/>
        <v>0</v>
      </c>
      <c r="M18" s="1341"/>
    </row>
    <row r="19" spans="2:14" ht="20.100000000000001" customHeight="1" x14ac:dyDescent="0.2">
      <c r="B19" s="1335"/>
      <c r="C19" s="1339"/>
      <c r="D19" s="1340"/>
      <c r="E19" s="1341"/>
      <c r="F19" s="1341"/>
      <c r="G19" s="1341"/>
      <c r="H19" s="1341"/>
      <c r="I19" s="1341"/>
      <c r="J19" s="1341"/>
      <c r="K19" s="1341"/>
      <c r="L19" s="1338">
        <f t="shared" si="0"/>
        <v>0</v>
      </c>
      <c r="M19" s="1341"/>
    </row>
    <row r="20" spans="2:14" ht="20.100000000000001" customHeight="1" x14ac:dyDescent="0.2">
      <c r="B20" s="1335"/>
      <c r="C20" s="1339"/>
      <c r="D20" s="1340"/>
      <c r="E20" s="1341"/>
      <c r="F20" s="1341"/>
      <c r="G20" s="1341"/>
      <c r="H20" s="1341"/>
      <c r="I20" s="1341"/>
      <c r="J20" s="1341"/>
      <c r="K20" s="1341"/>
      <c r="L20" s="1338">
        <f t="shared" si="0"/>
        <v>0</v>
      </c>
      <c r="M20" s="1341"/>
    </row>
    <row r="21" spans="2:14" ht="20.100000000000001" customHeight="1" x14ac:dyDescent="0.2">
      <c r="B21" s="1335"/>
      <c r="C21" s="1339"/>
      <c r="D21" s="1340"/>
      <c r="E21" s="1341"/>
      <c r="F21" s="1341"/>
      <c r="G21" s="1341"/>
      <c r="H21" s="1341"/>
      <c r="I21" s="1341"/>
      <c r="J21" s="1341"/>
      <c r="K21" s="1341"/>
      <c r="L21" s="1338">
        <f t="shared" si="0"/>
        <v>0</v>
      </c>
      <c r="M21" s="1341"/>
    </row>
    <row r="22" spans="2:14" ht="20.100000000000001" customHeight="1" x14ac:dyDescent="0.2">
      <c r="B22" s="1335"/>
      <c r="C22" s="1339"/>
      <c r="D22" s="1340"/>
      <c r="E22" s="1341"/>
      <c r="F22" s="1341"/>
      <c r="G22" s="1341"/>
      <c r="H22" s="1341"/>
      <c r="I22" s="1341"/>
      <c r="J22" s="1341"/>
      <c r="K22" s="1341"/>
      <c r="L22" s="1338">
        <f t="shared" si="0"/>
        <v>0</v>
      </c>
      <c r="M22" s="1341"/>
    </row>
    <row r="23" spans="2:14" ht="20.100000000000001" customHeight="1" x14ac:dyDescent="0.2">
      <c r="B23" s="1335"/>
      <c r="C23" s="1339"/>
      <c r="D23" s="1340"/>
      <c r="E23" s="1341"/>
      <c r="F23" s="1341"/>
      <c r="G23" s="1341"/>
      <c r="H23" s="1341"/>
      <c r="I23" s="1341"/>
      <c r="J23" s="1341"/>
      <c r="K23" s="1341"/>
      <c r="L23" s="1338">
        <f t="shared" si="0"/>
        <v>0</v>
      </c>
      <c r="M23" s="1341"/>
    </row>
    <row r="24" spans="2:14" ht="20.100000000000001" customHeight="1" x14ac:dyDescent="0.2">
      <c r="B24" s="1335"/>
      <c r="C24" s="1339"/>
      <c r="D24" s="1340"/>
      <c r="E24" s="1341"/>
      <c r="F24" s="1341"/>
      <c r="G24" s="1341"/>
      <c r="H24" s="1341"/>
      <c r="I24" s="1341"/>
      <c r="J24" s="1341"/>
      <c r="K24" s="1341"/>
      <c r="L24" s="1338">
        <f t="shared" si="0"/>
        <v>0</v>
      </c>
      <c r="M24" s="1341"/>
    </row>
    <row r="25" spans="2:14" ht="20.100000000000001" customHeight="1" x14ac:dyDescent="0.2">
      <c r="B25" s="1335"/>
      <c r="C25" s="1339"/>
      <c r="D25" s="1340"/>
      <c r="E25" s="1341"/>
      <c r="F25" s="1341"/>
      <c r="G25" s="1341"/>
      <c r="H25" s="1341"/>
      <c r="I25" s="1341"/>
      <c r="J25" s="1341"/>
      <c r="K25" s="1341"/>
      <c r="L25" s="1338">
        <f t="shared" si="0"/>
        <v>0</v>
      </c>
      <c r="M25" s="1341"/>
    </row>
    <row r="26" spans="2:14" ht="20.100000000000001" customHeight="1" x14ac:dyDescent="0.2">
      <c r="B26" s="1335"/>
      <c r="C26" s="1339"/>
      <c r="D26" s="1340"/>
      <c r="E26" s="1341"/>
      <c r="F26" s="1341"/>
      <c r="G26" s="1341"/>
      <c r="H26" s="1341"/>
      <c r="I26" s="1341"/>
      <c r="J26" s="1341"/>
      <c r="K26" s="1341"/>
      <c r="L26" s="1338">
        <f t="shared" si="0"/>
        <v>0</v>
      </c>
      <c r="M26" s="1341"/>
    </row>
    <row r="27" spans="2:14" ht="20.100000000000001" customHeight="1" x14ac:dyDescent="0.2">
      <c r="B27" s="1335"/>
      <c r="C27" s="1339"/>
      <c r="D27" s="1340"/>
      <c r="E27" s="1341"/>
      <c r="F27" s="1341"/>
      <c r="G27" s="1341"/>
      <c r="H27" s="1341"/>
      <c r="I27" s="1341"/>
      <c r="J27" s="1341"/>
      <c r="K27" s="1341"/>
      <c r="L27" s="1338">
        <f t="shared" si="0"/>
        <v>0</v>
      </c>
      <c r="M27" s="1341"/>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5"/>
      <c r="C29" s="1347"/>
      <c r="D29" s="1348"/>
      <c r="E29" s="1255"/>
      <c r="F29" s="1255"/>
      <c r="G29" s="1248"/>
      <c r="H29" s="1248"/>
      <c r="I29" s="1248"/>
      <c r="J29" s="1248"/>
      <c r="K29" s="1248"/>
      <c r="L29" s="1248"/>
      <c r="M29" s="1255"/>
      <c r="N29" s="1342"/>
    </row>
    <row r="30" spans="2:14" ht="13.5" customHeight="1" x14ac:dyDescent="0.2">
      <c r="B30" s="1280" t="s">
        <v>1837</v>
      </c>
      <c r="C30" s="1347"/>
      <c r="D30" s="1348"/>
      <c r="E30" s="1255"/>
      <c r="F30" s="1255"/>
      <c r="G30" s="1248"/>
      <c r="H30" s="1248"/>
      <c r="I30" s="1248"/>
      <c r="J30" s="1248"/>
      <c r="K30" s="1248"/>
      <c r="L30" s="1248"/>
      <c r="M30" s="1255"/>
      <c r="N30" s="1342"/>
    </row>
    <row r="31" spans="2:14" ht="8.25" customHeight="1" x14ac:dyDescent="0.2">
      <c r="B31" s="1280"/>
      <c r="C31" s="1347"/>
      <c r="D31" s="1348"/>
      <c r="E31" s="1255"/>
      <c r="F31" s="1255"/>
      <c r="G31" s="1248"/>
      <c r="H31" s="1248"/>
      <c r="I31" s="1248"/>
      <c r="J31" s="1248"/>
      <c r="K31" s="1248"/>
      <c r="L31" s="1248"/>
      <c r="M31" s="1255"/>
      <c r="N31" s="1342"/>
    </row>
    <row r="32" spans="2:14" x14ac:dyDescent="0.2">
      <c r="B32" s="1349" t="s">
        <v>1948</v>
      </c>
      <c r="C32" s="1350"/>
      <c r="D32" s="1351"/>
      <c r="E32" s="1352"/>
      <c r="F32" s="1352"/>
      <c r="G32" s="1352"/>
      <c r="H32" s="1352"/>
      <c r="I32" s="317"/>
      <c r="J32" s="317"/>
    </row>
    <row r="33" spans="2:13" x14ac:dyDescent="0.2">
      <c r="B33" s="1275"/>
      <c r="C33" s="1353"/>
      <c r="D33" s="1354"/>
      <c r="E33" s="1276"/>
      <c r="F33" s="1276"/>
      <c r="G33" s="317"/>
      <c r="H33" s="317"/>
      <c r="I33" s="317"/>
      <c r="J33" s="317"/>
    </row>
    <row r="34" spans="2:13" ht="13.5" customHeight="1" x14ac:dyDescent="0.2">
      <c r="B34" s="1274" t="s">
        <v>1308</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1838</v>
      </c>
      <c r="C37" s="1363"/>
      <c r="D37" s="1363"/>
      <c r="E37" s="1363"/>
      <c r="F37" s="1363"/>
      <c r="G37" s="1363"/>
      <c r="H37" s="1363"/>
      <c r="I37" s="1364"/>
      <c r="J37" s="1364"/>
      <c r="K37" s="1364"/>
      <c r="L37" s="1364"/>
      <c r="M37" s="1364"/>
    </row>
    <row r="38" spans="2:13" ht="11.25" customHeight="1" x14ac:dyDescent="0.2">
      <c r="B38" s="1365" t="s">
        <v>1666</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1839</v>
      </c>
      <c r="C40" s="1364"/>
      <c r="D40" s="1364"/>
      <c r="E40" s="1364"/>
      <c r="F40" s="1364"/>
      <c r="G40" s="1364"/>
      <c r="H40" s="1364"/>
      <c r="I40" s="1364"/>
      <c r="J40" s="1364"/>
      <c r="K40" s="1364"/>
      <c r="L40" s="1364"/>
      <c r="M40" s="1364"/>
    </row>
    <row r="41" spans="2:13" ht="11.25" customHeight="1" x14ac:dyDescent="0.2">
      <c r="B41" s="1298" t="s">
        <v>1667</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1840</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1841</v>
      </c>
      <c r="C45" s="1366"/>
      <c r="D45" s="1367"/>
      <c r="E45" s="1298"/>
      <c r="F45" s="1298"/>
      <c r="G45" s="1298"/>
      <c r="H45" s="1298"/>
      <c r="I45" s="1298"/>
      <c r="J45" s="1298"/>
      <c r="K45" s="1368"/>
      <c r="L45" s="1368"/>
      <c r="M45" s="1298"/>
    </row>
    <row r="46" spans="2:13" ht="11.25" customHeight="1" x14ac:dyDescent="0.2">
      <c r="B46" s="1298" t="s">
        <v>1668</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Z138"/>
  <sheetViews>
    <sheetView showGridLines="0" topLeftCell="A3" zoomScale="80" zoomScaleNormal="80" zoomScaleSheetLayoutView="70" workbookViewId="0">
      <pane xSplit="2" ySplit="8" topLeftCell="C11" activePane="bottomRight" state="frozen"/>
      <selection activeCell="A3" sqref="A3"/>
      <selection pane="topRight" activeCell="C3" sqref="C3"/>
      <selection pane="bottomLeft" activeCell="A11" sqref="A11"/>
      <selection pane="bottomRight" activeCell="C11" sqref="C11"/>
    </sheetView>
  </sheetViews>
  <sheetFormatPr defaultColWidth="37.5703125" defaultRowHeight="12.75" x14ac:dyDescent="0.2"/>
  <cols>
    <col min="1" max="1" width="14.7109375" style="2000" customWidth="1"/>
    <col min="2" max="2" width="42.85546875" style="1984" customWidth="1"/>
    <col min="3" max="3" width="14.140625" style="1984" customWidth="1"/>
    <col min="4" max="4" width="11.5703125" style="1984" bestFit="1" customWidth="1"/>
    <col min="5" max="5" width="2.5703125" style="2033" customWidth="1"/>
    <col min="6" max="6" width="11.5703125" style="1984" bestFit="1" customWidth="1"/>
    <col min="7" max="7" width="2.85546875" style="1984" customWidth="1"/>
    <col min="8" max="8" width="13.140625" style="1984" customWidth="1"/>
    <col min="9" max="9" width="4.28515625" style="2033" customWidth="1"/>
    <col min="10" max="10" width="11.42578125" style="1984" bestFit="1" customWidth="1"/>
    <col min="11" max="11" width="5.42578125" style="1984" customWidth="1"/>
    <col min="12" max="12" width="11.28515625" style="1984" bestFit="1" customWidth="1"/>
    <col min="13" max="13" width="11.85546875" style="1984" customWidth="1"/>
    <col min="14" max="14" width="12.140625" style="1984" bestFit="1" customWidth="1"/>
    <col min="15" max="15" width="4.28515625" style="2033" bestFit="1" customWidth="1"/>
    <col min="16" max="16" width="12.85546875" style="1984" bestFit="1" customWidth="1"/>
    <col min="17" max="17" width="4.140625" style="1984" customWidth="1"/>
    <col min="18" max="18" width="11" style="1984" bestFit="1" customWidth="1"/>
    <col min="19" max="19" width="28" style="1984" customWidth="1"/>
    <col min="20" max="20" width="11.28515625" style="1984" bestFit="1" customWidth="1"/>
    <col min="21" max="23" width="14.85546875" style="1984" bestFit="1" customWidth="1"/>
    <col min="24" max="24" width="15.28515625" style="1984" bestFit="1" customWidth="1"/>
    <col min="25" max="256" width="37.5703125" style="1984"/>
    <col min="257" max="257" width="14.7109375" style="1984" customWidth="1"/>
    <col min="258" max="258" width="42.85546875" style="1984" customWidth="1"/>
    <col min="259" max="259" width="14.140625" style="1984" customWidth="1"/>
    <col min="260" max="260" width="11.5703125" style="1984" bestFit="1" customWidth="1"/>
    <col min="261" max="261" width="2.5703125" style="1984" customWidth="1"/>
    <col min="262" max="262" width="11.5703125" style="1984" bestFit="1" customWidth="1"/>
    <col min="263" max="263" width="2.85546875" style="1984" customWidth="1"/>
    <col min="264" max="264" width="13.140625" style="1984" customWidth="1"/>
    <col min="265" max="265" width="4.28515625" style="1984" customWidth="1"/>
    <col min="266" max="266" width="11.42578125" style="1984" bestFit="1" customWidth="1"/>
    <col min="267" max="267" width="5.42578125" style="1984" customWidth="1"/>
    <col min="268" max="268" width="11.28515625" style="1984" bestFit="1" customWidth="1"/>
    <col min="269" max="269" width="11.85546875" style="1984" customWidth="1"/>
    <col min="270" max="270" width="12.140625" style="1984" bestFit="1" customWidth="1"/>
    <col min="271" max="271" width="4.28515625" style="1984" bestFit="1" customWidth="1"/>
    <col min="272" max="272" width="12.85546875" style="1984" bestFit="1" customWidth="1"/>
    <col min="273" max="273" width="4.140625" style="1984" customWidth="1"/>
    <col min="274" max="274" width="11" style="1984" bestFit="1" customWidth="1"/>
    <col min="275" max="275" width="28" style="1984" customWidth="1"/>
    <col min="276" max="276" width="11.28515625" style="1984" bestFit="1" customWidth="1"/>
    <col min="277" max="279" width="14.85546875" style="1984" bestFit="1" customWidth="1"/>
    <col min="280" max="280" width="15.28515625" style="1984" bestFit="1" customWidth="1"/>
    <col min="281" max="512" width="37.5703125" style="1984"/>
    <col min="513" max="513" width="14.7109375" style="1984" customWidth="1"/>
    <col min="514" max="514" width="42.85546875" style="1984" customWidth="1"/>
    <col min="515" max="515" width="14.140625" style="1984" customWidth="1"/>
    <col min="516" max="516" width="11.5703125" style="1984" bestFit="1" customWidth="1"/>
    <col min="517" max="517" width="2.5703125" style="1984" customWidth="1"/>
    <col min="518" max="518" width="11.5703125" style="1984" bestFit="1" customWidth="1"/>
    <col min="519" max="519" width="2.85546875" style="1984" customWidth="1"/>
    <col min="520" max="520" width="13.140625" style="1984" customWidth="1"/>
    <col min="521" max="521" width="4.28515625" style="1984" customWidth="1"/>
    <col min="522" max="522" width="11.42578125" style="1984" bestFit="1" customWidth="1"/>
    <col min="523" max="523" width="5.42578125" style="1984" customWidth="1"/>
    <col min="524" max="524" width="11.28515625" style="1984" bestFit="1" customWidth="1"/>
    <col min="525" max="525" width="11.85546875" style="1984" customWidth="1"/>
    <col min="526" max="526" width="12.140625" style="1984" bestFit="1" customWidth="1"/>
    <col min="527" max="527" width="4.28515625" style="1984" bestFit="1" customWidth="1"/>
    <col min="528" max="528" width="12.85546875" style="1984" bestFit="1" customWidth="1"/>
    <col min="529" max="529" width="4.140625" style="1984" customWidth="1"/>
    <col min="530" max="530" width="11" style="1984" bestFit="1" customWidth="1"/>
    <col min="531" max="531" width="28" style="1984" customWidth="1"/>
    <col min="532" max="532" width="11.28515625" style="1984" bestFit="1" customWidth="1"/>
    <col min="533" max="535" width="14.85546875" style="1984" bestFit="1" customWidth="1"/>
    <col min="536" max="536" width="15.28515625" style="1984" bestFit="1" customWidth="1"/>
    <col min="537" max="768" width="37.5703125" style="1984"/>
    <col min="769" max="769" width="14.7109375" style="1984" customWidth="1"/>
    <col min="770" max="770" width="42.85546875" style="1984" customWidth="1"/>
    <col min="771" max="771" width="14.140625" style="1984" customWidth="1"/>
    <col min="772" max="772" width="11.5703125" style="1984" bestFit="1" customWidth="1"/>
    <col min="773" max="773" width="2.5703125" style="1984" customWidth="1"/>
    <col min="774" max="774" width="11.5703125" style="1984" bestFit="1" customWidth="1"/>
    <col min="775" max="775" width="2.85546875" style="1984" customWidth="1"/>
    <col min="776" max="776" width="13.140625" style="1984" customWidth="1"/>
    <col min="777" max="777" width="4.28515625" style="1984" customWidth="1"/>
    <col min="778" max="778" width="11.42578125" style="1984" bestFit="1" customWidth="1"/>
    <col min="779" max="779" width="5.42578125" style="1984" customWidth="1"/>
    <col min="780" max="780" width="11.28515625" style="1984" bestFit="1" customWidth="1"/>
    <col min="781" max="781" width="11.85546875" style="1984" customWidth="1"/>
    <col min="782" max="782" width="12.140625" style="1984" bestFit="1" customWidth="1"/>
    <col min="783" max="783" width="4.28515625" style="1984" bestFit="1" customWidth="1"/>
    <col min="784" max="784" width="12.85546875" style="1984" bestFit="1" customWidth="1"/>
    <col min="785" max="785" width="4.140625" style="1984" customWidth="1"/>
    <col min="786" max="786" width="11" style="1984" bestFit="1" customWidth="1"/>
    <col min="787" max="787" width="28" style="1984" customWidth="1"/>
    <col min="788" max="788" width="11.28515625" style="1984" bestFit="1" customWidth="1"/>
    <col min="789" max="791" width="14.85546875" style="1984" bestFit="1" customWidth="1"/>
    <col min="792" max="792" width="15.28515625" style="1984" bestFit="1" customWidth="1"/>
    <col min="793" max="1024" width="37.5703125" style="1984"/>
    <col min="1025" max="1025" width="14.7109375" style="1984" customWidth="1"/>
    <col min="1026" max="1026" width="42.85546875" style="1984" customWidth="1"/>
    <col min="1027" max="1027" width="14.140625" style="1984" customWidth="1"/>
    <col min="1028" max="1028" width="11.5703125" style="1984" bestFit="1" customWidth="1"/>
    <col min="1029" max="1029" width="2.5703125" style="1984" customWidth="1"/>
    <col min="1030" max="1030" width="11.5703125" style="1984" bestFit="1" customWidth="1"/>
    <col min="1031" max="1031" width="2.85546875" style="1984" customWidth="1"/>
    <col min="1032" max="1032" width="13.140625" style="1984" customWidth="1"/>
    <col min="1033" max="1033" width="4.28515625" style="1984" customWidth="1"/>
    <col min="1034" max="1034" width="11.42578125" style="1984" bestFit="1" customWidth="1"/>
    <col min="1035" max="1035" width="5.42578125" style="1984" customWidth="1"/>
    <col min="1036" max="1036" width="11.28515625" style="1984" bestFit="1" customWidth="1"/>
    <col min="1037" max="1037" width="11.85546875" style="1984" customWidth="1"/>
    <col min="1038" max="1038" width="12.140625" style="1984" bestFit="1" customWidth="1"/>
    <col min="1039" max="1039" width="4.28515625" style="1984" bestFit="1" customWidth="1"/>
    <col min="1040" max="1040" width="12.85546875" style="1984" bestFit="1" customWidth="1"/>
    <col min="1041" max="1041" width="4.140625" style="1984" customWidth="1"/>
    <col min="1042" max="1042" width="11" style="1984" bestFit="1" customWidth="1"/>
    <col min="1043" max="1043" width="28" style="1984" customWidth="1"/>
    <col min="1044" max="1044" width="11.28515625" style="1984" bestFit="1" customWidth="1"/>
    <col min="1045" max="1047" width="14.85546875" style="1984" bestFit="1" customWidth="1"/>
    <col min="1048" max="1048" width="15.28515625" style="1984" bestFit="1" customWidth="1"/>
    <col min="1049" max="1280" width="37.5703125" style="1984"/>
    <col min="1281" max="1281" width="14.7109375" style="1984" customWidth="1"/>
    <col min="1282" max="1282" width="42.85546875" style="1984" customWidth="1"/>
    <col min="1283" max="1283" width="14.140625" style="1984" customWidth="1"/>
    <col min="1284" max="1284" width="11.5703125" style="1984" bestFit="1" customWidth="1"/>
    <col min="1285" max="1285" width="2.5703125" style="1984" customWidth="1"/>
    <col min="1286" max="1286" width="11.5703125" style="1984" bestFit="1" customWidth="1"/>
    <col min="1287" max="1287" width="2.85546875" style="1984" customWidth="1"/>
    <col min="1288" max="1288" width="13.140625" style="1984" customWidth="1"/>
    <col min="1289" max="1289" width="4.28515625" style="1984" customWidth="1"/>
    <col min="1290" max="1290" width="11.42578125" style="1984" bestFit="1" customWidth="1"/>
    <col min="1291" max="1291" width="5.42578125" style="1984" customWidth="1"/>
    <col min="1292" max="1292" width="11.28515625" style="1984" bestFit="1" customWidth="1"/>
    <col min="1293" max="1293" width="11.85546875" style="1984" customWidth="1"/>
    <col min="1294" max="1294" width="12.140625" style="1984" bestFit="1" customWidth="1"/>
    <col min="1295" max="1295" width="4.28515625" style="1984" bestFit="1" customWidth="1"/>
    <col min="1296" max="1296" width="12.85546875" style="1984" bestFit="1" customWidth="1"/>
    <col min="1297" max="1297" width="4.140625" style="1984" customWidth="1"/>
    <col min="1298" max="1298" width="11" style="1984" bestFit="1" customWidth="1"/>
    <col min="1299" max="1299" width="28" style="1984" customWidth="1"/>
    <col min="1300" max="1300" width="11.28515625" style="1984" bestFit="1" customWidth="1"/>
    <col min="1301" max="1303" width="14.85546875" style="1984" bestFit="1" customWidth="1"/>
    <col min="1304" max="1304" width="15.28515625" style="1984" bestFit="1" customWidth="1"/>
    <col min="1305" max="1536" width="37.5703125" style="1984"/>
    <col min="1537" max="1537" width="14.7109375" style="1984" customWidth="1"/>
    <col min="1538" max="1538" width="42.85546875" style="1984" customWidth="1"/>
    <col min="1539" max="1539" width="14.140625" style="1984" customWidth="1"/>
    <col min="1540" max="1540" width="11.5703125" style="1984" bestFit="1" customWidth="1"/>
    <col min="1541" max="1541" width="2.5703125" style="1984" customWidth="1"/>
    <col min="1542" max="1542" width="11.5703125" style="1984" bestFit="1" customWidth="1"/>
    <col min="1543" max="1543" width="2.85546875" style="1984" customWidth="1"/>
    <col min="1544" max="1544" width="13.140625" style="1984" customWidth="1"/>
    <col min="1545" max="1545" width="4.28515625" style="1984" customWidth="1"/>
    <col min="1546" max="1546" width="11.42578125" style="1984" bestFit="1" customWidth="1"/>
    <col min="1547" max="1547" width="5.42578125" style="1984" customWidth="1"/>
    <col min="1548" max="1548" width="11.28515625" style="1984" bestFit="1" customWidth="1"/>
    <col min="1549" max="1549" width="11.85546875" style="1984" customWidth="1"/>
    <col min="1550" max="1550" width="12.140625" style="1984" bestFit="1" customWidth="1"/>
    <col min="1551" max="1551" width="4.28515625" style="1984" bestFit="1" customWidth="1"/>
    <col min="1552" max="1552" width="12.85546875" style="1984" bestFit="1" customWidth="1"/>
    <col min="1553" max="1553" width="4.140625" style="1984" customWidth="1"/>
    <col min="1554" max="1554" width="11" style="1984" bestFit="1" customWidth="1"/>
    <col min="1555" max="1555" width="28" style="1984" customWidth="1"/>
    <col min="1556" max="1556" width="11.28515625" style="1984" bestFit="1" customWidth="1"/>
    <col min="1557" max="1559" width="14.85546875" style="1984" bestFit="1" customWidth="1"/>
    <col min="1560" max="1560" width="15.28515625" style="1984" bestFit="1" customWidth="1"/>
    <col min="1561" max="1792" width="37.5703125" style="1984"/>
    <col min="1793" max="1793" width="14.7109375" style="1984" customWidth="1"/>
    <col min="1794" max="1794" width="42.85546875" style="1984" customWidth="1"/>
    <col min="1795" max="1795" width="14.140625" style="1984" customWidth="1"/>
    <col min="1796" max="1796" width="11.5703125" style="1984" bestFit="1" customWidth="1"/>
    <col min="1797" max="1797" width="2.5703125" style="1984" customWidth="1"/>
    <col min="1798" max="1798" width="11.5703125" style="1984" bestFit="1" customWidth="1"/>
    <col min="1799" max="1799" width="2.85546875" style="1984" customWidth="1"/>
    <col min="1800" max="1800" width="13.140625" style="1984" customWidth="1"/>
    <col min="1801" max="1801" width="4.28515625" style="1984" customWidth="1"/>
    <col min="1802" max="1802" width="11.42578125" style="1984" bestFit="1" customWidth="1"/>
    <col min="1803" max="1803" width="5.42578125" style="1984" customWidth="1"/>
    <col min="1804" max="1804" width="11.28515625" style="1984" bestFit="1" customWidth="1"/>
    <col min="1805" max="1805" width="11.85546875" style="1984" customWidth="1"/>
    <col min="1806" max="1806" width="12.140625" style="1984" bestFit="1" customWidth="1"/>
    <col min="1807" max="1807" width="4.28515625" style="1984" bestFit="1" customWidth="1"/>
    <col min="1808" max="1808" width="12.85546875" style="1984" bestFit="1" customWidth="1"/>
    <col min="1809" max="1809" width="4.140625" style="1984" customWidth="1"/>
    <col min="1810" max="1810" width="11" style="1984" bestFit="1" customWidth="1"/>
    <col min="1811" max="1811" width="28" style="1984" customWidth="1"/>
    <col min="1812" max="1812" width="11.28515625" style="1984" bestFit="1" customWidth="1"/>
    <col min="1813" max="1815" width="14.85546875" style="1984" bestFit="1" customWidth="1"/>
    <col min="1816" max="1816" width="15.28515625" style="1984" bestFit="1" customWidth="1"/>
    <col min="1817" max="2048" width="37.5703125" style="1984"/>
    <col min="2049" max="2049" width="14.7109375" style="1984" customWidth="1"/>
    <col min="2050" max="2050" width="42.85546875" style="1984" customWidth="1"/>
    <col min="2051" max="2051" width="14.140625" style="1984" customWidth="1"/>
    <col min="2052" max="2052" width="11.5703125" style="1984" bestFit="1" customWidth="1"/>
    <col min="2053" max="2053" width="2.5703125" style="1984" customWidth="1"/>
    <col min="2054" max="2054" width="11.5703125" style="1984" bestFit="1" customWidth="1"/>
    <col min="2055" max="2055" width="2.85546875" style="1984" customWidth="1"/>
    <col min="2056" max="2056" width="13.140625" style="1984" customWidth="1"/>
    <col min="2057" max="2057" width="4.28515625" style="1984" customWidth="1"/>
    <col min="2058" max="2058" width="11.42578125" style="1984" bestFit="1" customWidth="1"/>
    <col min="2059" max="2059" width="5.42578125" style="1984" customWidth="1"/>
    <col min="2060" max="2060" width="11.28515625" style="1984" bestFit="1" customWidth="1"/>
    <col min="2061" max="2061" width="11.85546875" style="1984" customWidth="1"/>
    <col min="2062" max="2062" width="12.140625" style="1984" bestFit="1" customWidth="1"/>
    <col min="2063" max="2063" width="4.28515625" style="1984" bestFit="1" customWidth="1"/>
    <col min="2064" max="2064" width="12.85546875" style="1984" bestFit="1" customWidth="1"/>
    <col min="2065" max="2065" width="4.140625" style="1984" customWidth="1"/>
    <col min="2066" max="2066" width="11" style="1984" bestFit="1" customWidth="1"/>
    <col min="2067" max="2067" width="28" style="1984" customWidth="1"/>
    <col min="2068" max="2068" width="11.28515625" style="1984" bestFit="1" customWidth="1"/>
    <col min="2069" max="2071" width="14.85546875" style="1984" bestFit="1" customWidth="1"/>
    <col min="2072" max="2072" width="15.28515625" style="1984" bestFit="1" customWidth="1"/>
    <col min="2073" max="2304" width="37.5703125" style="1984"/>
    <col min="2305" max="2305" width="14.7109375" style="1984" customWidth="1"/>
    <col min="2306" max="2306" width="42.85546875" style="1984" customWidth="1"/>
    <col min="2307" max="2307" width="14.140625" style="1984" customWidth="1"/>
    <col min="2308" max="2308" width="11.5703125" style="1984" bestFit="1" customWidth="1"/>
    <col min="2309" max="2309" width="2.5703125" style="1984" customWidth="1"/>
    <col min="2310" max="2310" width="11.5703125" style="1984" bestFit="1" customWidth="1"/>
    <col min="2311" max="2311" width="2.85546875" style="1984" customWidth="1"/>
    <col min="2312" max="2312" width="13.140625" style="1984" customWidth="1"/>
    <col min="2313" max="2313" width="4.28515625" style="1984" customWidth="1"/>
    <col min="2314" max="2314" width="11.42578125" style="1984" bestFit="1" customWidth="1"/>
    <col min="2315" max="2315" width="5.42578125" style="1984" customWidth="1"/>
    <col min="2316" max="2316" width="11.28515625" style="1984" bestFit="1" customWidth="1"/>
    <col min="2317" max="2317" width="11.85546875" style="1984" customWidth="1"/>
    <col min="2318" max="2318" width="12.140625" style="1984" bestFit="1" customWidth="1"/>
    <col min="2319" max="2319" width="4.28515625" style="1984" bestFit="1" customWidth="1"/>
    <col min="2320" max="2320" width="12.85546875" style="1984" bestFit="1" customWidth="1"/>
    <col min="2321" max="2321" width="4.140625" style="1984" customWidth="1"/>
    <col min="2322" max="2322" width="11" style="1984" bestFit="1" customWidth="1"/>
    <col min="2323" max="2323" width="28" style="1984" customWidth="1"/>
    <col min="2324" max="2324" width="11.28515625" style="1984" bestFit="1" customWidth="1"/>
    <col min="2325" max="2327" width="14.85546875" style="1984" bestFit="1" customWidth="1"/>
    <col min="2328" max="2328" width="15.28515625" style="1984" bestFit="1" customWidth="1"/>
    <col min="2329" max="2560" width="37.5703125" style="1984"/>
    <col min="2561" max="2561" width="14.7109375" style="1984" customWidth="1"/>
    <col min="2562" max="2562" width="42.85546875" style="1984" customWidth="1"/>
    <col min="2563" max="2563" width="14.140625" style="1984" customWidth="1"/>
    <col min="2564" max="2564" width="11.5703125" style="1984" bestFit="1" customWidth="1"/>
    <col min="2565" max="2565" width="2.5703125" style="1984" customWidth="1"/>
    <col min="2566" max="2566" width="11.5703125" style="1984" bestFit="1" customWidth="1"/>
    <col min="2567" max="2567" width="2.85546875" style="1984" customWidth="1"/>
    <col min="2568" max="2568" width="13.140625" style="1984" customWidth="1"/>
    <col min="2569" max="2569" width="4.28515625" style="1984" customWidth="1"/>
    <col min="2570" max="2570" width="11.42578125" style="1984" bestFit="1" customWidth="1"/>
    <col min="2571" max="2571" width="5.42578125" style="1984" customWidth="1"/>
    <col min="2572" max="2572" width="11.28515625" style="1984" bestFit="1" customWidth="1"/>
    <col min="2573" max="2573" width="11.85546875" style="1984" customWidth="1"/>
    <col min="2574" max="2574" width="12.140625" style="1984" bestFit="1" customWidth="1"/>
    <col min="2575" max="2575" width="4.28515625" style="1984" bestFit="1" customWidth="1"/>
    <col min="2576" max="2576" width="12.85546875" style="1984" bestFit="1" customWidth="1"/>
    <col min="2577" max="2577" width="4.140625" style="1984" customWidth="1"/>
    <col min="2578" max="2578" width="11" style="1984" bestFit="1" customWidth="1"/>
    <col min="2579" max="2579" width="28" style="1984" customWidth="1"/>
    <col min="2580" max="2580" width="11.28515625" style="1984" bestFit="1" customWidth="1"/>
    <col min="2581" max="2583" width="14.85546875" style="1984" bestFit="1" customWidth="1"/>
    <col min="2584" max="2584" width="15.28515625" style="1984" bestFit="1" customWidth="1"/>
    <col min="2585" max="2816" width="37.5703125" style="1984"/>
    <col min="2817" max="2817" width="14.7109375" style="1984" customWidth="1"/>
    <col min="2818" max="2818" width="42.85546875" style="1984" customWidth="1"/>
    <col min="2819" max="2819" width="14.140625" style="1984" customWidth="1"/>
    <col min="2820" max="2820" width="11.5703125" style="1984" bestFit="1" customWidth="1"/>
    <col min="2821" max="2821" width="2.5703125" style="1984" customWidth="1"/>
    <col min="2822" max="2822" width="11.5703125" style="1984" bestFit="1" customWidth="1"/>
    <col min="2823" max="2823" width="2.85546875" style="1984" customWidth="1"/>
    <col min="2824" max="2824" width="13.140625" style="1984" customWidth="1"/>
    <col min="2825" max="2825" width="4.28515625" style="1984" customWidth="1"/>
    <col min="2826" max="2826" width="11.42578125" style="1984" bestFit="1" customWidth="1"/>
    <col min="2827" max="2827" width="5.42578125" style="1984" customWidth="1"/>
    <col min="2828" max="2828" width="11.28515625" style="1984" bestFit="1" customWidth="1"/>
    <col min="2829" max="2829" width="11.85546875" style="1984" customWidth="1"/>
    <col min="2830" max="2830" width="12.140625" style="1984" bestFit="1" customWidth="1"/>
    <col min="2831" max="2831" width="4.28515625" style="1984" bestFit="1" customWidth="1"/>
    <col min="2832" max="2832" width="12.85546875" style="1984" bestFit="1" customWidth="1"/>
    <col min="2833" max="2833" width="4.140625" style="1984" customWidth="1"/>
    <col min="2834" max="2834" width="11" style="1984" bestFit="1" customWidth="1"/>
    <col min="2835" max="2835" width="28" style="1984" customWidth="1"/>
    <col min="2836" max="2836" width="11.28515625" style="1984" bestFit="1" customWidth="1"/>
    <col min="2837" max="2839" width="14.85546875" style="1984" bestFit="1" customWidth="1"/>
    <col min="2840" max="2840" width="15.28515625" style="1984" bestFit="1" customWidth="1"/>
    <col min="2841" max="3072" width="37.5703125" style="1984"/>
    <col min="3073" max="3073" width="14.7109375" style="1984" customWidth="1"/>
    <col min="3074" max="3074" width="42.85546875" style="1984" customWidth="1"/>
    <col min="3075" max="3075" width="14.140625" style="1984" customWidth="1"/>
    <col min="3076" max="3076" width="11.5703125" style="1984" bestFit="1" customWidth="1"/>
    <col min="3077" max="3077" width="2.5703125" style="1984" customWidth="1"/>
    <col min="3078" max="3078" width="11.5703125" style="1984" bestFit="1" customWidth="1"/>
    <col min="3079" max="3079" width="2.85546875" style="1984" customWidth="1"/>
    <col min="3080" max="3080" width="13.140625" style="1984" customWidth="1"/>
    <col min="3081" max="3081" width="4.28515625" style="1984" customWidth="1"/>
    <col min="3082" max="3082" width="11.42578125" style="1984" bestFit="1" customWidth="1"/>
    <col min="3083" max="3083" width="5.42578125" style="1984" customWidth="1"/>
    <col min="3084" max="3084" width="11.28515625" style="1984" bestFit="1" customWidth="1"/>
    <col min="3085" max="3085" width="11.85546875" style="1984" customWidth="1"/>
    <col min="3086" max="3086" width="12.140625" style="1984" bestFit="1" customWidth="1"/>
    <col min="3087" max="3087" width="4.28515625" style="1984" bestFit="1" customWidth="1"/>
    <col min="3088" max="3088" width="12.85546875" style="1984" bestFit="1" customWidth="1"/>
    <col min="3089" max="3089" width="4.140625" style="1984" customWidth="1"/>
    <col min="3090" max="3090" width="11" style="1984" bestFit="1" customWidth="1"/>
    <col min="3091" max="3091" width="28" style="1984" customWidth="1"/>
    <col min="3092" max="3092" width="11.28515625" style="1984" bestFit="1" customWidth="1"/>
    <col min="3093" max="3095" width="14.85546875" style="1984" bestFit="1" customWidth="1"/>
    <col min="3096" max="3096" width="15.28515625" style="1984" bestFit="1" customWidth="1"/>
    <col min="3097" max="3328" width="37.5703125" style="1984"/>
    <col min="3329" max="3329" width="14.7109375" style="1984" customWidth="1"/>
    <col min="3330" max="3330" width="42.85546875" style="1984" customWidth="1"/>
    <col min="3331" max="3331" width="14.140625" style="1984" customWidth="1"/>
    <col min="3332" max="3332" width="11.5703125" style="1984" bestFit="1" customWidth="1"/>
    <col min="3333" max="3333" width="2.5703125" style="1984" customWidth="1"/>
    <col min="3334" max="3334" width="11.5703125" style="1984" bestFit="1" customWidth="1"/>
    <col min="3335" max="3335" width="2.85546875" style="1984" customWidth="1"/>
    <col min="3336" max="3336" width="13.140625" style="1984" customWidth="1"/>
    <col min="3337" max="3337" width="4.28515625" style="1984" customWidth="1"/>
    <col min="3338" max="3338" width="11.42578125" style="1984" bestFit="1" customWidth="1"/>
    <col min="3339" max="3339" width="5.42578125" style="1984" customWidth="1"/>
    <col min="3340" max="3340" width="11.28515625" style="1984" bestFit="1" customWidth="1"/>
    <col min="3341" max="3341" width="11.85546875" style="1984" customWidth="1"/>
    <col min="3342" max="3342" width="12.140625" style="1984" bestFit="1" customWidth="1"/>
    <col min="3343" max="3343" width="4.28515625" style="1984" bestFit="1" customWidth="1"/>
    <col min="3344" max="3344" width="12.85546875" style="1984" bestFit="1" customWidth="1"/>
    <col min="3345" max="3345" width="4.140625" style="1984" customWidth="1"/>
    <col min="3346" max="3346" width="11" style="1984" bestFit="1" customWidth="1"/>
    <col min="3347" max="3347" width="28" style="1984" customWidth="1"/>
    <col min="3348" max="3348" width="11.28515625" style="1984" bestFit="1" customWidth="1"/>
    <col min="3349" max="3351" width="14.85546875" style="1984" bestFit="1" customWidth="1"/>
    <col min="3352" max="3352" width="15.28515625" style="1984" bestFit="1" customWidth="1"/>
    <col min="3353" max="3584" width="37.5703125" style="1984"/>
    <col min="3585" max="3585" width="14.7109375" style="1984" customWidth="1"/>
    <col min="3586" max="3586" width="42.85546875" style="1984" customWidth="1"/>
    <col min="3587" max="3587" width="14.140625" style="1984" customWidth="1"/>
    <col min="3588" max="3588" width="11.5703125" style="1984" bestFit="1" customWidth="1"/>
    <col min="3589" max="3589" width="2.5703125" style="1984" customWidth="1"/>
    <col min="3590" max="3590" width="11.5703125" style="1984" bestFit="1" customWidth="1"/>
    <col min="3591" max="3591" width="2.85546875" style="1984" customWidth="1"/>
    <col min="3592" max="3592" width="13.140625" style="1984" customWidth="1"/>
    <col min="3593" max="3593" width="4.28515625" style="1984" customWidth="1"/>
    <col min="3594" max="3594" width="11.42578125" style="1984" bestFit="1" customWidth="1"/>
    <col min="3595" max="3595" width="5.42578125" style="1984" customWidth="1"/>
    <col min="3596" max="3596" width="11.28515625" style="1984" bestFit="1" customWidth="1"/>
    <col min="3597" max="3597" width="11.85546875" style="1984" customWidth="1"/>
    <col min="3598" max="3598" width="12.140625" style="1984" bestFit="1" customWidth="1"/>
    <col min="3599" max="3599" width="4.28515625" style="1984" bestFit="1" customWidth="1"/>
    <col min="3600" max="3600" width="12.85546875" style="1984" bestFit="1" customWidth="1"/>
    <col min="3601" max="3601" width="4.140625" style="1984" customWidth="1"/>
    <col min="3602" max="3602" width="11" style="1984" bestFit="1" customWidth="1"/>
    <col min="3603" max="3603" width="28" style="1984" customWidth="1"/>
    <col min="3604" max="3604" width="11.28515625" style="1984" bestFit="1" customWidth="1"/>
    <col min="3605" max="3607" width="14.85546875" style="1984" bestFit="1" customWidth="1"/>
    <col min="3608" max="3608" width="15.28515625" style="1984" bestFit="1" customWidth="1"/>
    <col min="3609" max="3840" width="37.5703125" style="1984"/>
    <col min="3841" max="3841" width="14.7109375" style="1984" customWidth="1"/>
    <col min="3842" max="3842" width="42.85546875" style="1984" customWidth="1"/>
    <col min="3843" max="3843" width="14.140625" style="1984" customWidth="1"/>
    <col min="3844" max="3844" width="11.5703125" style="1984" bestFit="1" customWidth="1"/>
    <col min="3845" max="3845" width="2.5703125" style="1984" customWidth="1"/>
    <col min="3846" max="3846" width="11.5703125" style="1984" bestFit="1" customWidth="1"/>
    <col min="3847" max="3847" width="2.85546875" style="1984" customWidth="1"/>
    <col min="3848" max="3848" width="13.140625" style="1984" customWidth="1"/>
    <col min="3849" max="3849" width="4.28515625" style="1984" customWidth="1"/>
    <col min="3850" max="3850" width="11.42578125" style="1984" bestFit="1" customWidth="1"/>
    <col min="3851" max="3851" width="5.42578125" style="1984" customWidth="1"/>
    <col min="3852" max="3852" width="11.28515625" style="1984" bestFit="1" customWidth="1"/>
    <col min="3853" max="3853" width="11.85546875" style="1984" customWidth="1"/>
    <col min="3854" max="3854" width="12.140625" style="1984" bestFit="1" customWidth="1"/>
    <col min="3855" max="3855" width="4.28515625" style="1984" bestFit="1" customWidth="1"/>
    <col min="3856" max="3856" width="12.85546875" style="1984" bestFit="1" customWidth="1"/>
    <col min="3857" max="3857" width="4.140625" style="1984" customWidth="1"/>
    <col min="3858" max="3858" width="11" style="1984" bestFit="1" customWidth="1"/>
    <col min="3859" max="3859" width="28" style="1984" customWidth="1"/>
    <col min="3860" max="3860" width="11.28515625" style="1984" bestFit="1" customWidth="1"/>
    <col min="3861" max="3863" width="14.85546875" style="1984" bestFit="1" customWidth="1"/>
    <col min="3864" max="3864" width="15.28515625" style="1984" bestFit="1" customWidth="1"/>
    <col min="3865" max="4096" width="37.5703125" style="1984"/>
    <col min="4097" max="4097" width="14.7109375" style="1984" customWidth="1"/>
    <col min="4098" max="4098" width="42.85546875" style="1984" customWidth="1"/>
    <col min="4099" max="4099" width="14.140625" style="1984" customWidth="1"/>
    <col min="4100" max="4100" width="11.5703125" style="1984" bestFit="1" customWidth="1"/>
    <col min="4101" max="4101" width="2.5703125" style="1984" customWidth="1"/>
    <col min="4102" max="4102" width="11.5703125" style="1984" bestFit="1" customWidth="1"/>
    <col min="4103" max="4103" width="2.85546875" style="1984" customWidth="1"/>
    <col min="4104" max="4104" width="13.140625" style="1984" customWidth="1"/>
    <col min="4105" max="4105" width="4.28515625" style="1984" customWidth="1"/>
    <col min="4106" max="4106" width="11.42578125" style="1984" bestFit="1" customWidth="1"/>
    <col min="4107" max="4107" width="5.42578125" style="1984" customWidth="1"/>
    <col min="4108" max="4108" width="11.28515625" style="1984" bestFit="1" customWidth="1"/>
    <col min="4109" max="4109" width="11.85546875" style="1984" customWidth="1"/>
    <col min="4110" max="4110" width="12.140625" style="1984" bestFit="1" customWidth="1"/>
    <col min="4111" max="4111" width="4.28515625" style="1984" bestFit="1" customWidth="1"/>
    <col min="4112" max="4112" width="12.85546875" style="1984" bestFit="1" customWidth="1"/>
    <col min="4113" max="4113" width="4.140625" style="1984" customWidth="1"/>
    <col min="4114" max="4114" width="11" style="1984" bestFit="1" customWidth="1"/>
    <col min="4115" max="4115" width="28" style="1984" customWidth="1"/>
    <col min="4116" max="4116" width="11.28515625" style="1984" bestFit="1" customWidth="1"/>
    <col min="4117" max="4119" width="14.85546875" style="1984" bestFit="1" customWidth="1"/>
    <col min="4120" max="4120" width="15.28515625" style="1984" bestFit="1" customWidth="1"/>
    <col min="4121" max="4352" width="37.5703125" style="1984"/>
    <col min="4353" max="4353" width="14.7109375" style="1984" customWidth="1"/>
    <col min="4354" max="4354" width="42.85546875" style="1984" customWidth="1"/>
    <col min="4355" max="4355" width="14.140625" style="1984" customWidth="1"/>
    <col min="4356" max="4356" width="11.5703125" style="1984" bestFit="1" customWidth="1"/>
    <col min="4357" max="4357" width="2.5703125" style="1984" customWidth="1"/>
    <col min="4358" max="4358" width="11.5703125" style="1984" bestFit="1" customWidth="1"/>
    <col min="4359" max="4359" width="2.85546875" style="1984" customWidth="1"/>
    <col min="4360" max="4360" width="13.140625" style="1984" customWidth="1"/>
    <col min="4361" max="4361" width="4.28515625" style="1984" customWidth="1"/>
    <col min="4362" max="4362" width="11.42578125" style="1984" bestFit="1" customWidth="1"/>
    <col min="4363" max="4363" width="5.42578125" style="1984" customWidth="1"/>
    <col min="4364" max="4364" width="11.28515625" style="1984" bestFit="1" customWidth="1"/>
    <col min="4365" max="4365" width="11.85546875" style="1984" customWidth="1"/>
    <col min="4366" max="4366" width="12.140625" style="1984" bestFit="1" customWidth="1"/>
    <col min="4367" max="4367" width="4.28515625" style="1984" bestFit="1" customWidth="1"/>
    <col min="4368" max="4368" width="12.85546875" style="1984" bestFit="1" customWidth="1"/>
    <col min="4369" max="4369" width="4.140625" style="1984" customWidth="1"/>
    <col min="4370" max="4370" width="11" style="1984" bestFit="1" customWidth="1"/>
    <col min="4371" max="4371" width="28" style="1984" customWidth="1"/>
    <col min="4372" max="4372" width="11.28515625" style="1984" bestFit="1" customWidth="1"/>
    <col min="4373" max="4375" width="14.85546875" style="1984" bestFit="1" customWidth="1"/>
    <col min="4376" max="4376" width="15.28515625" style="1984" bestFit="1" customWidth="1"/>
    <col min="4377" max="4608" width="37.5703125" style="1984"/>
    <col min="4609" max="4609" width="14.7109375" style="1984" customWidth="1"/>
    <col min="4610" max="4610" width="42.85546875" style="1984" customWidth="1"/>
    <col min="4611" max="4611" width="14.140625" style="1984" customWidth="1"/>
    <col min="4612" max="4612" width="11.5703125" style="1984" bestFit="1" customWidth="1"/>
    <col min="4613" max="4613" width="2.5703125" style="1984" customWidth="1"/>
    <col min="4614" max="4614" width="11.5703125" style="1984" bestFit="1" customWidth="1"/>
    <col min="4615" max="4615" width="2.85546875" style="1984" customWidth="1"/>
    <col min="4616" max="4616" width="13.140625" style="1984" customWidth="1"/>
    <col min="4617" max="4617" width="4.28515625" style="1984" customWidth="1"/>
    <col min="4618" max="4618" width="11.42578125" style="1984" bestFit="1" customWidth="1"/>
    <col min="4619" max="4619" width="5.42578125" style="1984" customWidth="1"/>
    <col min="4620" max="4620" width="11.28515625" style="1984" bestFit="1" customWidth="1"/>
    <col min="4621" max="4621" width="11.85546875" style="1984" customWidth="1"/>
    <col min="4622" max="4622" width="12.140625" style="1984" bestFit="1" customWidth="1"/>
    <col min="4623" max="4623" width="4.28515625" style="1984" bestFit="1" customWidth="1"/>
    <col min="4624" max="4624" width="12.85546875" style="1984" bestFit="1" customWidth="1"/>
    <col min="4625" max="4625" width="4.140625" style="1984" customWidth="1"/>
    <col min="4626" max="4626" width="11" style="1984" bestFit="1" customWidth="1"/>
    <col min="4627" max="4627" width="28" style="1984" customWidth="1"/>
    <col min="4628" max="4628" width="11.28515625" style="1984" bestFit="1" customWidth="1"/>
    <col min="4629" max="4631" width="14.85546875" style="1984" bestFit="1" customWidth="1"/>
    <col min="4632" max="4632" width="15.28515625" style="1984" bestFit="1" customWidth="1"/>
    <col min="4633" max="4864" width="37.5703125" style="1984"/>
    <col min="4865" max="4865" width="14.7109375" style="1984" customWidth="1"/>
    <col min="4866" max="4866" width="42.85546875" style="1984" customWidth="1"/>
    <col min="4867" max="4867" width="14.140625" style="1984" customWidth="1"/>
    <col min="4868" max="4868" width="11.5703125" style="1984" bestFit="1" customWidth="1"/>
    <col min="4869" max="4869" width="2.5703125" style="1984" customWidth="1"/>
    <col min="4870" max="4870" width="11.5703125" style="1984" bestFit="1" customWidth="1"/>
    <col min="4871" max="4871" width="2.85546875" style="1984" customWidth="1"/>
    <col min="4872" max="4872" width="13.140625" style="1984" customWidth="1"/>
    <col min="4873" max="4873" width="4.28515625" style="1984" customWidth="1"/>
    <col min="4874" max="4874" width="11.42578125" style="1984" bestFit="1" customWidth="1"/>
    <col min="4875" max="4875" width="5.42578125" style="1984" customWidth="1"/>
    <col min="4876" max="4876" width="11.28515625" style="1984" bestFit="1" customWidth="1"/>
    <col min="4877" max="4877" width="11.85546875" style="1984" customWidth="1"/>
    <col min="4878" max="4878" width="12.140625" style="1984" bestFit="1" customWidth="1"/>
    <col min="4879" max="4879" width="4.28515625" style="1984" bestFit="1" customWidth="1"/>
    <col min="4880" max="4880" width="12.85546875" style="1984" bestFit="1" customWidth="1"/>
    <col min="4881" max="4881" width="4.140625" style="1984" customWidth="1"/>
    <col min="4882" max="4882" width="11" style="1984" bestFit="1" customWidth="1"/>
    <col min="4883" max="4883" width="28" style="1984" customWidth="1"/>
    <col min="4884" max="4884" width="11.28515625" style="1984" bestFit="1" customWidth="1"/>
    <col min="4885" max="4887" width="14.85546875" style="1984" bestFit="1" customWidth="1"/>
    <col min="4888" max="4888" width="15.28515625" style="1984" bestFit="1" customWidth="1"/>
    <col min="4889" max="5120" width="37.5703125" style="1984"/>
    <col min="5121" max="5121" width="14.7109375" style="1984" customWidth="1"/>
    <col min="5122" max="5122" width="42.85546875" style="1984" customWidth="1"/>
    <col min="5123" max="5123" width="14.140625" style="1984" customWidth="1"/>
    <col min="5124" max="5124" width="11.5703125" style="1984" bestFit="1" customWidth="1"/>
    <col min="5125" max="5125" width="2.5703125" style="1984" customWidth="1"/>
    <col min="5126" max="5126" width="11.5703125" style="1984" bestFit="1" customWidth="1"/>
    <col min="5127" max="5127" width="2.85546875" style="1984" customWidth="1"/>
    <col min="5128" max="5128" width="13.140625" style="1984" customWidth="1"/>
    <col min="5129" max="5129" width="4.28515625" style="1984" customWidth="1"/>
    <col min="5130" max="5130" width="11.42578125" style="1984" bestFit="1" customWidth="1"/>
    <col min="5131" max="5131" width="5.42578125" style="1984" customWidth="1"/>
    <col min="5132" max="5132" width="11.28515625" style="1984" bestFit="1" customWidth="1"/>
    <col min="5133" max="5133" width="11.85546875" style="1984" customWidth="1"/>
    <col min="5134" max="5134" width="12.140625" style="1984" bestFit="1" customWidth="1"/>
    <col min="5135" max="5135" width="4.28515625" style="1984" bestFit="1" customWidth="1"/>
    <col min="5136" max="5136" width="12.85546875" style="1984" bestFit="1" customWidth="1"/>
    <col min="5137" max="5137" width="4.140625" style="1984" customWidth="1"/>
    <col min="5138" max="5138" width="11" style="1984" bestFit="1" customWidth="1"/>
    <col min="5139" max="5139" width="28" style="1984" customWidth="1"/>
    <col min="5140" max="5140" width="11.28515625" style="1984" bestFit="1" customWidth="1"/>
    <col min="5141" max="5143" width="14.85546875" style="1984" bestFit="1" customWidth="1"/>
    <col min="5144" max="5144" width="15.28515625" style="1984" bestFit="1" customWidth="1"/>
    <col min="5145" max="5376" width="37.5703125" style="1984"/>
    <col min="5377" max="5377" width="14.7109375" style="1984" customWidth="1"/>
    <col min="5378" max="5378" width="42.85546875" style="1984" customWidth="1"/>
    <col min="5379" max="5379" width="14.140625" style="1984" customWidth="1"/>
    <col min="5380" max="5380" width="11.5703125" style="1984" bestFit="1" customWidth="1"/>
    <col min="5381" max="5381" width="2.5703125" style="1984" customWidth="1"/>
    <col min="5382" max="5382" width="11.5703125" style="1984" bestFit="1" customWidth="1"/>
    <col min="5383" max="5383" width="2.85546875" style="1984" customWidth="1"/>
    <col min="5384" max="5384" width="13.140625" style="1984" customWidth="1"/>
    <col min="5385" max="5385" width="4.28515625" style="1984" customWidth="1"/>
    <col min="5386" max="5386" width="11.42578125" style="1984" bestFit="1" customWidth="1"/>
    <col min="5387" max="5387" width="5.42578125" style="1984" customWidth="1"/>
    <col min="5388" max="5388" width="11.28515625" style="1984" bestFit="1" customWidth="1"/>
    <col min="5389" max="5389" width="11.85546875" style="1984" customWidth="1"/>
    <col min="5390" max="5390" width="12.140625" style="1984" bestFit="1" customWidth="1"/>
    <col min="5391" max="5391" width="4.28515625" style="1984" bestFit="1" customWidth="1"/>
    <col min="5392" max="5392" width="12.85546875" style="1984" bestFit="1" customWidth="1"/>
    <col min="5393" max="5393" width="4.140625" style="1984" customWidth="1"/>
    <col min="5394" max="5394" width="11" style="1984" bestFit="1" customWidth="1"/>
    <col min="5395" max="5395" width="28" style="1984" customWidth="1"/>
    <col min="5396" max="5396" width="11.28515625" style="1984" bestFit="1" customWidth="1"/>
    <col min="5397" max="5399" width="14.85546875" style="1984" bestFit="1" customWidth="1"/>
    <col min="5400" max="5400" width="15.28515625" style="1984" bestFit="1" customWidth="1"/>
    <col min="5401" max="5632" width="37.5703125" style="1984"/>
    <col min="5633" max="5633" width="14.7109375" style="1984" customWidth="1"/>
    <col min="5634" max="5634" width="42.85546875" style="1984" customWidth="1"/>
    <col min="5635" max="5635" width="14.140625" style="1984" customWidth="1"/>
    <col min="5636" max="5636" width="11.5703125" style="1984" bestFit="1" customWidth="1"/>
    <col min="5637" max="5637" width="2.5703125" style="1984" customWidth="1"/>
    <col min="5638" max="5638" width="11.5703125" style="1984" bestFit="1" customWidth="1"/>
    <col min="5639" max="5639" width="2.85546875" style="1984" customWidth="1"/>
    <col min="5640" max="5640" width="13.140625" style="1984" customWidth="1"/>
    <col min="5641" max="5641" width="4.28515625" style="1984" customWidth="1"/>
    <col min="5642" max="5642" width="11.42578125" style="1984" bestFit="1" customWidth="1"/>
    <col min="5643" max="5643" width="5.42578125" style="1984" customWidth="1"/>
    <col min="5644" max="5644" width="11.28515625" style="1984" bestFit="1" customWidth="1"/>
    <col min="5645" max="5645" width="11.85546875" style="1984" customWidth="1"/>
    <col min="5646" max="5646" width="12.140625" style="1984" bestFit="1" customWidth="1"/>
    <col min="5647" max="5647" width="4.28515625" style="1984" bestFit="1" customWidth="1"/>
    <col min="5648" max="5648" width="12.85546875" style="1984" bestFit="1" customWidth="1"/>
    <col min="5649" max="5649" width="4.140625" style="1984" customWidth="1"/>
    <col min="5650" max="5650" width="11" style="1984" bestFit="1" customWidth="1"/>
    <col min="5651" max="5651" width="28" style="1984" customWidth="1"/>
    <col min="5652" max="5652" width="11.28515625" style="1984" bestFit="1" customWidth="1"/>
    <col min="5653" max="5655" width="14.85546875" style="1984" bestFit="1" customWidth="1"/>
    <col min="5656" max="5656" width="15.28515625" style="1984" bestFit="1" customWidth="1"/>
    <col min="5657" max="5888" width="37.5703125" style="1984"/>
    <col min="5889" max="5889" width="14.7109375" style="1984" customWidth="1"/>
    <col min="5890" max="5890" width="42.85546875" style="1984" customWidth="1"/>
    <col min="5891" max="5891" width="14.140625" style="1984" customWidth="1"/>
    <col min="5892" max="5892" width="11.5703125" style="1984" bestFit="1" customWidth="1"/>
    <col min="5893" max="5893" width="2.5703125" style="1984" customWidth="1"/>
    <col min="5894" max="5894" width="11.5703125" style="1984" bestFit="1" customWidth="1"/>
    <col min="5895" max="5895" width="2.85546875" style="1984" customWidth="1"/>
    <col min="5896" max="5896" width="13.140625" style="1984" customWidth="1"/>
    <col min="5897" max="5897" width="4.28515625" style="1984" customWidth="1"/>
    <col min="5898" max="5898" width="11.42578125" style="1984" bestFit="1" customWidth="1"/>
    <col min="5899" max="5899" width="5.42578125" style="1984" customWidth="1"/>
    <col min="5900" max="5900" width="11.28515625" style="1984" bestFit="1" customWidth="1"/>
    <col min="5901" max="5901" width="11.85546875" style="1984" customWidth="1"/>
    <col min="5902" max="5902" width="12.140625" style="1984" bestFit="1" customWidth="1"/>
    <col min="5903" max="5903" width="4.28515625" style="1984" bestFit="1" customWidth="1"/>
    <col min="5904" max="5904" width="12.85546875" style="1984" bestFit="1" customWidth="1"/>
    <col min="5905" max="5905" width="4.140625" style="1984" customWidth="1"/>
    <col min="5906" max="5906" width="11" style="1984" bestFit="1" customWidth="1"/>
    <col min="5907" max="5907" width="28" style="1984" customWidth="1"/>
    <col min="5908" max="5908" width="11.28515625" style="1984" bestFit="1" customWidth="1"/>
    <col min="5909" max="5911" width="14.85546875" style="1984" bestFit="1" customWidth="1"/>
    <col min="5912" max="5912" width="15.28515625" style="1984" bestFit="1" customWidth="1"/>
    <col min="5913" max="6144" width="37.5703125" style="1984"/>
    <col min="6145" max="6145" width="14.7109375" style="1984" customWidth="1"/>
    <col min="6146" max="6146" width="42.85546875" style="1984" customWidth="1"/>
    <col min="6147" max="6147" width="14.140625" style="1984" customWidth="1"/>
    <col min="6148" max="6148" width="11.5703125" style="1984" bestFit="1" customWidth="1"/>
    <col min="6149" max="6149" width="2.5703125" style="1984" customWidth="1"/>
    <col min="6150" max="6150" width="11.5703125" style="1984" bestFit="1" customWidth="1"/>
    <col min="6151" max="6151" width="2.85546875" style="1984" customWidth="1"/>
    <col min="6152" max="6152" width="13.140625" style="1984" customWidth="1"/>
    <col min="6153" max="6153" width="4.28515625" style="1984" customWidth="1"/>
    <col min="6154" max="6154" width="11.42578125" style="1984" bestFit="1" customWidth="1"/>
    <col min="6155" max="6155" width="5.42578125" style="1984" customWidth="1"/>
    <col min="6156" max="6156" width="11.28515625" style="1984" bestFit="1" customWidth="1"/>
    <col min="6157" max="6157" width="11.85546875" style="1984" customWidth="1"/>
    <col min="6158" max="6158" width="12.140625" style="1984" bestFit="1" customWidth="1"/>
    <col min="6159" max="6159" width="4.28515625" style="1984" bestFit="1" customWidth="1"/>
    <col min="6160" max="6160" width="12.85546875" style="1984" bestFit="1" customWidth="1"/>
    <col min="6161" max="6161" width="4.140625" style="1984" customWidth="1"/>
    <col min="6162" max="6162" width="11" style="1984" bestFit="1" customWidth="1"/>
    <col min="6163" max="6163" width="28" style="1984" customWidth="1"/>
    <col min="6164" max="6164" width="11.28515625" style="1984" bestFit="1" customWidth="1"/>
    <col min="6165" max="6167" width="14.85546875" style="1984" bestFit="1" customWidth="1"/>
    <col min="6168" max="6168" width="15.28515625" style="1984" bestFit="1" customWidth="1"/>
    <col min="6169" max="6400" width="37.5703125" style="1984"/>
    <col min="6401" max="6401" width="14.7109375" style="1984" customWidth="1"/>
    <col min="6402" max="6402" width="42.85546875" style="1984" customWidth="1"/>
    <col min="6403" max="6403" width="14.140625" style="1984" customWidth="1"/>
    <col min="6404" max="6404" width="11.5703125" style="1984" bestFit="1" customWidth="1"/>
    <col min="6405" max="6405" width="2.5703125" style="1984" customWidth="1"/>
    <col min="6406" max="6406" width="11.5703125" style="1984" bestFit="1" customWidth="1"/>
    <col min="6407" max="6407" width="2.85546875" style="1984" customWidth="1"/>
    <col min="6408" max="6408" width="13.140625" style="1984" customWidth="1"/>
    <col min="6409" max="6409" width="4.28515625" style="1984" customWidth="1"/>
    <col min="6410" max="6410" width="11.42578125" style="1984" bestFit="1" customWidth="1"/>
    <col min="6411" max="6411" width="5.42578125" style="1984" customWidth="1"/>
    <col min="6412" max="6412" width="11.28515625" style="1984" bestFit="1" customWidth="1"/>
    <col min="6413" max="6413" width="11.85546875" style="1984" customWidth="1"/>
    <col min="6414" max="6414" width="12.140625" style="1984" bestFit="1" customWidth="1"/>
    <col min="6415" max="6415" width="4.28515625" style="1984" bestFit="1" customWidth="1"/>
    <col min="6416" max="6416" width="12.85546875" style="1984" bestFit="1" customWidth="1"/>
    <col min="6417" max="6417" width="4.140625" style="1984" customWidth="1"/>
    <col min="6418" max="6418" width="11" style="1984" bestFit="1" customWidth="1"/>
    <col min="6419" max="6419" width="28" style="1984" customWidth="1"/>
    <col min="6420" max="6420" width="11.28515625" style="1984" bestFit="1" customWidth="1"/>
    <col min="6421" max="6423" width="14.85546875" style="1984" bestFit="1" customWidth="1"/>
    <col min="6424" max="6424" width="15.28515625" style="1984" bestFit="1" customWidth="1"/>
    <col min="6425" max="6656" width="37.5703125" style="1984"/>
    <col min="6657" max="6657" width="14.7109375" style="1984" customWidth="1"/>
    <col min="6658" max="6658" width="42.85546875" style="1984" customWidth="1"/>
    <col min="6659" max="6659" width="14.140625" style="1984" customWidth="1"/>
    <col min="6660" max="6660" width="11.5703125" style="1984" bestFit="1" customWidth="1"/>
    <col min="6661" max="6661" width="2.5703125" style="1984" customWidth="1"/>
    <col min="6662" max="6662" width="11.5703125" style="1984" bestFit="1" customWidth="1"/>
    <col min="6663" max="6663" width="2.85546875" style="1984" customWidth="1"/>
    <col min="6664" max="6664" width="13.140625" style="1984" customWidth="1"/>
    <col min="6665" max="6665" width="4.28515625" style="1984" customWidth="1"/>
    <col min="6666" max="6666" width="11.42578125" style="1984" bestFit="1" customWidth="1"/>
    <col min="6667" max="6667" width="5.42578125" style="1984" customWidth="1"/>
    <col min="6668" max="6668" width="11.28515625" style="1984" bestFit="1" customWidth="1"/>
    <col min="6669" max="6669" width="11.85546875" style="1984" customWidth="1"/>
    <col min="6670" max="6670" width="12.140625" style="1984" bestFit="1" customWidth="1"/>
    <col min="6671" max="6671" width="4.28515625" style="1984" bestFit="1" customWidth="1"/>
    <col min="6672" max="6672" width="12.85546875" style="1984" bestFit="1" customWidth="1"/>
    <col min="6673" max="6673" width="4.140625" style="1984" customWidth="1"/>
    <col min="6674" max="6674" width="11" style="1984" bestFit="1" customWidth="1"/>
    <col min="6675" max="6675" width="28" style="1984" customWidth="1"/>
    <col min="6676" max="6676" width="11.28515625" style="1984" bestFit="1" customWidth="1"/>
    <col min="6677" max="6679" width="14.85546875" style="1984" bestFit="1" customWidth="1"/>
    <col min="6680" max="6680" width="15.28515625" style="1984" bestFit="1" customWidth="1"/>
    <col min="6681" max="6912" width="37.5703125" style="1984"/>
    <col min="6913" max="6913" width="14.7109375" style="1984" customWidth="1"/>
    <col min="6914" max="6914" width="42.85546875" style="1984" customWidth="1"/>
    <col min="6915" max="6915" width="14.140625" style="1984" customWidth="1"/>
    <col min="6916" max="6916" width="11.5703125" style="1984" bestFit="1" customWidth="1"/>
    <col min="6917" max="6917" width="2.5703125" style="1984" customWidth="1"/>
    <col min="6918" max="6918" width="11.5703125" style="1984" bestFit="1" customWidth="1"/>
    <col min="6919" max="6919" width="2.85546875" style="1984" customWidth="1"/>
    <col min="6920" max="6920" width="13.140625" style="1984" customWidth="1"/>
    <col min="6921" max="6921" width="4.28515625" style="1984" customWidth="1"/>
    <col min="6922" max="6922" width="11.42578125" style="1984" bestFit="1" customWidth="1"/>
    <col min="6923" max="6923" width="5.42578125" style="1984" customWidth="1"/>
    <col min="6924" max="6924" width="11.28515625" style="1984" bestFit="1" customWidth="1"/>
    <col min="6925" max="6925" width="11.85546875" style="1984" customWidth="1"/>
    <col min="6926" max="6926" width="12.140625" style="1984" bestFit="1" customWidth="1"/>
    <col min="6927" max="6927" width="4.28515625" style="1984" bestFit="1" customWidth="1"/>
    <col min="6928" max="6928" width="12.85546875" style="1984" bestFit="1" customWidth="1"/>
    <col min="6929" max="6929" width="4.140625" style="1984" customWidth="1"/>
    <col min="6930" max="6930" width="11" style="1984" bestFit="1" customWidth="1"/>
    <col min="6931" max="6931" width="28" style="1984" customWidth="1"/>
    <col min="6932" max="6932" width="11.28515625" style="1984" bestFit="1" customWidth="1"/>
    <col min="6933" max="6935" width="14.85546875" style="1984" bestFit="1" customWidth="1"/>
    <col min="6936" max="6936" width="15.28515625" style="1984" bestFit="1" customWidth="1"/>
    <col min="6937" max="7168" width="37.5703125" style="1984"/>
    <col min="7169" max="7169" width="14.7109375" style="1984" customWidth="1"/>
    <col min="7170" max="7170" width="42.85546875" style="1984" customWidth="1"/>
    <col min="7171" max="7171" width="14.140625" style="1984" customWidth="1"/>
    <col min="7172" max="7172" width="11.5703125" style="1984" bestFit="1" customWidth="1"/>
    <col min="7173" max="7173" width="2.5703125" style="1984" customWidth="1"/>
    <col min="7174" max="7174" width="11.5703125" style="1984" bestFit="1" customWidth="1"/>
    <col min="7175" max="7175" width="2.85546875" style="1984" customWidth="1"/>
    <col min="7176" max="7176" width="13.140625" style="1984" customWidth="1"/>
    <col min="7177" max="7177" width="4.28515625" style="1984" customWidth="1"/>
    <col min="7178" max="7178" width="11.42578125" style="1984" bestFit="1" customWidth="1"/>
    <col min="7179" max="7179" width="5.42578125" style="1984" customWidth="1"/>
    <col min="7180" max="7180" width="11.28515625" style="1984" bestFit="1" customWidth="1"/>
    <col min="7181" max="7181" width="11.85546875" style="1984" customWidth="1"/>
    <col min="7182" max="7182" width="12.140625" style="1984" bestFit="1" customWidth="1"/>
    <col min="7183" max="7183" width="4.28515625" style="1984" bestFit="1" customWidth="1"/>
    <col min="7184" max="7184" width="12.85546875" style="1984" bestFit="1" customWidth="1"/>
    <col min="7185" max="7185" width="4.140625" style="1984" customWidth="1"/>
    <col min="7186" max="7186" width="11" style="1984" bestFit="1" customWidth="1"/>
    <col min="7187" max="7187" width="28" style="1984" customWidth="1"/>
    <col min="7188" max="7188" width="11.28515625" style="1984" bestFit="1" customWidth="1"/>
    <col min="7189" max="7191" width="14.85546875" style="1984" bestFit="1" customWidth="1"/>
    <col min="7192" max="7192" width="15.28515625" style="1984" bestFit="1" customWidth="1"/>
    <col min="7193" max="7424" width="37.5703125" style="1984"/>
    <col min="7425" max="7425" width="14.7109375" style="1984" customWidth="1"/>
    <col min="7426" max="7426" width="42.85546875" style="1984" customWidth="1"/>
    <col min="7427" max="7427" width="14.140625" style="1984" customWidth="1"/>
    <col min="7428" max="7428" width="11.5703125" style="1984" bestFit="1" customWidth="1"/>
    <col min="7429" max="7429" width="2.5703125" style="1984" customWidth="1"/>
    <col min="7430" max="7430" width="11.5703125" style="1984" bestFit="1" customWidth="1"/>
    <col min="7431" max="7431" width="2.85546875" style="1984" customWidth="1"/>
    <col min="7432" max="7432" width="13.140625" style="1984" customWidth="1"/>
    <col min="7433" max="7433" width="4.28515625" style="1984" customWidth="1"/>
    <col min="7434" max="7434" width="11.42578125" style="1984" bestFit="1" customWidth="1"/>
    <col min="7435" max="7435" width="5.42578125" style="1984" customWidth="1"/>
    <col min="7436" max="7436" width="11.28515625" style="1984" bestFit="1" customWidth="1"/>
    <col min="7437" max="7437" width="11.85546875" style="1984" customWidth="1"/>
    <col min="7438" max="7438" width="12.140625" style="1984" bestFit="1" customWidth="1"/>
    <col min="7439" max="7439" width="4.28515625" style="1984" bestFit="1" customWidth="1"/>
    <col min="7440" max="7440" width="12.85546875" style="1984" bestFit="1" customWidth="1"/>
    <col min="7441" max="7441" width="4.140625" style="1984" customWidth="1"/>
    <col min="7442" max="7442" width="11" style="1984" bestFit="1" customWidth="1"/>
    <col min="7443" max="7443" width="28" style="1984" customWidth="1"/>
    <col min="7444" max="7444" width="11.28515625" style="1984" bestFit="1" customWidth="1"/>
    <col min="7445" max="7447" width="14.85546875" style="1984" bestFit="1" customWidth="1"/>
    <col min="7448" max="7448" width="15.28515625" style="1984" bestFit="1" customWidth="1"/>
    <col min="7449" max="7680" width="37.5703125" style="1984"/>
    <col min="7681" max="7681" width="14.7109375" style="1984" customWidth="1"/>
    <col min="7682" max="7682" width="42.85546875" style="1984" customWidth="1"/>
    <col min="7683" max="7683" width="14.140625" style="1984" customWidth="1"/>
    <col min="7684" max="7684" width="11.5703125" style="1984" bestFit="1" customWidth="1"/>
    <col min="7685" max="7685" width="2.5703125" style="1984" customWidth="1"/>
    <col min="7686" max="7686" width="11.5703125" style="1984" bestFit="1" customWidth="1"/>
    <col min="7687" max="7687" width="2.85546875" style="1984" customWidth="1"/>
    <col min="7688" max="7688" width="13.140625" style="1984" customWidth="1"/>
    <col min="7689" max="7689" width="4.28515625" style="1984" customWidth="1"/>
    <col min="7690" max="7690" width="11.42578125" style="1984" bestFit="1" customWidth="1"/>
    <col min="7691" max="7691" width="5.42578125" style="1984" customWidth="1"/>
    <col min="7692" max="7692" width="11.28515625" style="1984" bestFit="1" customWidth="1"/>
    <col min="7693" max="7693" width="11.85546875" style="1984" customWidth="1"/>
    <col min="7694" max="7694" width="12.140625" style="1984" bestFit="1" customWidth="1"/>
    <col min="7695" max="7695" width="4.28515625" style="1984" bestFit="1" customWidth="1"/>
    <col min="7696" max="7696" width="12.85546875" style="1984" bestFit="1" customWidth="1"/>
    <col min="7697" max="7697" width="4.140625" style="1984" customWidth="1"/>
    <col min="7698" max="7698" width="11" style="1984" bestFit="1" customWidth="1"/>
    <col min="7699" max="7699" width="28" style="1984" customWidth="1"/>
    <col min="7700" max="7700" width="11.28515625" style="1984" bestFit="1" customWidth="1"/>
    <col min="7701" max="7703" width="14.85546875" style="1984" bestFit="1" customWidth="1"/>
    <col min="7704" max="7704" width="15.28515625" style="1984" bestFit="1" customWidth="1"/>
    <col min="7705" max="7936" width="37.5703125" style="1984"/>
    <col min="7937" max="7937" width="14.7109375" style="1984" customWidth="1"/>
    <col min="7938" max="7938" width="42.85546875" style="1984" customWidth="1"/>
    <col min="7939" max="7939" width="14.140625" style="1984" customWidth="1"/>
    <col min="7940" max="7940" width="11.5703125" style="1984" bestFit="1" customWidth="1"/>
    <col min="7941" max="7941" width="2.5703125" style="1984" customWidth="1"/>
    <col min="7942" max="7942" width="11.5703125" style="1984" bestFit="1" customWidth="1"/>
    <col min="7943" max="7943" width="2.85546875" style="1984" customWidth="1"/>
    <col min="7944" max="7944" width="13.140625" style="1984" customWidth="1"/>
    <col min="7945" max="7945" width="4.28515625" style="1984" customWidth="1"/>
    <col min="7946" max="7946" width="11.42578125" style="1984" bestFit="1" customWidth="1"/>
    <col min="7947" max="7947" width="5.42578125" style="1984" customWidth="1"/>
    <col min="7948" max="7948" width="11.28515625" style="1984" bestFit="1" customWidth="1"/>
    <col min="7949" max="7949" width="11.85546875" style="1984" customWidth="1"/>
    <col min="7950" max="7950" width="12.140625" style="1984" bestFit="1" customWidth="1"/>
    <col min="7951" max="7951" width="4.28515625" style="1984" bestFit="1" customWidth="1"/>
    <col min="7952" max="7952" width="12.85546875" style="1984" bestFit="1" customWidth="1"/>
    <col min="7953" max="7953" width="4.140625" style="1984" customWidth="1"/>
    <col min="7954" max="7954" width="11" style="1984" bestFit="1" customWidth="1"/>
    <col min="7955" max="7955" width="28" style="1984" customWidth="1"/>
    <col min="7956" max="7956" width="11.28515625" style="1984" bestFit="1" customWidth="1"/>
    <col min="7957" max="7959" width="14.85546875" style="1984" bestFit="1" customWidth="1"/>
    <col min="7960" max="7960" width="15.28515625" style="1984" bestFit="1" customWidth="1"/>
    <col min="7961" max="8192" width="37.5703125" style="1984"/>
    <col min="8193" max="8193" width="14.7109375" style="1984" customWidth="1"/>
    <col min="8194" max="8194" width="42.85546875" style="1984" customWidth="1"/>
    <col min="8195" max="8195" width="14.140625" style="1984" customWidth="1"/>
    <col min="8196" max="8196" width="11.5703125" style="1984" bestFit="1" customWidth="1"/>
    <col min="8197" max="8197" width="2.5703125" style="1984" customWidth="1"/>
    <col min="8198" max="8198" width="11.5703125" style="1984" bestFit="1" customWidth="1"/>
    <col min="8199" max="8199" width="2.85546875" style="1984" customWidth="1"/>
    <col min="8200" max="8200" width="13.140625" style="1984" customWidth="1"/>
    <col min="8201" max="8201" width="4.28515625" style="1984" customWidth="1"/>
    <col min="8202" max="8202" width="11.42578125" style="1984" bestFit="1" customWidth="1"/>
    <col min="8203" max="8203" width="5.42578125" style="1984" customWidth="1"/>
    <col min="8204" max="8204" width="11.28515625" style="1984" bestFit="1" customWidth="1"/>
    <col min="8205" max="8205" width="11.85546875" style="1984" customWidth="1"/>
    <col min="8206" max="8206" width="12.140625" style="1984" bestFit="1" customWidth="1"/>
    <col min="8207" max="8207" width="4.28515625" style="1984" bestFit="1" customWidth="1"/>
    <col min="8208" max="8208" width="12.85546875" style="1984" bestFit="1" customWidth="1"/>
    <col min="8209" max="8209" width="4.140625" style="1984" customWidth="1"/>
    <col min="8210" max="8210" width="11" style="1984" bestFit="1" customWidth="1"/>
    <col min="8211" max="8211" width="28" style="1984" customWidth="1"/>
    <col min="8212" max="8212" width="11.28515625" style="1984" bestFit="1" customWidth="1"/>
    <col min="8213" max="8215" width="14.85546875" style="1984" bestFit="1" customWidth="1"/>
    <col min="8216" max="8216" width="15.28515625" style="1984" bestFit="1" customWidth="1"/>
    <col min="8217" max="8448" width="37.5703125" style="1984"/>
    <col min="8449" max="8449" width="14.7109375" style="1984" customWidth="1"/>
    <col min="8450" max="8450" width="42.85546875" style="1984" customWidth="1"/>
    <col min="8451" max="8451" width="14.140625" style="1984" customWidth="1"/>
    <col min="8452" max="8452" width="11.5703125" style="1984" bestFit="1" customWidth="1"/>
    <col min="8453" max="8453" width="2.5703125" style="1984" customWidth="1"/>
    <col min="8454" max="8454" width="11.5703125" style="1984" bestFit="1" customWidth="1"/>
    <col min="8455" max="8455" width="2.85546875" style="1984" customWidth="1"/>
    <col min="8456" max="8456" width="13.140625" style="1984" customWidth="1"/>
    <col min="8457" max="8457" width="4.28515625" style="1984" customWidth="1"/>
    <col min="8458" max="8458" width="11.42578125" style="1984" bestFit="1" customWidth="1"/>
    <col min="8459" max="8459" width="5.42578125" style="1984" customWidth="1"/>
    <col min="8460" max="8460" width="11.28515625" style="1984" bestFit="1" customWidth="1"/>
    <col min="8461" max="8461" width="11.85546875" style="1984" customWidth="1"/>
    <col min="8462" max="8462" width="12.140625" style="1984" bestFit="1" customWidth="1"/>
    <col min="8463" max="8463" width="4.28515625" style="1984" bestFit="1" customWidth="1"/>
    <col min="8464" max="8464" width="12.85546875" style="1984" bestFit="1" customWidth="1"/>
    <col min="8465" max="8465" width="4.140625" style="1984" customWidth="1"/>
    <col min="8466" max="8466" width="11" style="1984" bestFit="1" customWidth="1"/>
    <col min="8467" max="8467" width="28" style="1984" customWidth="1"/>
    <col min="8468" max="8468" width="11.28515625" style="1984" bestFit="1" customWidth="1"/>
    <col min="8469" max="8471" width="14.85546875" style="1984" bestFit="1" customWidth="1"/>
    <col min="8472" max="8472" width="15.28515625" style="1984" bestFit="1" customWidth="1"/>
    <col min="8473" max="8704" width="37.5703125" style="1984"/>
    <col min="8705" max="8705" width="14.7109375" style="1984" customWidth="1"/>
    <col min="8706" max="8706" width="42.85546875" style="1984" customWidth="1"/>
    <col min="8707" max="8707" width="14.140625" style="1984" customWidth="1"/>
    <col min="8708" max="8708" width="11.5703125" style="1984" bestFit="1" customWidth="1"/>
    <col min="8709" max="8709" width="2.5703125" style="1984" customWidth="1"/>
    <col min="8710" max="8710" width="11.5703125" style="1984" bestFit="1" customWidth="1"/>
    <col min="8711" max="8711" width="2.85546875" style="1984" customWidth="1"/>
    <col min="8712" max="8712" width="13.140625" style="1984" customWidth="1"/>
    <col min="8713" max="8713" width="4.28515625" style="1984" customWidth="1"/>
    <col min="8714" max="8714" width="11.42578125" style="1984" bestFit="1" customWidth="1"/>
    <col min="8715" max="8715" width="5.42578125" style="1984" customWidth="1"/>
    <col min="8716" max="8716" width="11.28515625" style="1984" bestFit="1" customWidth="1"/>
    <col min="8717" max="8717" width="11.85546875" style="1984" customWidth="1"/>
    <col min="8718" max="8718" width="12.140625" style="1984" bestFit="1" customWidth="1"/>
    <col min="8719" max="8719" width="4.28515625" style="1984" bestFit="1" customWidth="1"/>
    <col min="8720" max="8720" width="12.85546875" style="1984" bestFit="1" customWidth="1"/>
    <col min="8721" max="8721" width="4.140625" style="1984" customWidth="1"/>
    <col min="8722" max="8722" width="11" style="1984" bestFit="1" customWidth="1"/>
    <col min="8723" max="8723" width="28" style="1984" customWidth="1"/>
    <col min="8724" max="8724" width="11.28515625" style="1984" bestFit="1" customWidth="1"/>
    <col min="8725" max="8727" width="14.85546875" style="1984" bestFit="1" customWidth="1"/>
    <col min="8728" max="8728" width="15.28515625" style="1984" bestFit="1" customWidth="1"/>
    <col min="8729" max="8960" width="37.5703125" style="1984"/>
    <col min="8961" max="8961" width="14.7109375" style="1984" customWidth="1"/>
    <col min="8962" max="8962" width="42.85546875" style="1984" customWidth="1"/>
    <col min="8963" max="8963" width="14.140625" style="1984" customWidth="1"/>
    <col min="8964" max="8964" width="11.5703125" style="1984" bestFit="1" customWidth="1"/>
    <col min="8965" max="8965" width="2.5703125" style="1984" customWidth="1"/>
    <col min="8966" max="8966" width="11.5703125" style="1984" bestFit="1" customWidth="1"/>
    <col min="8967" max="8967" width="2.85546875" style="1984" customWidth="1"/>
    <col min="8968" max="8968" width="13.140625" style="1984" customWidth="1"/>
    <col min="8969" max="8969" width="4.28515625" style="1984" customWidth="1"/>
    <col min="8970" max="8970" width="11.42578125" style="1984" bestFit="1" customWidth="1"/>
    <col min="8971" max="8971" width="5.42578125" style="1984" customWidth="1"/>
    <col min="8972" max="8972" width="11.28515625" style="1984" bestFit="1" customWidth="1"/>
    <col min="8973" max="8973" width="11.85546875" style="1984" customWidth="1"/>
    <col min="8974" max="8974" width="12.140625" style="1984" bestFit="1" customWidth="1"/>
    <col min="8975" max="8975" width="4.28515625" style="1984" bestFit="1" customWidth="1"/>
    <col min="8976" max="8976" width="12.85546875" style="1984" bestFit="1" customWidth="1"/>
    <col min="8977" max="8977" width="4.140625" style="1984" customWidth="1"/>
    <col min="8978" max="8978" width="11" style="1984" bestFit="1" customWidth="1"/>
    <col min="8979" max="8979" width="28" style="1984" customWidth="1"/>
    <col min="8980" max="8980" width="11.28515625" style="1984" bestFit="1" customWidth="1"/>
    <col min="8981" max="8983" width="14.85546875" style="1984" bestFit="1" customWidth="1"/>
    <col min="8984" max="8984" width="15.28515625" style="1984" bestFit="1" customWidth="1"/>
    <col min="8985" max="9216" width="37.5703125" style="1984"/>
    <col min="9217" max="9217" width="14.7109375" style="1984" customWidth="1"/>
    <col min="9218" max="9218" width="42.85546875" style="1984" customWidth="1"/>
    <col min="9219" max="9219" width="14.140625" style="1984" customWidth="1"/>
    <col min="9220" max="9220" width="11.5703125" style="1984" bestFit="1" customWidth="1"/>
    <col min="9221" max="9221" width="2.5703125" style="1984" customWidth="1"/>
    <col min="9222" max="9222" width="11.5703125" style="1984" bestFit="1" customWidth="1"/>
    <col min="9223" max="9223" width="2.85546875" style="1984" customWidth="1"/>
    <col min="9224" max="9224" width="13.140625" style="1984" customWidth="1"/>
    <col min="9225" max="9225" width="4.28515625" style="1984" customWidth="1"/>
    <col min="9226" max="9226" width="11.42578125" style="1984" bestFit="1" customWidth="1"/>
    <col min="9227" max="9227" width="5.42578125" style="1984" customWidth="1"/>
    <col min="9228" max="9228" width="11.28515625" style="1984" bestFit="1" customWidth="1"/>
    <col min="9229" max="9229" width="11.85546875" style="1984" customWidth="1"/>
    <col min="9230" max="9230" width="12.140625" style="1984" bestFit="1" customWidth="1"/>
    <col min="9231" max="9231" width="4.28515625" style="1984" bestFit="1" customWidth="1"/>
    <col min="9232" max="9232" width="12.85546875" style="1984" bestFit="1" customWidth="1"/>
    <col min="9233" max="9233" width="4.140625" style="1984" customWidth="1"/>
    <col min="9234" max="9234" width="11" style="1984" bestFit="1" customWidth="1"/>
    <col min="9235" max="9235" width="28" style="1984" customWidth="1"/>
    <col min="9236" max="9236" width="11.28515625" style="1984" bestFit="1" customWidth="1"/>
    <col min="9237" max="9239" width="14.85546875" style="1984" bestFit="1" customWidth="1"/>
    <col min="9240" max="9240" width="15.28515625" style="1984" bestFit="1" customWidth="1"/>
    <col min="9241" max="9472" width="37.5703125" style="1984"/>
    <col min="9473" max="9473" width="14.7109375" style="1984" customWidth="1"/>
    <col min="9474" max="9474" width="42.85546875" style="1984" customWidth="1"/>
    <col min="9475" max="9475" width="14.140625" style="1984" customWidth="1"/>
    <col min="9476" max="9476" width="11.5703125" style="1984" bestFit="1" customWidth="1"/>
    <col min="9477" max="9477" width="2.5703125" style="1984" customWidth="1"/>
    <col min="9478" max="9478" width="11.5703125" style="1984" bestFit="1" customWidth="1"/>
    <col min="9479" max="9479" width="2.85546875" style="1984" customWidth="1"/>
    <col min="9480" max="9480" width="13.140625" style="1984" customWidth="1"/>
    <col min="9481" max="9481" width="4.28515625" style="1984" customWidth="1"/>
    <col min="9482" max="9482" width="11.42578125" style="1984" bestFit="1" customWidth="1"/>
    <col min="9483" max="9483" width="5.42578125" style="1984" customWidth="1"/>
    <col min="9484" max="9484" width="11.28515625" style="1984" bestFit="1" customWidth="1"/>
    <col min="9485" max="9485" width="11.85546875" style="1984" customWidth="1"/>
    <col min="9486" max="9486" width="12.140625" style="1984" bestFit="1" customWidth="1"/>
    <col min="9487" max="9487" width="4.28515625" style="1984" bestFit="1" customWidth="1"/>
    <col min="9488" max="9488" width="12.85546875" style="1984" bestFit="1" customWidth="1"/>
    <col min="9489" max="9489" width="4.140625" style="1984" customWidth="1"/>
    <col min="9490" max="9490" width="11" style="1984" bestFit="1" customWidth="1"/>
    <col min="9491" max="9491" width="28" style="1984" customWidth="1"/>
    <col min="9492" max="9492" width="11.28515625" style="1984" bestFit="1" customWidth="1"/>
    <col min="9493" max="9495" width="14.85546875" style="1984" bestFit="1" customWidth="1"/>
    <col min="9496" max="9496" width="15.28515625" style="1984" bestFit="1" customWidth="1"/>
    <col min="9497" max="9728" width="37.5703125" style="1984"/>
    <col min="9729" max="9729" width="14.7109375" style="1984" customWidth="1"/>
    <col min="9730" max="9730" width="42.85546875" style="1984" customWidth="1"/>
    <col min="9731" max="9731" width="14.140625" style="1984" customWidth="1"/>
    <col min="9732" max="9732" width="11.5703125" style="1984" bestFit="1" customWidth="1"/>
    <col min="9733" max="9733" width="2.5703125" style="1984" customWidth="1"/>
    <col min="9734" max="9734" width="11.5703125" style="1984" bestFit="1" customWidth="1"/>
    <col min="9735" max="9735" width="2.85546875" style="1984" customWidth="1"/>
    <col min="9736" max="9736" width="13.140625" style="1984" customWidth="1"/>
    <col min="9737" max="9737" width="4.28515625" style="1984" customWidth="1"/>
    <col min="9738" max="9738" width="11.42578125" style="1984" bestFit="1" customWidth="1"/>
    <col min="9739" max="9739" width="5.42578125" style="1984" customWidth="1"/>
    <col min="9740" max="9740" width="11.28515625" style="1984" bestFit="1" customWidth="1"/>
    <col min="9741" max="9741" width="11.85546875" style="1984" customWidth="1"/>
    <col min="9742" max="9742" width="12.140625" style="1984" bestFit="1" customWidth="1"/>
    <col min="9743" max="9743" width="4.28515625" style="1984" bestFit="1" customWidth="1"/>
    <col min="9744" max="9744" width="12.85546875" style="1984" bestFit="1" customWidth="1"/>
    <col min="9745" max="9745" width="4.140625" style="1984" customWidth="1"/>
    <col min="9746" max="9746" width="11" style="1984" bestFit="1" customWidth="1"/>
    <col min="9747" max="9747" width="28" style="1984" customWidth="1"/>
    <col min="9748" max="9748" width="11.28515625" style="1984" bestFit="1" customWidth="1"/>
    <col min="9749" max="9751" width="14.85546875" style="1984" bestFit="1" customWidth="1"/>
    <col min="9752" max="9752" width="15.28515625" style="1984" bestFit="1" customWidth="1"/>
    <col min="9753" max="9984" width="37.5703125" style="1984"/>
    <col min="9985" max="9985" width="14.7109375" style="1984" customWidth="1"/>
    <col min="9986" max="9986" width="42.85546875" style="1984" customWidth="1"/>
    <col min="9987" max="9987" width="14.140625" style="1984" customWidth="1"/>
    <col min="9988" max="9988" width="11.5703125" style="1984" bestFit="1" customWidth="1"/>
    <col min="9989" max="9989" width="2.5703125" style="1984" customWidth="1"/>
    <col min="9990" max="9990" width="11.5703125" style="1984" bestFit="1" customWidth="1"/>
    <col min="9991" max="9991" width="2.85546875" style="1984" customWidth="1"/>
    <col min="9992" max="9992" width="13.140625" style="1984" customWidth="1"/>
    <col min="9993" max="9993" width="4.28515625" style="1984" customWidth="1"/>
    <col min="9994" max="9994" width="11.42578125" style="1984" bestFit="1" customWidth="1"/>
    <col min="9995" max="9995" width="5.42578125" style="1984" customWidth="1"/>
    <col min="9996" max="9996" width="11.28515625" style="1984" bestFit="1" customWidth="1"/>
    <col min="9997" max="9997" width="11.85546875" style="1984" customWidth="1"/>
    <col min="9998" max="9998" width="12.140625" style="1984" bestFit="1" customWidth="1"/>
    <col min="9999" max="9999" width="4.28515625" style="1984" bestFit="1" customWidth="1"/>
    <col min="10000" max="10000" width="12.85546875" style="1984" bestFit="1" customWidth="1"/>
    <col min="10001" max="10001" width="4.140625" style="1984" customWidth="1"/>
    <col min="10002" max="10002" width="11" style="1984" bestFit="1" customWidth="1"/>
    <col min="10003" max="10003" width="28" style="1984" customWidth="1"/>
    <col min="10004" max="10004" width="11.28515625" style="1984" bestFit="1" customWidth="1"/>
    <col min="10005" max="10007" width="14.85546875" style="1984" bestFit="1" customWidth="1"/>
    <col min="10008" max="10008" width="15.28515625" style="1984" bestFit="1" customWidth="1"/>
    <col min="10009" max="10240" width="37.5703125" style="1984"/>
    <col min="10241" max="10241" width="14.7109375" style="1984" customWidth="1"/>
    <col min="10242" max="10242" width="42.85546875" style="1984" customWidth="1"/>
    <col min="10243" max="10243" width="14.140625" style="1984" customWidth="1"/>
    <col min="10244" max="10244" width="11.5703125" style="1984" bestFit="1" customWidth="1"/>
    <col min="10245" max="10245" width="2.5703125" style="1984" customWidth="1"/>
    <col min="10246" max="10246" width="11.5703125" style="1984" bestFit="1" customWidth="1"/>
    <col min="10247" max="10247" width="2.85546875" style="1984" customWidth="1"/>
    <col min="10248" max="10248" width="13.140625" style="1984" customWidth="1"/>
    <col min="10249" max="10249" width="4.28515625" style="1984" customWidth="1"/>
    <col min="10250" max="10250" width="11.42578125" style="1984" bestFit="1" customWidth="1"/>
    <col min="10251" max="10251" width="5.42578125" style="1984" customWidth="1"/>
    <col min="10252" max="10252" width="11.28515625" style="1984" bestFit="1" customWidth="1"/>
    <col min="10253" max="10253" width="11.85546875" style="1984" customWidth="1"/>
    <col min="10254" max="10254" width="12.140625" style="1984" bestFit="1" customWidth="1"/>
    <col min="10255" max="10255" width="4.28515625" style="1984" bestFit="1" customWidth="1"/>
    <col min="10256" max="10256" width="12.85546875" style="1984" bestFit="1" customWidth="1"/>
    <col min="10257" max="10257" width="4.140625" style="1984" customWidth="1"/>
    <col min="10258" max="10258" width="11" style="1984" bestFit="1" customWidth="1"/>
    <col min="10259" max="10259" width="28" style="1984" customWidth="1"/>
    <col min="10260" max="10260" width="11.28515625" style="1984" bestFit="1" customWidth="1"/>
    <col min="10261" max="10263" width="14.85546875" style="1984" bestFit="1" customWidth="1"/>
    <col min="10264" max="10264" width="15.28515625" style="1984" bestFit="1" customWidth="1"/>
    <col min="10265" max="10496" width="37.5703125" style="1984"/>
    <col min="10497" max="10497" width="14.7109375" style="1984" customWidth="1"/>
    <col min="10498" max="10498" width="42.85546875" style="1984" customWidth="1"/>
    <col min="10499" max="10499" width="14.140625" style="1984" customWidth="1"/>
    <col min="10500" max="10500" width="11.5703125" style="1984" bestFit="1" customWidth="1"/>
    <col min="10501" max="10501" width="2.5703125" style="1984" customWidth="1"/>
    <col min="10502" max="10502" width="11.5703125" style="1984" bestFit="1" customWidth="1"/>
    <col min="10503" max="10503" width="2.85546875" style="1984" customWidth="1"/>
    <col min="10504" max="10504" width="13.140625" style="1984" customWidth="1"/>
    <col min="10505" max="10505" width="4.28515625" style="1984" customWidth="1"/>
    <col min="10506" max="10506" width="11.42578125" style="1984" bestFit="1" customWidth="1"/>
    <col min="10507" max="10507" width="5.42578125" style="1984" customWidth="1"/>
    <col min="10508" max="10508" width="11.28515625" style="1984" bestFit="1" customWidth="1"/>
    <col min="10509" max="10509" width="11.85546875" style="1984" customWidth="1"/>
    <col min="10510" max="10510" width="12.140625" style="1984" bestFit="1" customWidth="1"/>
    <col min="10511" max="10511" width="4.28515625" style="1984" bestFit="1" customWidth="1"/>
    <col min="10512" max="10512" width="12.85546875" style="1984" bestFit="1" customWidth="1"/>
    <col min="10513" max="10513" width="4.140625" style="1984" customWidth="1"/>
    <col min="10514" max="10514" width="11" style="1984" bestFit="1" customWidth="1"/>
    <col min="10515" max="10515" width="28" style="1984" customWidth="1"/>
    <col min="10516" max="10516" width="11.28515625" style="1984" bestFit="1" customWidth="1"/>
    <col min="10517" max="10519" width="14.85546875" style="1984" bestFit="1" customWidth="1"/>
    <col min="10520" max="10520" width="15.28515625" style="1984" bestFit="1" customWidth="1"/>
    <col min="10521" max="10752" width="37.5703125" style="1984"/>
    <col min="10753" max="10753" width="14.7109375" style="1984" customWidth="1"/>
    <col min="10754" max="10754" width="42.85546875" style="1984" customWidth="1"/>
    <col min="10755" max="10755" width="14.140625" style="1984" customWidth="1"/>
    <col min="10756" max="10756" width="11.5703125" style="1984" bestFit="1" customWidth="1"/>
    <col min="10757" max="10757" width="2.5703125" style="1984" customWidth="1"/>
    <col min="10758" max="10758" width="11.5703125" style="1984" bestFit="1" customWidth="1"/>
    <col min="10759" max="10759" width="2.85546875" style="1984" customWidth="1"/>
    <col min="10760" max="10760" width="13.140625" style="1984" customWidth="1"/>
    <col min="10761" max="10761" width="4.28515625" style="1984" customWidth="1"/>
    <col min="10762" max="10762" width="11.42578125" style="1984" bestFit="1" customWidth="1"/>
    <col min="10763" max="10763" width="5.42578125" style="1984" customWidth="1"/>
    <col min="10764" max="10764" width="11.28515625" style="1984" bestFit="1" customWidth="1"/>
    <col min="10765" max="10765" width="11.85546875" style="1984" customWidth="1"/>
    <col min="10766" max="10766" width="12.140625" style="1984" bestFit="1" customWidth="1"/>
    <col min="10767" max="10767" width="4.28515625" style="1984" bestFit="1" customWidth="1"/>
    <col min="10768" max="10768" width="12.85546875" style="1984" bestFit="1" customWidth="1"/>
    <col min="10769" max="10769" width="4.140625" style="1984" customWidth="1"/>
    <col min="10770" max="10770" width="11" style="1984" bestFit="1" customWidth="1"/>
    <col min="10771" max="10771" width="28" style="1984" customWidth="1"/>
    <col min="10772" max="10772" width="11.28515625" style="1984" bestFit="1" customWidth="1"/>
    <col min="10773" max="10775" width="14.85546875" style="1984" bestFit="1" customWidth="1"/>
    <col min="10776" max="10776" width="15.28515625" style="1984" bestFit="1" customWidth="1"/>
    <col min="10777" max="11008" width="37.5703125" style="1984"/>
    <col min="11009" max="11009" width="14.7109375" style="1984" customWidth="1"/>
    <col min="11010" max="11010" width="42.85546875" style="1984" customWidth="1"/>
    <col min="11011" max="11011" width="14.140625" style="1984" customWidth="1"/>
    <col min="11012" max="11012" width="11.5703125" style="1984" bestFit="1" customWidth="1"/>
    <col min="11013" max="11013" width="2.5703125" style="1984" customWidth="1"/>
    <col min="11014" max="11014" width="11.5703125" style="1984" bestFit="1" customWidth="1"/>
    <col min="11015" max="11015" width="2.85546875" style="1984" customWidth="1"/>
    <col min="11016" max="11016" width="13.140625" style="1984" customWidth="1"/>
    <col min="11017" max="11017" width="4.28515625" style="1984" customWidth="1"/>
    <col min="11018" max="11018" width="11.42578125" style="1984" bestFit="1" customWidth="1"/>
    <col min="11019" max="11019" width="5.42578125" style="1984" customWidth="1"/>
    <col min="11020" max="11020" width="11.28515625" style="1984" bestFit="1" customWidth="1"/>
    <col min="11021" max="11021" width="11.85546875" style="1984" customWidth="1"/>
    <col min="11022" max="11022" width="12.140625" style="1984" bestFit="1" customWidth="1"/>
    <col min="11023" max="11023" width="4.28515625" style="1984" bestFit="1" customWidth="1"/>
    <col min="11024" max="11024" width="12.85546875" style="1984" bestFit="1" customWidth="1"/>
    <col min="11025" max="11025" width="4.140625" style="1984" customWidth="1"/>
    <col min="11026" max="11026" width="11" style="1984" bestFit="1" customWidth="1"/>
    <col min="11027" max="11027" width="28" style="1984" customWidth="1"/>
    <col min="11028" max="11028" width="11.28515625" style="1984" bestFit="1" customWidth="1"/>
    <col min="11029" max="11031" width="14.85546875" style="1984" bestFit="1" customWidth="1"/>
    <col min="11032" max="11032" width="15.28515625" style="1984" bestFit="1" customWidth="1"/>
    <col min="11033" max="11264" width="37.5703125" style="1984"/>
    <col min="11265" max="11265" width="14.7109375" style="1984" customWidth="1"/>
    <col min="11266" max="11266" width="42.85546875" style="1984" customWidth="1"/>
    <col min="11267" max="11267" width="14.140625" style="1984" customWidth="1"/>
    <col min="11268" max="11268" width="11.5703125" style="1984" bestFit="1" customWidth="1"/>
    <col min="11269" max="11269" width="2.5703125" style="1984" customWidth="1"/>
    <col min="11270" max="11270" width="11.5703125" style="1984" bestFit="1" customWidth="1"/>
    <col min="11271" max="11271" width="2.85546875" style="1984" customWidth="1"/>
    <col min="11272" max="11272" width="13.140625" style="1984" customWidth="1"/>
    <col min="11273" max="11273" width="4.28515625" style="1984" customWidth="1"/>
    <col min="11274" max="11274" width="11.42578125" style="1984" bestFit="1" customWidth="1"/>
    <col min="11275" max="11275" width="5.42578125" style="1984" customWidth="1"/>
    <col min="11276" max="11276" width="11.28515625" style="1984" bestFit="1" customWidth="1"/>
    <col min="11277" max="11277" width="11.85546875" style="1984" customWidth="1"/>
    <col min="11278" max="11278" width="12.140625" style="1984" bestFit="1" customWidth="1"/>
    <col min="11279" max="11279" width="4.28515625" style="1984" bestFit="1" customWidth="1"/>
    <col min="11280" max="11280" width="12.85546875" style="1984" bestFit="1" customWidth="1"/>
    <col min="11281" max="11281" width="4.140625" style="1984" customWidth="1"/>
    <col min="11282" max="11282" width="11" style="1984" bestFit="1" customWidth="1"/>
    <col min="11283" max="11283" width="28" style="1984" customWidth="1"/>
    <col min="11284" max="11284" width="11.28515625" style="1984" bestFit="1" customWidth="1"/>
    <col min="11285" max="11287" width="14.85546875" style="1984" bestFit="1" customWidth="1"/>
    <col min="11288" max="11288" width="15.28515625" style="1984" bestFit="1" customWidth="1"/>
    <col min="11289" max="11520" width="37.5703125" style="1984"/>
    <col min="11521" max="11521" width="14.7109375" style="1984" customWidth="1"/>
    <col min="11522" max="11522" width="42.85546875" style="1984" customWidth="1"/>
    <col min="11523" max="11523" width="14.140625" style="1984" customWidth="1"/>
    <col min="11524" max="11524" width="11.5703125" style="1984" bestFit="1" customWidth="1"/>
    <col min="11525" max="11525" width="2.5703125" style="1984" customWidth="1"/>
    <col min="11526" max="11526" width="11.5703125" style="1984" bestFit="1" customWidth="1"/>
    <col min="11527" max="11527" width="2.85546875" style="1984" customWidth="1"/>
    <col min="11528" max="11528" width="13.140625" style="1984" customWidth="1"/>
    <col min="11529" max="11529" width="4.28515625" style="1984" customWidth="1"/>
    <col min="11530" max="11530" width="11.42578125" style="1984" bestFit="1" customWidth="1"/>
    <col min="11531" max="11531" width="5.42578125" style="1984" customWidth="1"/>
    <col min="11532" max="11532" width="11.28515625" style="1984" bestFit="1" customWidth="1"/>
    <col min="11533" max="11533" width="11.85546875" style="1984" customWidth="1"/>
    <col min="11534" max="11534" width="12.140625" style="1984" bestFit="1" customWidth="1"/>
    <col min="11535" max="11535" width="4.28515625" style="1984" bestFit="1" customWidth="1"/>
    <col min="11536" max="11536" width="12.85546875" style="1984" bestFit="1" customWidth="1"/>
    <col min="11537" max="11537" width="4.140625" style="1984" customWidth="1"/>
    <col min="11538" max="11538" width="11" style="1984" bestFit="1" customWidth="1"/>
    <col min="11539" max="11539" width="28" style="1984" customWidth="1"/>
    <col min="11540" max="11540" width="11.28515625" style="1984" bestFit="1" customWidth="1"/>
    <col min="11541" max="11543" width="14.85546875" style="1984" bestFit="1" customWidth="1"/>
    <col min="11544" max="11544" width="15.28515625" style="1984" bestFit="1" customWidth="1"/>
    <col min="11545" max="11776" width="37.5703125" style="1984"/>
    <col min="11777" max="11777" width="14.7109375" style="1984" customWidth="1"/>
    <col min="11778" max="11778" width="42.85546875" style="1984" customWidth="1"/>
    <col min="11779" max="11779" width="14.140625" style="1984" customWidth="1"/>
    <col min="11780" max="11780" width="11.5703125" style="1984" bestFit="1" customWidth="1"/>
    <col min="11781" max="11781" width="2.5703125" style="1984" customWidth="1"/>
    <col min="11782" max="11782" width="11.5703125" style="1984" bestFit="1" customWidth="1"/>
    <col min="11783" max="11783" width="2.85546875" style="1984" customWidth="1"/>
    <col min="11784" max="11784" width="13.140625" style="1984" customWidth="1"/>
    <col min="11785" max="11785" width="4.28515625" style="1984" customWidth="1"/>
    <col min="11786" max="11786" width="11.42578125" style="1984" bestFit="1" customWidth="1"/>
    <col min="11787" max="11787" width="5.42578125" style="1984" customWidth="1"/>
    <col min="11788" max="11788" width="11.28515625" style="1984" bestFit="1" customWidth="1"/>
    <col min="11789" max="11789" width="11.85546875" style="1984" customWidth="1"/>
    <col min="11790" max="11790" width="12.140625" style="1984" bestFit="1" customWidth="1"/>
    <col min="11791" max="11791" width="4.28515625" style="1984" bestFit="1" customWidth="1"/>
    <col min="11792" max="11792" width="12.85546875" style="1984" bestFit="1" customWidth="1"/>
    <col min="11793" max="11793" width="4.140625" style="1984" customWidth="1"/>
    <col min="11794" max="11794" width="11" style="1984" bestFit="1" customWidth="1"/>
    <col min="11795" max="11795" width="28" style="1984" customWidth="1"/>
    <col min="11796" max="11796" width="11.28515625" style="1984" bestFit="1" customWidth="1"/>
    <col min="11797" max="11799" width="14.85546875" style="1984" bestFit="1" customWidth="1"/>
    <col min="11800" max="11800" width="15.28515625" style="1984" bestFit="1" customWidth="1"/>
    <col min="11801" max="12032" width="37.5703125" style="1984"/>
    <col min="12033" max="12033" width="14.7109375" style="1984" customWidth="1"/>
    <col min="12034" max="12034" width="42.85546875" style="1984" customWidth="1"/>
    <col min="12035" max="12035" width="14.140625" style="1984" customWidth="1"/>
    <col min="12036" max="12036" width="11.5703125" style="1984" bestFit="1" customWidth="1"/>
    <col min="12037" max="12037" width="2.5703125" style="1984" customWidth="1"/>
    <col min="12038" max="12038" width="11.5703125" style="1984" bestFit="1" customWidth="1"/>
    <col min="12039" max="12039" width="2.85546875" style="1984" customWidth="1"/>
    <col min="12040" max="12040" width="13.140625" style="1984" customWidth="1"/>
    <col min="12041" max="12041" width="4.28515625" style="1984" customWidth="1"/>
    <col min="12042" max="12042" width="11.42578125" style="1984" bestFit="1" customWidth="1"/>
    <col min="12043" max="12043" width="5.42578125" style="1984" customWidth="1"/>
    <col min="12044" max="12044" width="11.28515625" style="1984" bestFit="1" customWidth="1"/>
    <col min="12045" max="12045" width="11.85546875" style="1984" customWidth="1"/>
    <col min="12046" max="12046" width="12.140625" style="1984" bestFit="1" customWidth="1"/>
    <col min="12047" max="12047" width="4.28515625" style="1984" bestFit="1" customWidth="1"/>
    <col min="12048" max="12048" width="12.85546875" style="1984" bestFit="1" customWidth="1"/>
    <col min="12049" max="12049" width="4.140625" style="1984" customWidth="1"/>
    <col min="12050" max="12050" width="11" style="1984" bestFit="1" customWidth="1"/>
    <col min="12051" max="12051" width="28" style="1984" customWidth="1"/>
    <col min="12052" max="12052" width="11.28515625" style="1984" bestFit="1" customWidth="1"/>
    <col min="12053" max="12055" width="14.85546875" style="1984" bestFit="1" customWidth="1"/>
    <col min="12056" max="12056" width="15.28515625" style="1984" bestFit="1" customWidth="1"/>
    <col min="12057" max="12288" width="37.5703125" style="1984"/>
    <col min="12289" max="12289" width="14.7109375" style="1984" customWidth="1"/>
    <col min="12290" max="12290" width="42.85546875" style="1984" customWidth="1"/>
    <col min="12291" max="12291" width="14.140625" style="1984" customWidth="1"/>
    <col min="12292" max="12292" width="11.5703125" style="1984" bestFit="1" customWidth="1"/>
    <col min="12293" max="12293" width="2.5703125" style="1984" customWidth="1"/>
    <col min="12294" max="12294" width="11.5703125" style="1984" bestFit="1" customWidth="1"/>
    <col min="12295" max="12295" width="2.85546875" style="1984" customWidth="1"/>
    <col min="12296" max="12296" width="13.140625" style="1984" customWidth="1"/>
    <col min="12297" max="12297" width="4.28515625" style="1984" customWidth="1"/>
    <col min="12298" max="12298" width="11.42578125" style="1984" bestFit="1" customWidth="1"/>
    <col min="12299" max="12299" width="5.42578125" style="1984" customWidth="1"/>
    <col min="12300" max="12300" width="11.28515625" style="1984" bestFit="1" customWidth="1"/>
    <col min="12301" max="12301" width="11.85546875" style="1984" customWidth="1"/>
    <col min="12302" max="12302" width="12.140625" style="1984" bestFit="1" customWidth="1"/>
    <col min="12303" max="12303" width="4.28515625" style="1984" bestFit="1" customWidth="1"/>
    <col min="12304" max="12304" width="12.85546875" style="1984" bestFit="1" customWidth="1"/>
    <col min="12305" max="12305" width="4.140625" style="1984" customWidth="1"/>
    <col min="12306" max="12306" width="11" style="1984" bestFit="1" customWidth="1"/>
    <col min="12307" max="12307" width="28" style="1984" customWidth="1"/>
    <col min="12308" max="12308" width="11.28515625" style="1984" bestFit="1" customWidth="1"/>
    <col min="12309" max="12311" width="14.85546875" style="1984" bestFit="1" customWidth="1"/>
    <col min="12312" max="12312" width="15.28515625" style="1984" bestFit="1" customWidth="1"/>
    <col min="12313" max="12544" width="37.5703125" style="1984"/>
    <col min="12545" max="12545" width="14.7109375" style="1984" customWidth="1"/>
    <col min="12546" max="12546" width="42.85546875" style="1984" customWidth="1"/>
    <col min="12547" max="12547" width="14.140625" style="1984" customWidth="1"/>
    <col min="12548" max="12548" width="11.5703125" style="1984" bestFit="1" customWidth="1"/>
    <col min="12549" max="12549" width="2.5703125" style="1984" customWidth="1"/>
    <col min="12550" max="12550" width="11.5703125" style="1984" bestFit="1" customWidth="1"/>
    <col min="12551" max="12551" width="2.85546875" style="1984" customWidth="1"/>
    <col min="12552" max="12552" width="13.140625" style="1984" customWidth="1"/>
    <col min="12553" max="12553" width="4.28515625" style="1984" customWidth="1"/>
    <col min="12554" max="12554" width="11.42578125" style="1984" bestFit="1" customWidth="1"/>
    <col min="12555" max="12555" width="5.42578125" style="1984" customWidth="1"/>
    <col min="12556" max="12556" width="11.28515625" style="1984" bestFit="1" customWidth="1"/>
    <col min="12557" max="12557" width="11.85546875" style="1984" customWidth="1"/>
    <col min="12558" max="12558" width="12.140625" style="1984" bestFit="1" customWidth="1"/>
    <col min="12559" max="12559" width="4.28515625" style="1984" bestFit="1" customWidth="1"/>
    <col min="12560" max="12560" width="12.85546875" style="1984" bestFit="1" customWidth="1"/>
    <col min="12561" max="12561" width="4.140625" style="1984" customWidth="1"/>
    <col min="12562" max="12562" width="11" style="1984" bestFit="1" customWidth="1"/>
    <col min="12563" max="12563" width="28" style="1984" customWidth="1"/>
    <col min="12564" max="12564" width="11.28515625" style="1984" bestFit="1" customWidth="1"/>
    <col min="12565" max="12567" width="14.85546875" style="1984" bestFit="1" customWidth="1"/>
    <col min="12568" max="12568" width="15.28515625" style="1984" bestFit="1" customWidth="1"/>
    <col min="12569" max="12800" width="37.5703125" style="1984"/>
    <col min="12801" max="12801" width="14.7109375" style="1984" customWidth="1"/>
    <col min="12802" max="12802" width="42.85546875" style="1984" customWidth="1"/>
    <col min="12803" max="12803" width="14.140625" style="1984" customWidth="1"/>
    <col min="12804" max="12804" width="11.5703125" style="1984" bestFit="1" customWidth="1"/>
    <col min="12805" max="12805" width="2.5703125" style="1984" customWidth="1"/>
    <col min="12806" max="12806" width="11.5703125" style="1984" bestFit="1" customWidth="1"/>
    <col min="12807" max="12807" width="2.85546875" style="1984" customWidth="1"/>
    <col min="12808" max="12808" width="13.140625" style="1984" customWidth="1"/>
    <col min="12809" max="12809" width="4.28515625" style="1984" customWidth="1"/>
    <col min="12810" max="12810" width="11.42578125" style="1984" bestFit="1" customWidth="1"/>
    <col min="12811" max="12811" width="5.42578125" style="1984" customWidth="1"/>
    <col min="12812" max="12812" width="11.28515625" style="1984" bestFit="1" customWidth="1"/>
    <col min="12813" max="12813" width="11.85546875" style="1984" customWidth="1"/>
    <col min="12814" max="12814" width="12.140625" style="1984" bestFit="1" customWidth="1"/>
    <col min="12815" max="12815" width="4.28515625" style="1984" bestFit="1" customWidth="1"/>
    <col min="12816" max="12816" width="12.85546875" style="1984" bestFit="1" customWidth="1"/>
    <col min="12817" max="12817" width="4.140625" style="1984" customWidth="1"/>
    <col min="12818" max="12818" width="11" style="1984" bestFit="1" customWidth="1"/>
    <col min="12819" max="12819" width="28" style="1984" customWidth="1"/>
    <col min="12820" max="12820" width="11.28515625" style="1984" bestFit="1" customWidth="1"/>
    <col min="12821" max="12823" width="14.85546875" style="1984" bestFit="1" customWidth="1"/>
    <col min="12824" max="12824" width="15.28515625" style="1984" bestFit="1" customWidth="1"/>
    <col min="12825" max="13056" width="37.5703125" style="1984"/>
    <col min="13057" max="13057" width="14.7109375" style="1984" customWidth="1"/>
    <col min="13058" max="13058" width="42.85546875" style="1984" customWidth="1"/>
    <col min="13059" max="13059" width="14.140625" style="1984" customWidth="1"/>
    <col min="13060" max="13060" width="11.5703125" style="1984" bestFit="1" customWidth="1"/>
    <col min="13061" max="13061" width="2.5703125" style="1984" customWidth="1"/>
    <col min="13062" max="13062" width="11.5703125" style="1984" bestFit="1" customWidth="1"/>
    <col min="13063" max="13063" width="2.85546875" style="1984" customWidth="1"/>
    <col min="13064" max="13064" width="13.140625" style="1984" customWidth="1"/>
    <col min="13065" max="13065" width="4.28515625" style="1984" customWidth="1"/>
    <col min="13066" max="13066" width="11.42578125" style="1984" bestFit="1" customWidth="1"/>
    <col min="13067" max="13067" width="5.42578125" style="1984" customWidth="1"/>
    <col min="13068" max="13068" width="11.28515625" style="1984" bestFit="1" customWidth="1"/>
    <col min="13069" max="13069" width="11.85546875" style="1984" customWidth="1"/>
    <col min="13070" max="13070" width="12.140625" style="1984" bestFit="1" customWidth="1"/>
    <col min="13071" max="13071" width="4.28515625" style="1984" bestFit="1" customWidth="1"/>
    <col min="13072" max="13072" width="12.85546875" style="1984" bestFit="1" customWidth="1"/>
    <col min="13073" max="13073" width="4.140625" style="1984" customWidth="1"/>
    <col min="13074" max="13074" width="11" style="1984" bestFit="1" customWidth="1"/>
    <col min="13075" max="13075" width="28" style="1984" customWidth="1"/>
    <col min="13076" max="13076" width="11.28515625" style="1984" bestFit="1" customWidth="1"/>
    <col min="13077" max="13079" width="14.85546875" style="1984" bestFit="1" customWidth="1"/>
    <col min="13080" max="13080" width="15.28515625" style="1984" bestFit="1" customWidth="1"/>
    <col min="13081" max="13312" width="37.5703125" style="1984"/>
    <col min="13313" max="13313" width="14.7109375" style="1984" customWidth="1"/>
    <col min="13314" max="13314" width="42.85546875" style="1984" customWidth="1"/>
    <col min="13315" max="13315" width="14.140625" style="1984" customWidth="1"/>
    <col min="13316" max="13316" width="11.5703125" style="1984" bestFit="1" customWidth="1"/>
    <col min="13317" max="13317" width="2.5703125" style="1984" customWidth="1"/>
    <col min="13318" max="13318" width="11.5703125" style="1984" bestFit="1" customWidth="1"/>
    <col min="13319" max="13319" width="2.85546875" style="1984" customWidth="1"/>
    <col min="13320" max="13320" width="13.140625" style="1984" customWidth="1"/>
    <col min="13321" max="13321" width="4.28515625" style="1984" customWidth="1"/>
    <col min="13322" max="13322" width="11.42578125" style="1984" bestFit="1" customWidth="1"/>
    <col min="13323" max="13323" width="5.42578125" style="1984" customWidth="1"/>
    <col min="13324" max="13324" width="11.28515625" style="1984" bestFit="1" customWidth="1"/>
    <col min="13325" max="13325" width="11.85546875" style="1984" customWidth="1"/>
    <col min="13326" max="13326" width="12.140625" style="1984" bestFit="1" customWidth="1"/>
    <col min="13327" max="13327" width="4.28515625" style="1984" bestFit="1" customWidth="1"/>
    <col min="13328" max="13328" width="12.85546875" style="1984" bestFit="1" customWidth="1"/>
    <col min="13329" max="13329" width="4.140625" style="1984" customWidth="1"/>
    <col min="13330" max="13330" width="11" style="1984" bestFit="1" customWidth="1"/>
    <col min="13331" max="13331" width="28" style="1984" customWidth="1"/>
    <col min="13332" max="13332" width="11.28515625" style="1984" bestFit="1" customWidth="1"/>
    <col min="13333" max="13335" width="14.85546875" style="1984" bestFit="1" customWidth="1"/>
    <col min="13336" max="13336" width="15.28515625" style="1984" bestFit="1" customWidth="1"/>
    <col min="13337" max="13568" width="37.5703125" style="1984"/>
    <col min="13569" max="13569" width="14.7109375" style="1984" customWidth="1"/>
    <col min="13570" max="13570" width="42.85546875" style="1984" customWidth="1"/>
    <col min="13571" max="13571" width="14.140625" style="1984" customWidth="1"/>
    <col min="13572" max="13572" width="11.5703125" style="1984" bestFit="1" customWidth="1"/>
    <col min="13573" max="13573" width="2.5703125" style="1984" customWidth="1"/>
    <col min="13574" max="13574" width="11.5703125" style="1984" bestFit="1" customWidth="1"/>
    <col min="13575" max="13575" width="2.85546875" style="1984" customWidth="1"/>
    <col min="13576" max="13576" width="13.140625" style="1984" customWidth="1"/>
    <col min="13577" max="13577" width="4.28515625" style="1984" customWidth="1"/>
    <col min="13578" max="13578" width="11.42578125" style="1984" bestFit="1" customWidth="1"/>
    <col min="13579" max="13579" width="5.42578125" style="1984" customWidth="1"/>
    <col min="13580" max="13580" width="11.28515625" style="1984" bestFit="1" customWidth="1"/>
    <col min="13581" max="13581" width="11.85546875" style="1984" customWidth="1"/>
    <col min="13582" max="13582" width="12.140625" style="1984" bestFit="1" customWidth="1"/>
    <col min="13583" max="13583" width="4.28515625" style="1984" bestFit="1" customWidth="1"/>
    <col min="13584" max="13584" width="12.85546875" style="1984" bestFit="1" customWidth="1"/>
    <col min="13585" max="13585" width="4.140625" style="1984" customWidth="1"/>
    <col min="13586" max="13586" width="11" style="1984" bestFit="1" customWidth="1"/>
    <col min="13587" max="13587" width="28" style="1984" customWidth="1"/>
    <col min="13588" max="13588" width="11.28515625" style="1984" bestFit="1" customWidth="1"/>
    <col min="13589" max="13591" width="14.85546875" style="1984" bestFit="1" customWidth="1"/>
    <col min="13592" max="13592" width="15.28515625" style="1984" bestFit="1" customWidth="1"/>
    <col min="13593" max="13824" width="37.5703125" style="1984"/>
    <col min="13825" max="13825" width="14.7109375" style="1984" customWidth="1"/>
    <col min="13826" max="13826" width="42.85546875" style="1984" customWidth="1"/>
    <col min="13827" max="13827" width="14.140625" style="1984" customWidth="1"/>
    <col min="13828" max="13828" width="11.5703125" style="1984" bestFit="1" customWidth="1"/>
    <col min="13829" max="13829" width="2.5703125" style="1984" customWidth="1"/>
    <col min="13830" max="13830" width="11.5703125" style="1984" bestFit="1" customWidth="1"/>
    <col min="13831" max="13831" width="2.85546875" style="1984" customWidth="1"/>
    <col min="13832" max="13832" width="13.140625" style="1984" customWidth="1"/>
    <col min="13833" max="13833" width="4.28515625" style="1984" customWidth="1"/>
    <col min="13834" max="13834" width="11.42578125" style="1984" bestFit="1" customWidth="1"/>
    <col min="13835" max="13835" width="5.42578125" style="1984" customWidth="1"/>
    <col min="13836" max="13836" width="11.28515625" style="1984" bestFit="1" customWidth="1"/>
    <col min="13837" max="13837" width="11.85546875" style="1984" customWidth="1"/>
    <col min="13838" max="13838" width="12.140625" style="1984" bestFit="1" customWidth="1"/>
    <col min="13839" max="13839" width="4.28515625" style="1984" bestFit="1" customWidth="1"/>
    <col min="13840" max="13840" width="12.85546875" style="1984" bestFit="1" customWidth="1"/>
    <col min="13841" max="13841" width="4.140625" style="1984" customWidth="1"/>
    <col min="13842" max="13842" width="11" style="1984" bestFit="1" customWidth="1"/>
    <col min="13843" max="13843" width="28" style="1984" customWidth="1"/>
    <col min="13844" max="13844" width="11.28515625" style="1984" bestFit="1" customWidth="1"/>
    <col min="13845" max="13847" width="14.85546875" style="1984" bestFit="1" customWidth="1"/>
    <col min="13848" max="13848" width="15.28515625" style="1984" bestFit="1" customWidth="1"/>
    <col min="13849" max="14080" width="37.5703125" style="1984"/>
    <col min="14081" max="14081" width="14.7109375" style="1984" customWidth="1"/>
    <col min="14082" max="14082" width="42.85546875" style="1984" customWidth="1"/>
    <col min="14083" max="14083" width="14.140625" style="1984" customWidth="1"/>
    <col min="14084" max="14084" width="11.5703125" style="1984" bestFit="1" customWidth="1"/>
    <col min="14085" max="14085" width="2.5703125" style="1984" customWidth="1"/>
    <col min="14086" max="14086" width="11.5703125" style="1984" bestFit="1" customWidth="1"/>
    <col min="14087" max="14087" width="2.85546875" style="1984" customWidth="1"/>
    <col min="14088" max="14088" width="13.140625" style="1984" customWidth="1"/>
    <col min="14089" max="14089" width="4.28515625" style="1984" customWidth="1"/>
    <col min="14090" max="14090" width="11.42578125" style="1984" bestFit="1" customWidth="1"/>
    <col min="14091" max="14091" width="5.42578125" style="1984" customWidth="1"/>
    <col min="14092" max="14092" width="11.28515625" style="1984" bestFit="1" customWidth="1"/>
    <col min="14093" max="14093" width="11.85546875" style="1984" customWidth="1"/>
    <col min="14094" max="14094" width="12.140625" style="1984" bestFit="1" customWidth="1"/>
    <col min="14095" max="14095" width="4.28515625" style="1984" bestFit="1" customWidth="1"/>
    <col min="14096" max="14096" width="12.85546875" style="1984" bestFit="1" customWidth="1"/>
    <col min="14097" max="14097" width="4.140625" style="1984" customWidth="1"/>
    <col min="14098" max="14098" width="11" style="1984" bestFit="1" customWidth="1"/>
    <col min="14099" max="14099" width="28" style="1984" customWidth="1"/>
    <col min="14100" max="14100" width="11.28515625" style="1984" bestFit="1" customWidth="1"/>
    <col min="14101" max="14103" width="14.85546875" style="1984" bestFit="1" customWidth="1"/>
    <col min="14104" max="14104" width="15.28515625" style="1984" bestFit="1" customWidth="1"/>
    <col min="14105" max="14336" width="37.5703125" style="1984"/>
    <col min="14337" max="14337" width="14.7109375" style="1984" customWidth="1"/>
    <col min="14338" max="14338" width="42.85546875" style="1984" customWidth="1"/>
    <col min="14339" max="14339" width="14.140625" style="1984" customWidth="1"/>
    <col min="14340" max="14340" width="11.5703125" style="1984" bestFit="1" customWidth="1"/>
    <col min="14341" max="14341" width="2.5703125" style="1984" customWidth="1"/>
    <col min="14342" max="14342" width="11.5703125" style="1984" bestFit="1" customWidth="1"/>
    <col min="14343" max="14343" width="2.85546875" style="1984" customWidth="1"/>
    <col min="14344" max="14344" width="13.140625" style="1984" customWidth="1"/>
    <col min="14345" max="14345" width="4.28515625" style="1984" customWidth="1"/>
    <col min="14346" max="14346" width="11.42578125" style="1984" bestFit="1" customWidth="1"/>
    <col min="14347" max="14347" width="5.42578125" style="1984" customWidth="1"/>
    <col min="14348" max="14348" width="11.28515625" style="1984" bestFit="1" customWidth="1"/>
    <col min="14349" max="14349" width="11.85546875" style="1984" customWidth="1"/>
    <col min="14350" max="14350" width="12.140625" style="1984" bestFit="1" customWidth="1"/>
    <col min="14351" max="14351" width="4.28515625" style="1984" bestFit="1" customWidth="1"/>
    <col min="14352" max="14352" width="12.85546875" style="1984" bestFit="1" customWidth="1"/>
    <col min="14353" max="14353" width="4.140625" style="1984" customWidth="1"/>
    <col min="14354" max="14354" width="11" style="1984" bestFit="1" customWidth="1"/>
    <col min="14355" max="14355" width="28" style="1984" customWidth="1"/>
    <col min="14356" max="14356" width="11.28515625" style="1984" bestFit="1" customWidth="1"/>
    <col min="14357" max="14359" width="14.85546875" style="1984" bestFit="1" customWidth="1"/>
    <col min="14360" max="14360" width="15.28515625" style="1984" bestFit="1" customWidth="1"/>
    <col min="14361" max="14592" width="37.5703125" style="1984"/>
    <col min="14593" max="14593" width="14.7109375" style="1984" customWidth="1"/>
    <col min="14594" max="14594" width="42.85546875" style="1984" customWidth="1"/>
    <col min="14595" max="14595" width="14.140625" style="1984" customWidth="1"/>
    <col min="14596" max="14596" width="11.5703125" style="1984" bestFit="1" customWidth="1"/>
    <col min="14597" max="14597" width="2.5703125" style="1984" customWidth="1"/>
    <col min="14598" max="14598" width="11.5703125" style="1984" bestFit="1" customWidth="1"/>
    <col min="14599" max="14599" width="2.85546875" style="1984" customWidth="1"/>
    <col min="14600" max="14600" width="13.140625" style="1984" customWidth="1"/>
    <col min="14601" max="14601" width="4.28515625" style="1984" customWidth="1"/>
    <col min="14602" max="14602" width="11.42578125" style="1984" bestFit="1" customWidth="1"/>
    <col min="14603" max="14603" width="5.42578125" style="1984" customWidth="1"/>
    <col min="14604" max="14604" width="11.28515625" style="1984" bestFit="1" customWidth="1"/>
    <col min="14605" max="14605" width="11.85546875" style="1984" customWidth="1"/>
    <col min="14606" max="14606" width="12.140625" style="1984" bestFit="1" customWidth="1"/>
    <col min="14607" max="14607" width="4.28515625" style="1984" bestFit="1" customWidth="1"/>
    <col min="14608" max="14608" width="12.85546875" style="1984" bestFit="1" customWidth="1"/>
    <col min="14609" max="14609" width="4.140625" style="1984" customWidth="1"/>
    <col min="14610" max="14610" width="11" style="1984" bestFit="1" customWidth="1"/>
    <col min="14611" max="14611" width="28" style="1984" customWidth="1"/>
    <col min="14612" max="14612" width="11.28515625" style="1984" bestFit="1" customWidth="1"/>
    <col min="14613" max="14615" width="14.85546875" style="1984" bestFit="1" customWidth="1"/>
    <col min="14616" max="14616" width="15.28515625" style="1984" bestFit="1" customWidth="1"/>
    <col min="14617" max="14848" width="37.5703125" style="1984"/>
    <col min="14849" max="14849" width="14.7109375" style="1984" customWidth="1"/>
    <col min="14850" max="14850" width="42.85546875" style="1984" customWidth="1"/>
    <col min="14851" max="14851" width="14.140625" style="1984" customWidth="1"/>
    <col min="14852" max="14852" width="11.5703125" style="1984" bestFit="1" customWidth="1"/>
    <col min="14853" max="14853" width="2.5703125" style="1984" customWidth="1"/>
    <col min="14854" max="14854" width="11.5703125" style="1984" bestFit="1" customWidth="1"/>
    <col min="14855" max="14855" width="2.85546875" style="1984" customWidth="1"/>
    <col min="14856" max="14856" width="13.140625" style="1984" customWidth="1"/>
    <col min="14857" max="14857" width="4.28515625" style="1984" customWidth="1"/>
    <col min="14858" max="14858" width="11.42578125" style="1984" bestFit="1" customWidth="1"/>
    <col min="14859" max="14859" width="5.42578125" style="1984" customWidth="1"/>
    <col min="14860" max="14860" width="11.28515625" style="1984" bestFit="1" customWidth="1"/>
    <col min="14861" max="14861" width="11.85546875" style="1984" customWidth="1"/>
    <col min="14862" max="14862" width="12.140625" style="1984" bestFit="1" customWidth="1"/>
    <col min="14863" max="14863" width="4.28515625" style="1984" bestFit="1" customWidth="1"/>
    <col min="14864" max="14864" width="12.85546875" style="1984" bestFit="1" customWidth="1"/>
    <col min="14865" max="14865" width="4.140625" style="1984" customWidth="1"/>
    <col min="14866" max="14866" width="11" style="1984" bestFit="1" customWidth="1"/>
    <col min="14867" max="14867" width="28" style="1984" customWidth="1"/>
    <col min="14868" max="14868" width="11.28515625" style="1984" bestFit="1" customWidth="1"/>
    <col min="14869" max="14871" width="14.85546875" style="1984" bestFit="1" customWidth="1"/>
    <col min="14872" max="14872" width="15.28515625" style="1984" bestFit="1" customWidth="1"/>
    <col min="14873" max="15104" width="37.5703125" style="1984"/>
    <col min="15105" max="15105" width="14.7109375" style="1984" customWidth="1"/>
    <col min="15106" max="15106" width="42.85546875" style="1984" customWidth="1"/>
    <col min="15107" max="15107" width="14.140625" style="1984" customWidth="1"/>
    <col min="15108" max="15108" width="11.5703125" style="1984" bestFit="1" customWidth="1"/>
    <col min="15109" max="15109" width="2.5703125" style="1984" customWidth="1"/>
    <col min="15110" max="15110" width="11.5703125" style="1984" bestFit="1" customWidth="1"/>
    <col min="15111" max="15111" width="2.85546875" style="1984" customWidth="1"/>
    <col min="15112" max="15112" width="13.140625" style="1984" customWidth="1"/>
    <col min="15113" max="15113" width="4.28515625" style="1984" customWidth="1"/>
    <col min="15114" max="15114" width="11.42578125" style="1984" bestFit="1" customWidth="1"/>
    <col min="15115" max="15115" width="5.42578125" style="1984" customWidth="1"/>
    <col min="15116" max="15116" width="11.28515625" style="1984" bestFit="1" customWidth="1"/>
    <col min="15117" max="15117" width="11.85546875" style="1984" customWidth="1"/>
    <col min="15118" max="15118" width="12.140625" style="1984" bestFit="1" customWidth="1"/>
    <col min="15119" max="15119" width="4.28515625" style="1984" bestFit="1" customWidth="1"/>
    <col min="15120" max="15120" width="12.85546875" style="1984" bestFit="1" customWidth="1"/>
    <col min="15121" max="15121" width="4.140625" style="1984" customWidth="1"/>
    <col min="15122" max="15122" width="11" style="1984" bestFit="1" customWidth="1"/>
    <col min="15123" max="15123" width="28" style="1984" customWidth="1"/>
    <col min="15124" max="15124" width="11.28515625" style="1984" bestFit="1" customWidth="1"/>
    <col min="15125" max="15127" width="14.85546875" style="1984" bestFit="1" customWidth="1"/>
    <col min="15128" max="15128" width="15.28515625" style="1984" bestFit="1" customWidth="1"/>
    <col min="15129" max="15360" width="37.5703125" style="1984"/>
    <col min="15361" max="15361" width="14.7109375" style="1984" customWidth="1"/>
    <col min="15362" max="15362" width="42.85546875" style="1984" customWidth="1"/>
    <col min="15363" max="15363" width="14.140625" style="1984" customWidth="1"/>
    <col min="15364" max="15364" width="11.5703125" style="1984" bestFit="1" customWidth="1"/>
    <col min="15365" max="15365" width="2.5703125" style="1984" customWidth="1"/>
    <col min="15366" max="15366" width="11.5703125" style="1984" bestFit="1" customWidth="1"/>
    <col min="15367" max="15367" width="2.85546875" style="1984" customWidth="1"/>
    <col min="15368" max="15368" width="13.140625" style="1984" customWidth="1"/>
    <col min="15369" max="15369" width="4.28515625" style="1984" customWidth="1"/>
    <col min="15370" max="15370" width="11.42578125" style="1984" bestFit="1" customWidth="1"/>
    <col min="15371" max="15371" width="5.42578125" style="1984" customWidth="1"/>
    <col min="15372" max="15372" width="11.28515625" style="1984" bestFit="1" customWidth="1"/>
    <col min="15373" max="15373" width="11.85546875" style="1984" customWidth="1"/>
    <col min="15374" max="15374" width="12.140625" style="1984" bestFit="1" customWidth="1"/>
    <col min="15375" max="15375" width="4.28515625" style="1984" bestFit="1" customWidth="1"/>
    <col min="15376" max="15376" width="12.85546875" style="1984" bestFit="1" customWidth="1"/>
    <col min="15377" max="15377" width="4.140625" style="1984" customWidth="1"/>
    <col min="15378" max="15378" width="11" style="1984" bestFit="1" customWidth="1"/>
    <col min="15379" max="15379" width="28" style="1984" customWidth="1"/>
    <col min="15380" max="15380" width="11.28515625" style="1984" bestFit="1" customWidth="1"/>
    <col min="15381" max="15383" width="14.85546875" style="1984" bestFit="1" customWidth="1"/>
    <col min="15384" max="15384" width="15.28515625" style="1984" bestFit="1" customWidth="1"/>
    <col min="15385" max="15616" width="37.5703125" style="1984"/>
    <col min="15617" max="15617" width="14.7109375" style="1984" customWidth="1"/>
    <col min="15618" max="15618" width="42.85546875" style="1984" customWidth="1"/>
    <col min="15619" max="15619" width="14.140625" style="1984" customWidth="1"/>
    <col min="15620" max="15620" width="11.5703125" style="1984" bestFit="1" customWidth="1"/>
    <col min="15621" max="15621" width="2.5703125" style="1984" customWidth="1"/>
    <col min="15622" max="15622" width="11.5703125" style="1984" bestFit="1" customWidth="1"/>
    <col min="15623" max="15623" width="2.85546875" style="1984" customWidth="1"/>
    <col min="15624" max="15624" width="13.140625" style="1984" customWidth="1"/>
    <col min="15625" max="15625" width="4.28515625" style="1984" customWidth="1"/>
    <col min="15626" max="15626" width="11.42578125" style="1984" bestFit="1" customWidth="1"/>
    <col min="15627" max="15627" width="5.42578125" style="1984" customWidth="1"/>
    <col min="15628" max="15628" width="11.28515625" style="1984" bestFit="1" customWidth="1"/>
    <col min="15629" max="15629" width="11.85546875" style="1984" customWidth="1"/>
    <col min="15630" max="15630" width="12.140625" style="1984" bestFit="1" customWidth="1"/>
    <col min="15631" max="15631" width="4.28515625" style="1984" bestFit="1" customWidth="1"/>
    <col min="15632" max="15632" width="12.85546875" style="1984" bestFit="1" customWidth="1"/>
    <col min="15633" max="15633" width="4.140625" style="1984" customWidth="1"/>
    <col min="15634" max="15634" width="11" style="1984" bestFit="1" customWidth="1"/>
    <col min="15635" max="15635" width="28" style="1984" customWidth="1"/>
    <col min="15636" max="15636" width="11.28515625" style="1984" bestFit="1" customWidth="1"/>
    <col min="15637" max="15639" width="14.85546875" style="1984" bestFit="1" customWidth="1"/>
    <col min="15640" max="15640" width="15.28515625" style="1984" bestFit="1" customWidth="1"/>
    <col min="15641" max="15872" width="37.5703125" style="1984"/>
    <col min="15873" max="15873" width="14.7109375" style="1984" customWidth="1"/>
    <col min="15874" max="15874" width="42.85546875" style="1984" customWidth="1"/>
    <col min="15875" max="15875" width="14.140625" style="1984" customWidth="1"/>
    <col min="15876" max="15876" width="11.5703125" style="1984" bestFit="1" customWidth="1"/>
    <col min="15877" max="15877" width="2.5703125" style="1984" customWidth="1"/>
    <col min="15878" max="15878" width="11.5703125" style="1984" bestFit="1" customWidth="1"/>
    <col min="15879" max="15879" width="2.85546875" style="1984" customWidth="1"/>
    <col min="15880" max="15880" width="13.140625" style="1984" customWidth="1"/>
    <col min="15881" max="15881" width="4.28515625" style="1984" customWidth="1"/>
    <col min="15882" max="15882" width="11.42578125" style="1984" bestFit="1" customWidth="1"/>
    <col min="15883" max="15883" width="5.42578125" style="1984" customWidth="1"/>
    <col min="15884" max="15884" width="11.28515625" style="1984" bestFit="1" customWidth="1"/>
    <col min="15885" max="15885" width="11.85546875" style="1984" customWidth="1"/>
    <col min="15886" max="15886" width="12.140625" style="1984" bestFit="1" customWidth="1"/>
    <col min="15887" max="15887" width="4.28515625" style="1984" bestFit="1" customWidth="1"/>
    <col min="15888" max="15888" width="12.85546875" style="1984" bestFit="1" customWidth="1"/>
    <col min="15889" max="15889" width="4.140625" style="1984" customWidth="1"/>
    <col min="15890" max="15890" width="11" style="1984" bestFit="1" customWidth="1"/>
    <col min="15891" max="15891" width="28" style="1984" customWidth="1"/>
    <col min="15892" max="15892" width="11.28515625" style="1984" bestFit="1" customWidth="1"/>
    <col min="15893" max="15895" width="14.85546875" style="1984" bestFit="1" customWidth="1"/>
    <col min="15896" max="15896" width="15.28515625" style="1984" bestFit="1" customWidth="1"/>
    <col min="15897" max="16128" width="37.5703125" style="1984"/>
    <col min="16129" max="16129" width="14.7109375" style="1984" customWidth="1"/>
    <col min="16130" max="16130" width="42.85546875" style="1984" customWidth="1"/>
    <col min="16131" max="16131" width="14.140625" style="1984" customWidth="1"/>
    <col min="16132" max="16132" width="11.5703125" style="1984" bestFit="1" customWidth="1"/>
    <col min="16133" max="16133" width="2.5703125" style="1984" customWidth="1"/>
    <col min="16134" max="16134" width="11.5703125" style="1984" bestFit="1" customWidth="1"/>
    <col min="16135" max="16135" width="2.85546875" style="1984" customWidth="1"/>
    <col min="16136" max="16136" width="13.140625" style="1984" customWidth="1"/>
    <col min="16137" max="16137" width="4.28515625" style="1984" customWidth="1"/>
    <col min="16138" max="16138" width="11.42578125" style="1984" bestFit="1" customWidth="1"/>
    <col min="16139" max="16139" width="5.42578125" style="1984" customWidth="1"/>
    <col min="16140" max="16140" width="11.28515625" style="1984" bestFit="1" customWidth="1"/>
    <col min="16141" max="16141" width="11.85546875" style="1984" customWidth="1"/>
    <col min="16142" max="16142" width="12.140625" style="1984" bestFit="1" customWidth="1"/>
    <col min="16143" max="16143" width="4.28515625" style="1984" bestFit="1" customWidth="1"/>
    <col min="16144" max="16144" width="12.85546875" style="1984" bestFit="1" customWidth="1"/>
    <col min="16145" max="16145" width="4.140625" style="1984" customWidth="1"/>
    <col min="16146" max="16146" width="11" style="1984" bestFit="1" customWidth="1"/>
    <col min="16147" max="16147" width="28" style="1984" customWidth="1"/>
    <col min="16148" max="16148" width="11.28515625" style="1984" bestFit="1" customWidth="1"/>
    <col min="16149" max="16151" width="14.85546875" style="1984" bestFit="1" customWidth="1"/>
    <col min="16152" max="16152" width="15.28515625" style="1984" bestFit="1" customWidth="1"/>
    <col min="16153" max="16384" width="37.5703125" style="1984"/>
  </cols>
  <sheetData>
    <row r="1" spans="1:26" ht="15.75" x14ac:dyDescent="0.25">
      <c r="A1" s="2644" t="s">
        <v>2084</v>
      </c>
      <c r="B1" s="2644"/>
      <c r="C1" s="2644"/>
      <c r="D1" s="2644"/>
      <c r="E1" s="2644"/>
      <c r="F1" s="2644"/>
      <c r="G1" s="2644"/>
      <c r="H1" s="2644"/>
      <c r="I1" s="2644"/>
      <c r="J1" s="2644"/>
      <c r="K1" s="2644"/>
      <c r="L1" s="2644"/>
      <c r="M1" s="2644"/>
      <c r="N1" s="2644"/>
      <c r="O1" s="2644"/>
      <c r="P1" s="2644"/>
      <c r="Q1" s="2644"/>
      <c r="R1" s="2644"/>
      <c r="S1" s="2129" t="s">
        <v>2307</v>
      </c>
      <c r="T1" s="2129"/>
      <c r="U1" s="2130"/>
      <c r="V1" s="2131"/>
      <c r="W1" s="2131"/>
      <c r="X1" s="2131"/>
      <c r="Y1" s="1983"/>
    </row>
    <row r="2" spans="1:26" ht="15.75" x14ac:dyDescent="0.2">
      <c r="A2" s="2645" t="s">
        <v>2094</v>
      </c>
      <c r="B2" s="2645"/>
      <c r="C2" s="2645"/>
      <c r="D2" s="2645"/>
      <c r="E2" s="2645"/>
      <c r="F2" s="2645"/>
      <c r="G2" s="2645"/>
      <c r="H2" s="2645"/>
      <c r="I2" s="2645"/>
      <c r="J2" s="2645"/>
      <c r="K2" s="2645"/>
      <c r="L2" s="2645"/>
      <c r="M2" s="2645"/>
      <c r="N2" s="2645"/>
      <c r="O2" s="2645"/>
      <c r="P2" s="2645"/>
      <c r="Q2" s="2645"/>
      <c r="R2" s="2645"/>
      <c r="S2" s="1985" t="s">
        <v>2308</v>
      </c>
      <c r="T2" s="1985"/>
      <c r="U2" s="2132"/>
      <c r="V2" s="1986"/>
      <c r="W2" s="1986"/>
      <c r="X2" s="1987"/>
      <c r="Y2" s="1983"/>
    </row>
    <row r="3" spans="1:26" ht="15.75" x14ac:dyDescent="0.25">
      <c r="A3" s="2646" t="s">
        <v>1281</v>
      </c>
      <c r="B3" s="2646"/>
      <c r="C3" s="2646"/>
      <c r="D3" s="2646"/>
      <c r="E3" s="2646"/>
      <c r="F3" s="2646"/>
      <c r="G3" s="2646"/>
      <c r="H3" s="2646"/>
      <c r="I3" s="2646"/>
      <c r="J3" s="2646"/>
      <c r="K3" s="2646"/>
      <c r="L3" s="2646"/>
      <c r="M3" s="2646"/>
      <c r="N3" s="2646"/>
      <c r="O3" s="2646"/>
      <c r="P3" s="2646"/>
      <c r="Q3" s="2646"/>
      <c r="R3" s="2646"/>
      <c r="S3" s="1988"/>
      <c r="T3" s="1988"/>
      <c r="U3" s="1986"/>
      <c r="V3" s="1986"/>
      <c r="W3" s="1986"/>
      <c r="X3" s="1987"/>
      <c r="Y3" s="1983"/>
      <c r="Z3" s="1984" t="s">
        <v>1231</v>
      </c>
    </row>
    <row r="4" spans="1:26" ht="14.25" x14ac:dyDescent="0.2">
      <c r="A4" s="2647" t="s">
        <v>2154</v>
      </c>
      <c r="B4" s="2647"/>
      <c r="C4" s="2647"/>
      <c r="D4" s="2647"/>
      <c r="E4" s="2647"/>
      <c r="F4" s="2647"/>
      <c r="G4" s="2647"/>
      <c r="H4" s="2647"/>
      <c r="I4" s="2647"/>
      <c r="J4" s="2647"/>
      <c r="K4" s="2647"/>
      <c r="L4" s="2647"/>
      <c r="M4" s="2647"/>
      <c r="N4" s="2647"/>
      <c r="O4" s="2647"/>
      <c r="P4" s="2647"/>
      <c r="Q4" s="2647"/>
      <c r="R4" s="2647"/>
      <c r="S4" s="1988"/>
      <c r="T4" s="1988"/>
      <c r="U4" s="1989"/>
      <c r="V4" s="1989"/>
      <c r="W4" s="1989"/>
      <c r="X4" s="2098"/>
      <c r="Y4" s="2121"/>
      <c r="Z4" s="2098"/>
    </row>
    <row r="5" spans="1:26" x14ac:dyDescent="0.2">
      <c r="A5" s="1990"/>
      <c r="B5" s="1990"/>
      <c r="C5" s="1990"/>
      <c r="D5" s="1990"/>
      <c r="E5" s="1990"/>
      <c r="F5" s="1991"/>
      <c r="G5" s="1983"/>
      <c r="H5" s="1991"/>
      <c r="I5" s="1992"/>
      <c r="J5" s="1991"/>
      <c r="K5" s="1983"/>
      <c r="L5" s="1983"/>
      <c r="M5" s="1983"/>
      <c r="N5" s="1983"/>
      <c r="O5" s="1992"/>
      <c r="P5" s="1983"/>
      <c r="Q5" s="1983"/>
      <c r="R5" s="1983"/>
      <c r="S5" s="2113"/>
      <c r="T5" s="2113"/>
      <c r="U5" s="1989"/>
      <c r="V5" s="1989"/>
      <c r="W5" s="1989"/>
      <c r="X5" s="2098"/>
      <c r="Y5" s="2121"/>
      <c r="Z5" s="2098"/>
    </row>
    <row r="6" spans="1:26" x14ac:dyDescent="0.2">
      <c r="A6" s="1993"/>
      <c r="B6" s="1993"/>
      <c r="C6" s="1993"/>
      <c r="D6" s="1993"/>
      <c r="E6" s="1993"/>
      <c r="F6" s="1994"/>
      <c r="G6" s="1995"/>
      <c r="H6" s="1994"/>
      <c r="I6" s="1993"/>
      <c r="J6" s="1994"/>
      <c r="K6" s="1995"/>
      <c r="L6" s="1995"/>
      <c r="M6" s="1995"/>
      <c r="N6" s="1995"/>
      <c r="O6" s="1993"/>
      <c r="P6" s="1995"/>
      <c r="Q6" s="1995"/>
      <c r="R6" s="1995"/>
      <c r="S6" s="1988"/>
      <c r="T6" s="1988"/>
      <c r="U6" s="1989"/>
      <c r="V6" s="1989"/>
      <c r="W6" s="1989"/>
      <c r="X6" s="2128"/>
      <c r="Y6" s="2121"/>
      <c r="Z6" s="2098"/>
    </row>
    <row r="7" spans="1:26" ht="15" x14ac:dyDescent="0.35">
      <c r="A7" s="1997"/>
      <c r="B7" s="1998"/>
      <c r="C7" s="1999"/>
      <c r="D7" s="1997" t="s">
        <v>2155</v>
      </c>
      <c r="E7" s="1997"/>
      <c r="F7" s="2648" t="s">
        <v>2156</v>
      </c>
      <c r="G7" s="2648"/>
      <c r="H7" s="2648"/>
      <c r="I7" s="1997"/>
      <c r="J7" s="2648" t="s">
        <v>2157</v>
      </c>
      <c r="K7" s="2648"/>
      <c r="L7" s="2648"/>
      <c r="M7" s="1999"/>
      <c r="N7" s="1999"/>
      <c r="O7" s="1997"/>
      <c r="P7" s="1999"/>
      <c r="Q7" s="1999"/>
      <c r="R7" s="1999"/>
      <c r="S7" s="2642"/>
      <c r="T7" s="2642"/>
      <c r="U7" s="2642"/>
      <c r="V7" s="2642"/>
      <c r="W7" s="2642"/>
      <c r="X7" s="2136"/>
      <c r="Y7" s="2121"/>
      <c r="Z7" s="2098"/>
    </row>
    <row r="8" spans="1:26" ht="15" x14ac:dyDescent="0.35">
      <c r="B8" s="2001"/>
      <c r="C8" s="2000" t="s">
        <v>1326</v>
      </c>
      <c r="D8" s="2000" t="s">
        <v>2158</v>
      </c>
      <c r="E8" s="2000"/>
      <c r="F8" s="2000" t="s">
        <v>2159</v>
      </c>
      <c r="G8" s="1996"/>
      <c r="H8" s="2002" t="s">
        <v>2160</v>
      </c>
      <c r="I8" s="2003"/>
      <c r="J8" s="2003" t="s">
        <v>2161</v>
      </c>
      <c r="K8" s="1986"/>
      <c r="L8" s="2002" t="str">
        <f>+H8</f>
        <v>7/01/17</v>
      </c>
      <c r="M8" s="1996"/>
      <c r="N8" s="2000" t="s">
        <v>1323</v>
      </c>
      <c r="O8" s="2000"/>
      <c r="P8" s="2000" t="s">
        <v>2162</v>
      </c>
      <c r="Q8" s="1996"/>
      <c r="R8" s="2001" t="s">
        <v>1231</v>
      </c>
      <c r="S8" s="2643"/>
      <c r="T8" s="2643"/>
      <c r="U8" s="2643"/>
      <c r="V8" s="2126"/>
      <c r="W8" s="2126"/>
      <c r="X8" s="2114"/>
      <c r="Y8" s="2121"/>
      <c r="Z8" s="2098"/>
    </row>
    <row r="9" spans="1:26" x14ac:dyDescent="0.2">
      <c r="A9" s="2001" t="s">
        <v>2163</v>
      </c>
      <c r="B9" s="2001"/>
      <c r="C9" s="2000" t="s">
        <v>2164</v>
      </c>
      <c r="D9" s="2000" t="s">
        <v>2164</v>
      </c>
      <c r="E9" s="2000"/>
      <c r="F9" s="2004" t="s">
        <v>2165</v>
      </c>
      <c r="G9" s="1996"/>
      <c r="H9" s="2005" t="s">
        <v>2166</v>
      </c>
      <c r="I9" s="2003"/>
      <c r="J9" s="2006" t="str">
        <f>+F9</f>
        <v>6/30/17</v>
      </c>
      <c r="K9" s="1986"/>
      <c r="L9" s="2006" t="str">
        <f>+H9</f>
        <v>6/30/18</v>
      </c>
      <c r="M9" s="1996"/>
      <c r="N9" s="2000" t="s">
        <v>2167</v>
      </c>
      <c r="O9" s="2000"/>
      <c r="P9" s="2000" t="s">
        <v>1319</v>
      </c>
      <c r="Q9" s="1996"/>
      <c r="R9" s="2000" t="s">
        <v>30</v>
      </c>
      <c r="S9" s="2115"/>
      <c r="T9" s="2115"/>
      <c r="U9" s="2127"/>
      <c r="V9" s="2127"/>
      <c r="W9" s="2127"/>
      <c r="X9" s="2128"/>
      <c r="Y9" s="2121"/>
      <c r="Z9" s="2098"/>
    </row>
    <row r="10" spans="1:26" ht="15" x14ac:dyDescent="0.35">
      <c r="A10" s="2007" t="s">
        <v>2168</v>
      </c>
      <c r="B10" s="1996"/>
      <c r="C10" s="2008" t="s">
        <v>2169</v>
      </c>
      <c r="D10" s="2008" t="s">
        <v>2170</v>
      </c>
      <c r="E10" s="2000"/>
      <c r="F10" s="2009" t="s">
        <v>2171</v>
      </c>
      <c r="G10" s="2010"/>
      <c r="H10" s="2011" t="s">
        <v>2172</v>
      </c>
      <c r="I10" s="2012"/>
      <c r="J10" s="2011" t="s">
        <v>2173</v>
      </c>
      <c r="K10" s="2013"/>
      <c r="L10" s="2011" t="s">
        <v>2174</v>
      </c>
      <c r="M10" s="2010"/>
      <c r="N10" s="2009" t="s">
        <v>2175</v>
      </c>
      <c r="O10" s="2014"/>
      <c r="P10" s="2009" t="s">
        <v>2176</v>
      </c>
      <c r="Q10" s="2010"/>
      <c r="R10" s="2009" t="s">
        <v>2177</v>
      </c>
      <c r="S10" s="2116"/>
      <c r="T10" s="2116"/>
      <c r="U10" s="2117"/>
      <c r="V10" s="2117"/>
      <c r="W10" s="2117"/>
      <c r="X10" s="2137"/>
      <c r="Y10" s="2121"/>
      <c r="Z10" s="2098"/>
    </row>
    <row r="11" spans="1:26" x14ac:dyDescent="0.2">
      <c r="A11" s="2015"/>
      <c r="B11" s="1996"/>
      <c r="C11" s="2008"/>
      <c r="D11" s="2008"/>
      <c r="E11" s="2000"/>
      <c r="F11" s="2009"/>
      <c r="G11" s="2010"/>
      <c r="H11" s="2009"/>
      <c r="I11" s="2014"/>
      <c r="J11" s="2009"/>
      <c r="K11" s="2010"/>
      <c r="L11" s="2009"/>
      <c r="M11" s="2010"/>
      <c r="N11" s="2009"/>
      <c r="O11" s="2014"/>
      <c r="P11" s="2016"/>
      <c r="Q11" s="2010"/>
      <c r="R11" s="2009"/>
      <c r="S11" s="2116"/>
      <c r="T11" s="2116"/>
      <c r="U11" s="1989"/>
      <c r="V11" s="1989"/>
      <c r="W11" s="1989"/>
      <c r="X11" s="1989"/>
      <c r="Y11" s="2121"/>
      <c r="Z11" s="2098"/>
    </row>
    <row r="12" spans="1:26" x14ac:dyDescent="0.2">
      <c r="A12" s="2017" t="s">
        <v>2178</v>
      </c>
      <c r="B12" s="1996"/>
      <c r="C12" s="2008"/>
      <c r="D12" s="2008"/>
      <c r="E12" s="2003"/>
      <c r="F12" s="2018"/>
      <c r="G12" s="2013"/>
      <c r="H12" s="2011"/>
      <c r="I12" s="2012"/>
      <c r="J12" s="2011"/>
      <c r="K12" s="2013"/>
      <c r="L12" s="2011"/>
      <c r="M12" s="2010"/>
      <c r="N12" s="2009"/>
      <c r="O12" s="2014"/>
      <c r="P12" s="2016"/>
      <c r="Q12" s="2010"/>
      <c r="R12" s="2009"/>
      <c r="S12" s="2116"/>
      <c r="T12" s="2116"/>
      <c r="U12" s="1989"/>
      <c r="V12" s="2042"/>
      <c r="W12" s="2042"/>
      <c r="X12" s="1989"/>
      <c r="Y12" s="2121"/>
      <c r="Z12" s="2098"/>
    </row>
    <row r="13" spans="1:26" x14ac:dyDescent="0.2">
      <c r="A13" s="2017" t="s">
        <v>2179</v>
      </c>
      <c r="B13" s="1996"/>
      <c r="C13" s="2008"/>
      <c r="D13" s="2008"/>
      <c r="E13" s="2003"/>
      <c r="F13" s="2018" t="s">
        <v>1231</v>
      </c>
      <c r="G13" s="2013"/>
      <c r="H13" s="2011"/>
      <c r="I13" s="2012"/>
      <c r="J13" s="2011"/>
      <c r="K13" s="2013"/>
      <c r="L13" s="2011"/>
      <c r="M13" s="2010"/>
      <c r="N13" s="2009"/>
      <c r="O13" s="2014"/>
      <c r="P13" s="2016"/>
      <c r="Q13" s="2010"/>
      <c r="R13" s="2009"/>
      <c r="S13" s="2116"/>
      <c r="T13" s="2116"/>
      <c r="U13" s="1989"/>
      <c r="V13" s="2042"/>
      <c r="W13" s="2042"/>
      <c r="X13" s="1989"/>
      <c r="Y13" s="2121"/>
      <c r="Z13" s="2098"/>
    </row>
    <row r="14" spans="1:26" x14ac:dyDescent="0.2">
      <c r="A14" s="2019" t="s">
        <v>2180</v>
      </c>
      <c r="B14" s="1996"/>
      <c r="C14" s="2008"/>
      <c r="D14" s="2008"/>
      <c r="E14" s="2003"/>
      <c r="F14" s="2011"/>
      <c r="G14" s="2013"/>
      <c r="H14" s="2011"/>
      <c r="I14" s="2012"/>
      <c r="J14" s="2011"/>
      <c r="K14" s="2013"/>
      <c r="L14" s="2011"/>
      <c r="M14" s="2010"/>
      <c r="N14" s="2009"/>
      <c r="O14" s="2014"/>
      <c r="P14" s="2016"/>
      <c r="Q14" s="2010"/>
      <c r="R14" s="2009"/>
      <c r="S14" s="2118"/>
      <c r="T14" s="2118"/>
      <c r="U14" s="1989"/>
      <c r="V14" s="2042"/>
      <c r="W14" s="2042"/>
      <c r="X14" s="1989"/>
      <c r="Y14" s="2121"/>
      <c r="Z14" s="2098"/>
    </row>
    <row r="15" spans="1:26" x14ac:dyDescent="0.2">
      <c r="B15" s="1996"/>
      <c r="C15" s="1996"/>
      <c r="D15" s="1986"/>
      <c r="E15" s="2003"/>
      <c r="F15" s="1986"/>
      <c r="G15" s="1986"/>
      <c r="H15" s="1986"/>
      <c r="I15" s="2003"/>
      <c r="J15" s="1986"/>
      <c r="K15" s="1986"/>
      <c r="L15" s="1986"/>
      <c r="M15" s="1996"/>
      <c r="N15" s="1996"/>
      <c r="O15" s="2000"/>
      <c r="P15" s="2020"/>
      <c r="Q15" s="1996"/>
      <c r="R15" s="1996"/>
      <c r="S15" s="1988"/>
      <c r="T15" s="1988"/>
      <c r="U15" s="1989"/>
      <c r="V15" s="2042"/>
      <c r="W15" s="2042"/>
      <c r="X15" s="1989"/>
      <c r="Y15" s="2121"/>
      <c r="Z15" s="2098"/>
    </row>
    <row r="16" spans="1:26" x14ac:dyDescent="0.2">
      <c r="A16" s="2021" t="s">
        <v>1231</v>
      </c>
      <c r="B16" s="2001" t="s">
        <v>1119</v>
      </c>
      <c r="C16" s="2022">
        <v>10.553000000000001</v>
      </c>
      <c r="D16" s="2003" t="s">
        <v>2181</v>
      </c>
      <c r="E16" s="2003"/>
      <c r="F16" s="2023">
        <v>6316</v>
      </c>
      <c r="G16" s="2023"/>
      <c r="H16" s="2023">
        <v>1292</v>
      </c>
      <c r="I16" s="2024"/>
      <c r="J16" s="2023">
        <v>6316</v>
      </c>
      <c r="K16" s="2023"/>
      <c r="L16" s="2023">
        <v>1292</v>
      </c>
      <c r="M16" s="2023"/>
      <c r="N16" s="2023"/>
      <c r="O16" s="2024"/>
      <c r="P16" s="2025">
        <f>J16+L16+N16</f>
        <v>7608</v>
      </c>
      <c r="Q16" s="2023"/>
      <c r="R16" s="2026" t="s">
        <v>2182</v>
      </c>
      <c r="S16" s="2049"/>
      <c r="T16" s="2049"/>
      <c r="U16" s="1989"/>
      <c r="V16" s="2042"/>
      <c r="W16" s="2042"/>
      <c r="X16" s="1989"/>
      <c r="Y16" s="2121"/>
      <c r="Z16" s="2098"/>
    </row>
    <row r="17" spans="1:26" x14ac:dyDescent="0.2">
      <c r="A17" s="2021" t="s">
        <v>2183</v>
      </c>
      <c r="B17" s="2001" t="s">
        <v>1119</v>
      </c>
      <c r="C17" s="2022">
        <v>10.553000000000001</v>
      </c>
      <c r="D17" s="2003" t="s">
        <v>2184</v>
      </c>
      <c r="E17" s="2003"/>
      <c r="F17" s="2023"/>
      <c r="G17" s="2023"/>
      <c r="H17" s="2023">
        <v>7157</v>
      </c>
      <c r="I17" s="2024"/>
      <c r="J17" s="2023"/>
      <c r="K17" s="2023"/>
      <c r="L17" s="2023">
        <v>7157</v>
      </c>
      <c r="M17" s="2023"/>
      <c r="N17" s="2023"/>
      <c r="O17" s="2027" t="s">
        <v>2185</v>
      </c>
      <c r="P17" s="2025">
        <f>J17+L17+N17</f>
        <v>7157</v>
      </c>
      <c r="Q17" s="2023"/>
      <c r="R17" s="2026" t="s">
        <v>2182</v>
      </c>
      <c r="S17" s="2049"/>
      <c r="T17" s="2049"/>
      <c r="U17" s="1989"/>
      <c r="V17" s="2042"/>
      <c r="W17" s="2042"/>
      <c r="X17" s="1989"/>
      <c r="Y17" s="2121"/>
      <c r="Z17" s="2098"/>
    </row>
    <row r="18" spans="1:26" x14ac:dyDescent="0.2">
      <c r="A18" s="2028"/>
      <c r="B18" s="2001"/>
      <c r="C18" s="2022" t="s">
        <v>2186</v>
      </c>
      <c r="D18" s="2000"/>
      <c r="E18" s="2003"/>
      <c r="F18" s="2023"/>
      <c r="G18" s="2023"/>
      <c r="H18" s="2023"/>
      <c r="I18" s="2024"/>
      <c r="J18" s="2023"/>
      <c r="K18" s="2023"/>
      <c r="L18" s="2023"/>
      <c r="M18" s="2023"/>
      <c r="N18" s="2023"/>
      <c r="O18" s="2024"/>
      <c r="P18" s="2025"/>
      <c r="Q18" s="2023"/>
      <c r="R18" s="2026"/>
      <c r="S18" s="2049"/>
      <c r="T18" s="2049"/>
      <c r="U18" s="1989"/>
      <c r="V18" s="2042"/>
      <c r="W18" s="2042"/>
      <c r="X18" s="1989"/>
      <c r="Y18" s="2121"/>
      <c r="Z18" s="2098"/>
    </row>
    <row r="19" spans="1:26" x14ac:dyDescent="0.2">
      <c r="A19" s="2028"/>
      <c r="B19" s="2001" t="s">
        <v>1118</v>
      </c>
      <c r="C19" s="2022">
        <v>10.555</v>
      </c>
      <c r="D19" s="2003" t="s">
        <v>2187</v>
      </c>
      <c r="E19" s="2003"/>
      <c r="F19" s="2023">
        <v>128086</v>
      </c>
      <c r="G19" s="2023"/>
      <c r="H19" s="2023">
        <v>30682</v>
      </c>
      <c r="I19" s="2024"/>
      <c r="J19" s="2023">
        <v>128086</v>
      </c>
      <c r="K19" s="2023"/>
      <c r="L19" s="2023">
        <v>30682</v>
      </c>
      <c r="M19" s="2023"/>
      <c r="N19" s="2023"/>
      <c r="O19" s="2024"/>
      <c r="P19" s="2025">
        <f>J19+L19+N19</f>
        <v>158768</v>
      </c>
      <c r="Q19" s="2023"/>
      <c r="R19" s="2026" t="s">
        <v>2182</v>
      </c>
      <c r="S19" s="2049"/>
      <c r="T19" s="2049"/>
      <c r="U19" s="1989"/>
      <c r="V19" s="2042"/>
      <c r="W19" s="2042"/>
      <c r="X19" s="1989"/>
      <c r="Y19" s="2121"/>
      <c r="Z19" s="2098"/>
    </row>
    <row r="20" spans="1:26" x14ac:dyDescent="0.2">
      <c r="A20" s="2021"/>
      <c r="B20" s="2001" t="s">
        <v>1118</v>
      </c>
      <c r="C20" s="2022">
        <v>10.555</v>
      </c>
      <c r="D20" s="2003" t="s">
        <v>2188</v>
      </c>
      <c r="E20" s="2003"/>
      <c r="F20" s="2023"/>
      <c r="G20" s="2023"/>
      <c r="H20" s="2023">
        <v>128583</v>
      </c>
      <c r="I20" s="2024"/>
      <c r="J20" s="2023"/>
      <c r="K20" s="2023"/>
      <c r="L20" s="2023">
        <v>128583</v>
      </c>
      <c r="M20" s="2023"/>
      <c r="N20" s="2023"/>
      <c r="O20" s="2027" t="s">
        <v>2185</v>
      </c>
      <c r="P20" s="2025">
        <f>J20+L20+N20</f>
        <v>128583</v>
      </c>
      <c r="Q20" s="2023"/>
      <c r="R20" s="2026" t="s">
        <v>2182</v>
      </c>
      <c r="S20" s="2049"/>
      <c r="T20" s="2049"/>
      <c r="U20" s="1989"/>
      <c r="V20" s="2042"/>
      <c r="W20" s="2042"/>
      <c r="X20" s="1989"/>
      <c r="Y20" s="2121"/>
      <c r="Z20" s="2098"/>
    </row>
    <row r="21" spans="1:26" x14ac:dyDescent="0.2">
      <c r="A21" s="2021"/>
      <c r="B21" s="2001"/>
      <c r="C21" s="2022"/>
      <c r="D21" s="2000"/>
      <c r="E21" s="2003"/>
      <c r="F21" s="2023"/>
      <c r="G21" s="2023"/>
      <c r="H21" s="2023"/>
      <c r="I21" s="2024"/>
      <c r="J21" s="2023"/>
      <c r="K21" s="2023"/>
      <c r="L21" s="2023"/>
      <c r="M21" s="2023"/>
      <c r="N21" s="2023"/>
      <c r="O21" s="2024"/>
      <c r="P21" s="2025"/>
      <c r="Q21" s="2023"/>
      <c r="R21" s="2026" t="s">
        <v>1231</v>
      </c>
      <c r="S21" s="2049"/>
      <c r="T21" s="2049"/>
      <c r="U21" s="1989"/>
      <c r="V21" s="2042"/>
      <c r="W21" s="2042"/>
      <c r="X21" s="1989"/>
      <c r="Y21" s="2121"/>
      <c r="Z21" s="2098"/>
    </row>
    <row r="22" spans="1:26" x14ac:dyDescent="0.2">
      <c r="A22" s="2021" t="s">
        <v>1231</v>
      </c>
      <c r="B22" s="2001" t="s">
        <v>2189</v>
      </c>
      <c r="C22" s="2022">
        <v>10.555</v>
      </c>
      <c r="D22" s="2003" t="s">
        <v>2190</v>
      </c>
      <c r="E22" s="2003"/>
      <c r="F22" s="2023"/>
      <c r="G22" s="2023"/>
      <c r="H22" s="2023"/>
      <c r="I22" s="2024"/>
      <c r="J22" s="2023">
        <v>31290</v>
      </c>
      <c r="K22" s="2023"/>
      <c r="L22" s="2023"/>
      <c r="M22" s="2023"/>
      <c r="N22" s="2023"/>
      <c r="O22" s="2024"/>
      <c r="P22" s="2025">
        <f>J22+L22+N22</f>
        <v>31290</v>
      </c>
      <c r="Q22" s="2023"/>
      <c r="R22" s="2026" t="s">
        <v>2182</v>
      </c>
      <c r="S22" s="2049"/>
      <c r="T22" s="2049"/>
      <c r="U22" s="1989"/>
      <c r="V22" s="2042"/>
      <c r="W22" s="2042"/>
      <c r="X22" s="1989"/>
      <c r="Y22" s="2121"/>
      <c r="Z22" s="2098"/>
    </row>
    <row r="23" spans="1:26" x14ac:dyDescent="0.2">
      <c r="A23" s="2021" t="s">
        <v>1231</v>
      </c>
      <c r="B23" s="2001" t="s">
        <v>2189</v>
      </c>
      <c r="C23" s="2022">
        <v>10.555</v>
      </c>
      <c r="D23" s="2003" t="s">
        <v>2191</v>
      </c>
      <c r="E23" s="2003"/>
      <c r="F23" s="2023">
        <v>0</v>
      </c>
      <c r="G23" s="2023"/>
      <c r="H23" s="2023"/>
      <c r="I23" s="2024"/>
      <c r="J23" s="2023"/>
      <c r="K23" s="2023"/>
      <c r="L23" s="2023">
        <v>27142</v>
      </c>
      <c r="M23" s="2029"/>
      <c r="N23" s="2023"/>
      <c r="O23" s="2027" t="s">
        <v>2192</v>
      </c>
      <c r="P23" s="2025">
        <f>J23+L23+N23</f>
        <v>27142</v>
      </c>
      <c r="Q23" s="2023"/>
      <c r="R23" s="2026" t="s">
        <v>2182</v>
      </c>
      <c r="S23" s="2049"/>
      <c r="T23" s="2049"/>
      <c r="U23" s="1989"/>
      <c r="V23" s="2042"/>
      <c r="W23" s="2042"/>
      <c r="X23" s="1989"/>
      <c r="Y23" s="2121"/>
      <c r="Z23" s="2098"/>
    </row>
    <row r="24" spans="1:26" x14ac:dyDescent="0.2">
      <c r="A24" s="2028"/>
      <c r="B24" s="2001"/>
      <c r="C24" s="2022"/>
      <c r="D24" s="2003"/>
      <c r="E24" s="2003"/>
      <c r="F24" s="2023"/>
      <c r="G24" s="2023"/>
      <c r="H24" s="2023"/>
      <c r="I24" s="2024"/>
      <c r="J24" s="2023"/>
      <c r="K24" s="2023"/>
      <c r="L24" s="2023">
        <v>0</v>
      </c>
      <c r="M24" s="2023"/>
      <c r="N24" s="2023"/>
      <c r="O24" s="2024"/>
      <c r="P24" s="2025">
        <f>J24+L24+N24</f>
        <v>0</v>
      </c>
      <c r="Q24" s="2023"/>
      <c r="R24" s="2026" t="s">
        <v>1231</v>
      </c>
      <c r="S24" s="2049"/>
      <c r="T24" s="2049"/>
      <c r="U24" s="1989"/>
      <c r="V24" s="2042"/>
      <c r="W24" s="2042"/>
      <c r="X24" s="1989"/>
      <c r="Y24" s="2121"/>
      <c r="Z24" s="2098"/>
    </row>
    <row r="25" spans="1:26" x14ac:dyDescent="0.2">
      <c r="A25" s="2021" t="s">
        <v>1231</v>
      </c>
      <c r="B25" s="2001" t="s">
        <v>2193</v>
      </c>
      <c r="C25" s="2022">
        <v>10.555</v>
      </c>
      <c r="D25" s="2003" t="s">
        <v>2190</v>
      </c>
      <c r="E25" s="2003"/>
      <c r="F25" s="2023">
        <v>0</v>
      </c>
      <c r="G25" s="2023"/>
      <c r="H25" s="2023">
        <v>0</v>
      </c>
      <c r="I25" s="2023"/>
      <c r="J25" s="2023">
        <v>24601</v>
      </c>
      <c r="K25" s="2023"/>
      <c r="L25" s="2023"/>
      <c r="M25" s="2023"/>
      <c r="N25" s="2023">
        <v>0</v>
      </c>
      <c r="O25" s="2023"/>
      <c r="P25" s="2025">
        <f>J25+L25+N25</f>
        <v>24601</v>
      </c>
      <c r="Q25" s="2023" t="s">
        <v>1231</v>
      </c>
      <c r="R25" s="2026" t="s">
        <v>2182</v>
      </c>
      <c r="S25" s="2049"/>
      <c r="T25" s="2049"/>
      <c r="U25" s="1989"/>
      <c r="V25" s="2042"/>
      <c r="W25" s="2042"/>
      <c r="X25" s="1989"/>
      <c r="Y25" s="1989"/>
      <c r="Z25" s="2098"/>
    </row>
    <row r="26" spans="1:26" ht="15" x14ac:dyDescent="0.2">
      <c r="A26" s="2021" t="s">
        <v>1231</v>
      </c>
      <c r="B26" s="2001" t="s">
        <v>2193</v>
      </c>
      <c r="C26" s="2022">
        <v>10.555</v>
      </c>
      <c r="D26" s="2003" t="s">
        <v>2191</v>
      </c>
      <c r="E26" s="2003"/>
      <c r="F26" s="2030">
        <v>0</v>
      </c>
      <c r="G26" s="2023"/>
      <c r="H26" s="2030">
        <v>0</v>
      </c>
      <c r="I26" s="2031"/>
      <c r="J26" s="2030">
        <v>0</v>
      </c>
      <c r="K26" s="2031"/>
      <c r="L26" s="2030">
        <v>24999</v>
      </c>
      <c r="M26" s="2029"/>
      <c r="N26" s="2030">
        <v>0</v>
      </c>
      <c r="O26" s="2027" t="s">
        <v>2192</v>
      </c>
      <c r="P26" s="2032">
        <f>J26+L26+N26</f>
        <v>24999</v>
      </c>
      <c r="Q26" s="2023"/>
      <c r="R26" s="2026" t="s">
        <v>2182</v>
      </c>
      <c r="S26" s="2049"/>
      <c r="T26" s="2049"/>
      <c r="U26" s="1989"/>
      <c r="V26" s="2042"/>
      <c r="W26" s="2042"/>
      <c r="X26" s="1989"/>
      <c r="Y26" s="1989"/>
      <c r="Z26" s="2098"/>
    </row>
    <row r="27" spans="1:26" x14ac:dyDescent="0.15">
      <c r="F27" s="1987"/>
      <c r="G27" s="1987"/>
      <c r="H27" s="1987"/>
      <c r="I27" s="2034"/>
      <c r="J27" s="1987"/>
      <c r="K27" s="1987"/>
      <c r="L27" s="1987"/>
      <c r="M27" s="1987"/>
      <c r="N27" s="1987"/>
      <c r="O27" s="2034"/>
      <c r="P27" s="2035"/>
      <c r="Q27" s="1987"/>
      <c r="R27" s="1987"/>
      <c r="S27" s="2049"/>
      <c r="T27" s="2049"/>
      <c r="U27" s="1989"/>
      <c r="V27" s="2042"/>
      <c r="W27" s="2042"/>
      <c r="X27" s="1989"/>
      <c r="Y27" s="2112"/>
      <c r="Z27" s="2098"/>
    </row>
    <row r="28" spans="1:26" ht="15" x14ac:dyDescent="0.2">
      <c r="A28" s="2017" t="s">
        <v>2194</v>
      </c>
      <c r="B28" s="2001"/>
      <c r="C28" s="2022"/>
      <c r="D28" s="2000"/>
      <c r="E28" s="2000"/>
      <c r="F28" s="2032">
        <f>SUM(F16:F27)</f>
        <v>134402</v>
      </c>
      <c r="G28" s="2032"/>
      <c r="H28" s="2032">
        <f>SUM(H16:H27)</f>
        <v>167714</v>
      </c>
      <c r="I28" s="2032"/>
      <c r="J28" s="2032">
        <f>SUM(J16:J27)</f>
        <v>190293</v>
      </c>
      <c r="K28" s="2032"/>
      <c r="L28" s="2032">
        <f>SUM(L16:L27)</f>
        <v>219855</v>
      </c>
      <c r="M28" s="2032"/>
      <c r="N28" s="2032">
        <f>SUM(N16:N27)</f>
        <v>0</v>
      </c>
      <c r="O28" s="2032"/>
      <c r="P28" s="2032">
        <f>SUM(P16:P27)</f>
        <v>410148</v>
      </c>
      <c r="Q28" s="2023"/>
      <c r="R28" s="2026"/>
      <c r="S28" s="2119"/>
      <c r="T28" s="2119"/>
      <c r="U28" s="1989"/>
      <c r="V28" s="2042"/>
      <c r="W28" s="2042"/>
      <c r="X28" s="1989"/>
      <c r="Y28" s="1989"/>
      <c r="Z28" s="2098"/>
    </row>
    <row r="29" spans="1:26" x14ac:dyDescent="0.2">
      <c r="A29" s="2028"/>
      <c r="B29" s="2001"/>
      <c r="C29" s="2022"/>
      <c r="D29" s="2000"/>
      <c r="E29" s="2000"/>
      <c r="F29" s="2023"/>
      <c r="G29" s="2023"/>
      <c r="H29" s="2023"/>
      <c r="I29" s="2024"/>
      <c r="J29" s="2023"/>
      <c r="K29" s="2023"/>
      <c r="L29" s="2023"/>
      <c r="M29" s="2023"/>
      <c r="N29" s="2023"/>
      <c r="O29" s="2024"/>
      <c r="P29" s="2036"/>
      <c r="Q29" s="2023"/>
      <c r="R29" s="2026"/>
      <c r="S29" s="2049"/>
      <c r="T29" s="2049"/>
      <c r="U29" s="1989"/>
      <c r="V29" s="2042"/>
      <c r="W29" s="2042"/>
      <c r="X29" s="1989"/>
      <c r="Y29" s="2121"/>
      <c r="Z29" s="2098"/>
    </row>
    <row r="30" spans="1:26" x14ac:dyDescent="0.2">
      <c r="A30" s="2017" t="s">
        <v>2195</v>
      </c>
      <c r="B30" s="2001"/>
      <c r="C30" s="2022"/>
      <c r="D30" s="2000"/>
      <c r="E30" s="2000"/>
      <c r="F30" s="2023"/>
      <c r="G30" s="2023"/>
      <c r="H30" s="2023" t="s">
        <v>1231</v>
      </c>
      <c r="I30" s="2024"/>
      <c r="J30" s="2023"/>
      <c r="K30" s="2023"/>
      <c r="L30" s="2023"/>
      <c r="M30" s="2023"/>
      <c r="N30" s="2023"/>
      <c r="O30" s="2024"/>
      <c r="P30" s="2036"/>
      <c r="Q30" s="2023"/>
      <c r="R30" s="2026"/>
      <c r="S30" s="2049"/>
      <c r="T30" s="2049"/>
      <c r="U30" s="1989"/>
      <c r="V30" s="2042"/>
      <c r="W30" s="2042"/>
      <c r="X30" s="1989"/>
      <c r="Y30" s="2121"/>
      <c r="Z30" s="2098"/>
    </row>
    <row r="31" spans="1:26" x14ac:dyDescent="0.2">
      <c r="A31" s="2017" t="s">
        <v>2179</v>
      </c>
      <c r="B31" s="2001"/>
      <c r="C31" s="2022"/>
      <c r="D31" s="2000"/>
      <c r="E31" s="2000"/>
      <c r="F31" s="2023"/>
      <c r="G31" s="2023"/>
      <c r="H31" s="2023"/>
      <c r="I31" s="2024"/>
      <c r="J31" s="2023"/>
      <c r="K31" s="2023"/>
      <c r="L31" s="2023"/>
      <c r="M31" s="2023"/>
      <c r="N31" s="2023"/>
      <c r="O31" s="2024"/>
      <c r="P31" s="2036"/>
      <c r="Q31" s="2023"/>
      <c r="R31" s="2026"/>
      <c r="S31" s="2049"/>
      <c r="T31" s="2049"/>
      <c r="U31" s="1989"/>
      <c r="V31" s="2042"/>
      <c r="W31" s="2042"/>
      <c r="X31" s="1989"/>
      <c r="Y31" s="2121"/>
      <c r="Z31" s="2098"/>
    </row>
    <row r="32" spans="1:26" x14ac:dyDescent="0.15">
      <c r="A32" s="2017" t="s">
        <v>2180</v>
      </c>
      <c r="F32" s="1987"/>
      <c r="G32" s="1987"/>
      <c r="H32" s="1987" t="s">
        <v>1231</v>
      </c>
      <c r="I32" s="2034"/>
      <c r="J32" s="1987"/>
      <c r="K32" s="1987"/>
      <c r="L32" s="2037" t="s">
        <v>1231</v>
      </c>
      <c r="M32" s="1987"/>
      <c r="N32" s="1987" t="s">
        <v>1231</v>
      </c>
      <c r="O32" s="2034"/>
      <c r="P32" s="2035"/>
      <c r="Q32" s="1987"/>
      <c r="R32" s="1987"/>
      <c r="S32" s="2049"/>
      <c r="T32" s="2049"/>
      <c r="U32" s="1989"/>
      <c r="V32" s="2042"/>
      <c r="W32" s="2042"/>
      <c r="X32" s="1989"/>
      <c r="Y32" s="2138"/>
      <c r="Z32" s="2098"/>
    </row>
    <row r="33" spans="1:26" x14ac:dyDescent="0.2">
      <c r="A33" s="2038"/>
      <c r="B33" s="2001"/>
      <c r="C33" s="2022"/>
      <c r="D33" s="2000"/>
      <c r="E33" s="2003"/>
      <c r="F33" s="2023"/>
      <c r="G33" s="2023"/>
      <c r="H33" s="2023" t="s">
        <v>2196</v>
      </c>
      <c r="I33" s="2024"/>
      <c r="J33" s="2023" t="s">
        <v>1231</v>
      </c>
      <c r="K33" s="2023"/>
      <c r="L33" s="2023"/>
      <c r="M33" s="2023"/>
      <c r="N33" s="2023"/>
      <c r="O33" s="2024"/>
      <c r="P33" s="2036"/>
      <c r="Q33" s="2023"/>
      <c r="R33" s="2026"/>
      <c r="S33" s="2049"/>
      <c r="T33" s="2049"/>
      <c r="U33" s="1989"/>
      <c r="V33" s="2042"/>
      <c r="W33" s="2042"/>
      <c r="X33" s="1989"/>
      <c r="Y33" s="2121"/>
      <c r="Z33" s="2098"/>
    </row>
    <row r="34" spans="1:26" x14ac:dyDescent="0.2">
      <c r="A34" s="2039"/>
      <c r="B34" s="2040" t="s">
        <v>974</v>
      </c>
      <c r="C34" s="2041">
        <v>84.01</v>
      </c>
      <c r="D34" s="2042" t="s">
        <v>2197</v>
      </c>
      <c r="E34" s="2043"/>
      <c r="F34" s="2044">
        <v>26204</v>
      </c>
      <c r="G34" s="2044"/>
      <c r="H34" s="2044">
        <f>108865-26204</f>
        <v>82661</v>
      </c>
      <c r="I34" s="2045"/>
      <c r="J34" s="2044">
        <v>62738</v>
      </c>
      <c r="K34" s="2044"/>
      <c r="L34" s="2044">
        <f>108865-62738</f>
        <v>46127</v>
      </c>
      <c r="M34" s="2044"/>
      <c r="N34" s="2044"/>
      <c r="O34" s="2046"/>
      <c r="P34" s="2047">
        <f>N34+L34+J34</f>
        <v>108865</v>
      </c>
      <c r="Q34" s="2044"/>
      <c r="R34" s="2048">
        <v>155411</v>
      </c>
      <c r="S34" s="2049"/>
      <c r="T34" s="2049"/>
      <c r="U34" s="1989"/>
      <c r="V34" s="2042"/>
      <c r="W34" s="2042"/>
      <c r="X34" s="1989"/>
      <c r="Y34" s="2121"/>
      <c r="Z34" s="2098"/>
    </row>
    <row r="35" spans="1:26" x14ac:dyDescent="0.2">
      <c r="A35" s="2039"/>
      <c r="B35" s="2040" t="s">
        <v>974</v>
      </c>
      <c r="C35" s="2041">
        <v>84.01</v>
      </c>
      <c r="D35" s="2042" t="s">
        <v>2198</v>
      </c>
      <c r="E35" s="2043"/>
      <c r="F35" s="2044">
        <v>0</v>
      </c>
      <c r="G35" s="2044"/>
      <c r="H35" s="2044">
        <v>37431</v>
      </c>
      <c r="I35" s="2045"/>
      <c r="J35" s="2044"/>
      <c r="K35" s="2044"/>
      <c r="L35" s="2044">
        <v>93150</v>
      </c>
      <c r="M35" s="2044"/>
      <c r="N35" s="2044"/>
      <c r="O35" s="2046" t="s">
        <v>2185</v>
      </c>
      <c r="P35" s="2047">
        <f>N35+L35+J35</f>
        <v>93150</v>
      </c>
      <c r="Q35" s="2044"/>
      <c r="R35" s="2048">
        <v>174433</v>
      </c>
      <c r="S35" s="2049"/>
      <c r="T35" s="2049"/>
      <c r="U35" s="1989"/>
      <c r="V35" s="2042"/>
      <c r="W35" s="2042"/>
      <c r="X35" s="1989"/>
      <c r="Y35" s="2121"/>
      <c r="Z35" s="2098"/>
    </row>
    <row r="36" spans="1:26" x14ac:dyDescent="0.2">
      <c r="A36" s="2039"/>
      <c r="B36" s="2040"/>
      <c r="C36" s="2041"/>
      <c r="D36" s="2042"/>
      <c r="E36" s="2043"/>
      <c r="F36" s="2044"/>
      <c r="G36" s="2044"/>
      <c r="H36" s="2044"/>
      <c r="I36" s="2045"/>
      <c r="J36" s="2044"/>
      <c r="K36" s="2044"/>
      <c r="L36" s="2044"/>
      <c r="M36" s="2044"/>
      <c r="N36" s="2044"/>
      <c r="O36" s="2046"/>
      <c r="P36" s="2047"/>
      <c r="Q36" s="2044"/>
      <c r="R36" s="2048"/>
      <c r="S36" s="2049"/>
      <c r="T36" s="2049"/>
      <c r="U36" s="1989"/>
      <c r="V36" s="2042"/>
      <c r="W36" s="2042"/>
      <c r="X36" s="1989"/>
      <c r="Y36" s="2121"/>
      <c r="Z36" s="2098"/>
    </row>
    <row r="37" spans="1:26" x14ac:dyDescent="0.2">
      <c r="A37" s="2039"/>
      <c r="B37" s="2040" t="s">
        <v>2306</v>
      </c>
      <c r="C37" s="2041">
        <v>84.424000000000007</v>
      </c>
      <c r="D37" s="2042" t="s">
        <v>2199</v>
      </c>
      <c r="E37" s="2043"/>
      <c r="F37" s="2044"/>
      <c r="G37" s="2044"/>
      <c r="H37" s="2044">
        <v>1445</v>
      </c>
      <c r="I37" s="2045"/>
      <c r="J37" s="2044"/>
      <c r="K37" s="2044"/>
      <c r="L37" s="2044">
        <v>1445</v>
      </c>
      <c r="M37" s="2044"/>
      <c r="N37" s="2044"/>
      <c r="O37" s="2046" t="s">
        <v>2185</v>
      </c>
      <c r="P37" s="2047">
        <f>N37+L37+J37</f>
        <v>1445</v>
      </c>
      <c r="Q37" s="2044"/>
      <c r="R37" s="2048">
        <v>10000</v>
      </c>
      <c r="S37" s="2049"/>
      <c r="T37" s="2049"/>
      <c r="U37" s="1989"/>
      <c r="V37" s="2042"/>
      <c r="W37" s="2042"/>
      <c r="X37" s="1989"/>
      <c r="Y37" s="2121"/>
      <c r="Z37" s="2098"/>
    </row>
    <row r="38" spans="1:26" x14ac:dyDescent="0.2">
      <c r="A38" s="2038"/>
      <c r="B38" s="2050"/>
      <c r="C38" s="2051"/>
      <c r="D38" s="2003"/>
      <c r="E38" s="2002"/>
      <c r="F38" s="2023"/>
      <c r="G38" s="2023"/>
      <c r="H38" s="2023" t="s">
        <v>1231</v>
      </c>
      <c r="I38" s="2024"/>
      <c r="J38" s="2023"/>
      <c r="K38" s="2023"/>
      <c r="L38" s="2023"/>
      <c r="M38" s="2023"/>
      <c r="N38" s="2023"/>
      <c r="O38" s="2024"/>
      <c r="P38" s="2025"/>
      <c r="Q38" s="2023"/>
      <c r="R38" s="2026"/>
      <c r="S38" s="2049"/>
      <c r="T38" s="2049"/>
      <c r="U38" s="1989"/>
      <c r="V38" s="2042"/>
      <c r="W38" s="2042"/>
      <c r="X38" s="1989"/>
      <c r="Y38" s="2121"/>
      <c r="Z38" s="2098"/>
    </row>
    <row r="39" spans="1:26" x14ac:dyDescent="0.2">
      <c r="A39" s="2021" t="s">
        <v>2200</v>
      </c>
      <c r="B39" s="2050" t="s">
        <v>2201</v>
      </c>
      <c r="C39" s="2052">
        <v>84.027000000000001</v>
      </c>
      <c r="D39" s="2003" t="s">
        <v>2202</v>
      </c>
      <c r="E39" s="2003"/>
      <c r="F39" s="2023">
        <v>69282</v>
      </c>
      <c r="G39" s="2027"/>
      <c r="H39" s="2023">
        <f>115671-69282</f>
        <v>46389</v>
      </c>
      <c r="I39" s="2024"/>
      <c r="J39" s="2023">
        <v>86551</v>
      </c>
      <c r="K39" s="2023"/>
      <c r="L39" s="2053">
        <f>115671-86551</f>
        <v>29120</v>
      </c>
      <c r="M39" s="2023"/>
      <c r="N39" s="2023"/>
      <c r="O39" s="2024"/>
      <c r="P39" s="2025">
        <f>N39+L39+J39</f>
        <v>115671</v>
      </c>
      <c r="Q39" s="2054"/>
      <c r="R39" s="2026" t="s">
        <v>2182</v>
      </c>
      <c r="S39" s="2049"/>
      <c r="T39" s="2049"/>
      <c r="U39" s="1989"/>
      <c r="V39" s="2042"/>
      <c r="W39" s="2042"/>
      <c r="X39" s="1989"/>
      <c r="Y39" s="2121"/>
      <c r="Z39" s="2098"/>
    </row>
    <row r="40" spans="1:26" hidden="1" x14ac:dyDescent="0.2">
      <c r="A40" s="2021"/>
      <c r="B40" s="2050" t="s">
        <v>2203</v>
      </c>
      <c r="C40" s="2052">
        <v>84.027000000000001</v>
      </c>
      <c r="D40" s="2003" t="s">
        <v>2204</v>
      </c>
      <c r="E40" s="2003"/>
      <c r="F40" s="2023"/>
      <c r="G40" s="2027"/>
      <c r="H40" s="2023"/>
      <c r="I40" s="2024"/>
      <c r="J40" s="2023"/>
      <c r="K40" s="2023"/>
      <c r="L40" s="2053"/>
      <c r="M40" s="2023"/>
      <c r="N40" s="2023"/>
      <c r="O40" s="2024"/>
      <c r="P40" s="2025">
        <f>N40+L40+J40</f>
        <v>0</v>
      </c>
      <c r="Q40" s="2054"/>
      <c r="R40" s="2026" t="s">
        <v>2182</v>
      </c>
      <c r="S40" s="2049"/>
      <c r="T40" s="2049"/>
      <c r="U40" s="1989"/>
      <c r="V40" s="2042"/>
      <c r="W40" s="2042"/>
      <c r="X40" s="1989"/>
      <c r="Y40" s="2121"/>
      <c r="Z40" s="2098"/>
    </row>
    <row r="41" spans="1:26" x14ac:dyDescent="0.2">
      <c r="A41" s="2021" t="s">
        <v>2200</v>
      </c>
      <c r="B41" s="2050" t="s">
        <v>2201</v>
      </c>
      <c r="C41" s="2052">
        <v>84.027000000000001</v>
      </c>
      <c r="D41" s="2003" t="s">
        <v>2205</v>
      </c>
      <c r="E41" s="2003"/>
      <c r="F41" s="2023"/>
      <c r="G41" s="2027"/>
      <c r="H41" s="2023">
        <f>34538.668+17286.18</f>
        <v>51824.847999999998</v>
      </c>
      <c r="I41" s="2024"/>
      <c r="J41" s="2023"/>
      <c r="K41" s="2023"/>
      <c r="L41" s="2053">
        <v>96026</v>
      </c>
      <c r="M41" s="2023"/>
      <c r="N41" s="2023" t="s">
        <v>1231</v>
      </c>
      <c r="O41" s="2027" t="s">
        <v>2185</v>
      </c>
      <c r="P41" s="2025">
        <f>N41+L41+J41</f>
        <v>96026</v>
      </c>
      <c r="Q41" s="2055"/>
      <c r="R41" s="2026" t="s">
        <v>2182</v>
      </c>
      <c r="S41" s="2049"/>
      <c r="T41" s="2049"/>
      <c r="U41" s="1989"/>
      <c r="V41" s="2042"/>
      <c r="W41" s="2042"/>
      <c r="X41" s="1989"/>
      <c r="Y41" s="2121"/>
      <c r="Z41" s="2098"/>
    </row>
    <row r="42" spans="1:26" hidden="1" x14ac:dyDescent="0.2">
      <c r="A42" s="2021" t="s">
        <v>2200</v>
      </c>
      <c r="B42" s="2050" t="s">
        <v>2203</v>
      </c>
      <c r="C42" s="2052">
        <v>84.027000000000001</v>
      </c>
      <c r="D42" s="2003" t="s">
        <v>2204</v>
      </c>
      <c r="E42" s="2003"/>
      <c r="F42" s="2023"/>
      <c r="G42" s="2023"/>
      <c r="H42" s="2023"/>
      <c r="I42" s="2024"/>
      <c r="J42" s="2023"/>
      <c r="K42" s="2023"/>
      <c r="L42" s="2023"/>
      <c r="M42" s="2023"/>
      <c r="N42" s="2023"/>
      <c r="O42" s="2027"/>
      <c r="P42" s="2025">
        <f>N42+L42+J42</f>
        <v>0</v>
      </c>
      <c r="Q42" s="2023"/>
      <c r="R42" s="2026" t="s">
        <v>2182</v>
      </c>
      <c r="S42" s="2049"/>
      <c r="T42" s="2049"/>
      <c r="U42" s="1989"/>
      <c r="V42" s="2042"/>
      <c r="W42" s="2042"/>
      <c r="X42" s="2121"/>
      <c r="Y42" s="2121"/>
      <c r="Z42" s="2098"/>
    </row>
    <row r="43" spans="1:26" x14ac:dyDescent="0.2">
      <c r="A43" s="2038"/>
      <c r="B43" s="2050"/>
      <c r="C43" s="2051"/>
      <c r="D43" s="2003"/>
      <c r="E43" s="2003"/>
      <c r="F43" s="2023"/>
      <c r="G43" s="2023"/>
      <c r="H43" s="2023"/>
      <c r="I43" s="2024"/>
      <c r="J43" s="2023" t="s">
        <v>1231</v>
      </c>
      <c r="K43" s="2023"/>
      <c r="L43" s="2023" t="s">
        <v>1231</v>
      </c>
      <c r="M43" s="2023"/>
      <c r="N43" s="2023" t="s">
        <v>1231</v>
      </c>
      <c r="O43" s="2024"/>
      <c r="P43" s="2036"/>
      <c r="Q43" s="2023"/>
      <c r="R43" s="2026"/>
      <c r="S43" s="2049"/>
      <c r="T43" s="2049"/>
      <c r="U43" s="1989"/>
      <c r="V43" s="2042"/>
      <c r="W43" s="2042"/>
      <c r="X43" s="1989"/>
      <c r="Y43" s="2121"/>
      <c r="Z43" s="2098"/>
    </row>
    <row r="44" spans="1:26" hidden="1" x14ac:dyDescent="0.2">
      <c r="A44" s="2021"/>
      <c r="B44" s="2050" t="s">
        <v>2201</v>
      </c>
      <c r="C44" s="2052">
        <v>84.027000000000001</v>
      </c>
      <c r="D44" s="2003" t="s">
        <v>2206</v>
      </c>
      <c r="E44" s="2003"/>
      <c r="F44" s="2023"/>
      <c r="G44" s="2027"/>
      <c r="H44" s="2056"/>
      <c r="I44" s="2024"/>
      <c r="J44" s="2023" t="s">
        <v>1231</v>
      </c>
      <c r="K44" s="2023"/>
      <c r="L44" s="2053"/>
      <c r="M44" s="2023"/>
      <c r="N44" s="2023"/>
      <c r="O44" s="2024"/>
      <c r="P44" s="2025">
        <f>N44+L44+J44</f>
        <v>0</v>
      </c>
      <c r="Q44" s="2054"/>
      <c r="R44" s="2026" t="s">
        <v>1231</v>
      </c>
      <c r="S44" s="2049"/>
      <c r="T44" s="2049"/>
      <c r="U44" s="1989"/>
      <c r="V44" s="2042"/>
      <c r="W44" s="2042"/>
      <c r="X44" s="1989"/>
      <c r="Y44" s="2121"/>
      <c r="Z44" s="2098"/>
    </row>
    <row r="45" spans="1:26" hidden="1" x14ac:dyDescent="0.2">
      <c r="A45" s="2021"/>
      <c r="B45" s="2050" t="s">
        <v>2201</v>
      </c>
      <c r="C45" s="2052">
        <v>84.027000000000001</v>
      </c>
      <c r="D45" s="2003" t="s">
        <v>2207</v>
      </c>
      <c r="E45" s="2003"/>
      <c r="F45" s="2023"/>
      <c r="G45" s="2027"/>
      <c r="H45" s="2056"/>
      <c r="I45" s="2024"/>
      <c r="J45" s="2023"/>
      <c r="K45" s="2023"/>
      <c r="L45" s="2053"/>
      <c r="M45" s="2023"/>
      <c r="N45" s="2023"/>
      <c r="O45" s="2024"/>
      <c r="P45" s="2025">
        <f>N45+L45+J45</f>
        <v>0</v>
      </c>
      <c r="Q45" s="2054"/>
      <c r="R45" s="2026" t="s">
        <v>1231</v>
      </c>
      <c r="S45" s="2049"/>
      <c r="T45" s="2049"/>
      <c r="U45" s="1989"/>
      <c r="V45" s="2042"/>
      <c r="W45" s="2042"/>
      <c r="X45" s="1989"/>
      <c r="Y45" s="2121"/>
      <c r="Z45" s="2098"/>
    </row>
    <row r="46" spans="1:26" hidden="1" x14ac:dyDescent="0.2">
      <c r="A46" s="2038"/>
      <c r="B46" s="2050" t="s">
        <v>2208</v>
      </c>
      <c r="C46" s="2051">
        <v>84.317999999999998</v>
      </c>
      <c r="D46" s="2003" t="s">
        <v>2209</v>
      </c>
      <c r="E46" s="2057"/>
      <c r="F46" s="2023">
        <v>0</v>
      </c>
      <c r="G46" s="2027"/>
      <c r="H46" s="2056">
        <v>0</v>
      </c>
      <c r="I46" s="2024"/>
      <c r="J46" s="2023">
        <v>0</v>
      </c>
      <c r="K46" s="2023"/>
      <c r="L46" s="2023"/>
      <c r="M46" s="2023"/>
      <c r="N46" s="2023"/>
      <c r="O46" s="2058"/>
      <c r="P46" s="2025">
        <f>N46+L46+J46</f>
        <v>0</v>
      </c>
      <c r="Q46" s="2023"/>
      <c r="R46" s="2026"/>
      <c r="S46" s="2049"/>
      <c r="T46" s="2049"/>
      <c r="U46" s="1989"/>
      <c r="V46" s="2042"/>
      <c r="W46" s="2042"/>
      <c r="X46" s="2121"/>
      <c r="Y46" s="2121"/>
      <c r="Z46" s="2098"/>
    </row>
    <row r="47" spans="1:26" hidden="1" x14ac:dyDescent="0.2">
      <c r="A47" s="2038"/>
      <c r="B47" s="2050"/>
      <c r="C47" s="2051"/>
      <c r="D47" s="2003"/>
      <c r="E47" s="2003"/>
      <c r="F47" s="2023"/>
      <c r="G47" s="2023"/>
      <c r="H47" s="2056"/>
      <c r="I47" s="2024"/>
      <c r="J47" s="2023"/>
      <c r="K47" s="2023"/>
      <c r="L47" s="2023"/>
      <c r="M47" s="2023"/>
      <c r="N47" s="2023"/>
      <c r="O47" s="2024"/>
      <c r="P47" s="2025"/>
      <c r="Q47" s="2023"/>
      <c r="R47" s="2026"/>
      <c r="S47" s="2049"/>
      <c r="T47" s="2049"/>
      <c r="U47" s="1989"/>
      <c r="V47" s="2042"/>
      <c r="W47" s="2042"/>
      <c r="X47" s="1989"/>
      <c r="Y47" s="2121"/>
      <c r="Z47" s="2098"/>
    </row>
    <row r="48" spans="1:26" x14ac:dyDescent="0.2">
      <c r="A48" s="2021"/>
      <c r="B48" s="2050" t="s">
        <v>782</v>
      </c>
      <c r="C48" s="2051">
        <v>84.367000000000004</v>
      </c>
      <c r="D48" s="2003" t="s">
        <v>2210</v>
      </c>
      <c r="E48" s="2034"/>
      <c r="F48" s="2023">
        <v>13066</v>
      </c>
      <c r="G48" s="2027"/>
      <c r="H48" s="2023">
        <f>16367-13066</f>
        <v>3301</v>
      </c>
      <c r="I48" s="2024"/>
      <c r="J48" s="2023">
        <v>14159</v>
      </c>
      <c r="K48" s="2023"/>
      <c r="L48" s="2023">
        <f>16367-14159</f>
        <v>2208</v>
      </c>
      <c r="M48" s="2023"/>
      <c r="N48" s="2023"/>
      <c r="O48" s="2058"/>
      <c r="P48" s="2025">
        <f>N48+L48+J48</f>
        <v>16367</v>
      </c>
      <c r="Q48" s="2023"/>
      <c r="R48" s="2026">
        <v>20693</v>
      </c>
      <c r="S48" s="2049"/>
      <c r="T48" s="2049"/>
      <c r="U48" s="1989"/>
      <c r="V48" s="2042"/>
      <c r="W48" s="2042"/>
      <c r="X48" s="1989"/>
      <c r="Y48" s="2121"/>
      <c r="Z48" s="2098"/>
    </row>
    <row r="49" spans="1:26" ht="15" x14ac:dyDescent="0.2">
      <c r="A49" s="2021"/>
      <c r="B49" s="2050" t="s">
        <v>782</v>
      </c>
      <c r="C49" s="2051">
        <v>84.367000000000004</v>
      </c>
      <c r="D49" s="2003" t="s">
        <v>2211</v>
      </c>
      <c r="E49" s="2002"/>
      <c r="F49" s="2031">
        <v>0</v>
      </c>
      <c r="G49" s="2059"/>
      <c r="H49" s="2031">
        <v>18081</v>
      </c>
      <c r="I49" s="2060"/>
      <c r="J49" s="2031">
        <v>0</v>
      </c>
      <c r="K49" s="2031"/>
      <c r="L49" s="2031">
        <v>19992</v>
      </c>
      <c r="M49" s="2031"/>
      <c r="N49" s="2031">
        <v>0</v>
      </c>
      <c r="O49" s="2027" t="s">
        <v>2185</v>
      </c>
      <c r="P49" s="2032">
        <f>J49+L49+N49</f>
        <v>19992</v>
      </c>
      <c r="Q49" s="2023"/>
      <c r="R49" s="2026">
        <v>42431</v>
      </c>
      <c r="S49" s="2049"/>
      <c r="T49" s="2049"/>
      <c r="U49" s="1989"/>
      <c r="V49" s="2042"/>
      <c r="W49" s="2042"/>
      <c r="X49" s="1989"/>
      <c r="Y49" s="2121"/>
      <c r="Z49" s="2098"/>
    </row>
    <row r="50" spans="1:26" hidden="1" x14ac:dyDescent="0.2">
      <c r="A50" s="2038"/>
      <c r="B50" s="2050"/>
      <c r="C50" s="2051"/>
      <c r="D50" s="2003"/>
      <c r="E50" s="2003"/>
      <c r="F50" s="2023"/>
      <c r="G50" s="2023"/>
      <c r="H50" s="2023"/>
      <c r="I50" s="2024"/>
      <c r="J50" s="2023"/>
      <c r="K50" s="2023"/>
      <c r="L50" s="2023"/>
      <c r="M50" s="2023"/>
      <c r="N50" s="2023"/>
      <c r="O50" s="2024"/>
      <c r="P50" s="2036"/>
      <c r="Q50" s="2023"/>
      <c r="R50" s="2026"/>
      <c r="S50" s="2049"/>
      <c r="T50" s="2049"/>
      <c r="U50" s="1989"/>
      <c r="V50" s="2042"/>
      <c r="W50" s="2042"/>
      <c r="X50" s="1989"/>
      <c r="Y50" s="2121"/>
      <c r="Z50" s="2098"/>
    </row>
    <row r="51" spans="1:26" hidden="1" x14ac:dyDescent="0.2">
      <c r="A51" s="2021"/>
      <c r="B51" s="2050"/>
      <c r="C51" s="2052"/>
      <c r="D51" s="2003"/>
      <c r="E51" s="2003"/>
      <c r="F51" s="2023"/>
      <c r="G51" s="2027"/>
      <c r="H51" s="2023"/>
      <c r="I51" s="2024"/>
      <c r="J51" s="2023"/>
      <c r="K51" s="2023"/>
      <c r="L51" s="2023"/>
      <c r="M51" s="2023"/>
      <c r="N51" s="2023"/>
      <c r="O51" s="2034"/>
      <c r="P51" s="2025"/>
      <c r="Q51" s="2054"/>
      <c r="R51" s="2026"/>
      <c r="S51" s="2120"/>
      <c r="T51" s="2120"/>
      <c r="U51" s="1989"/>
      <c r="V51" s="2042"/>
      <c r="W51" s="2042"/>
      <c r="X51" s="1989"/>
      <c r="Y51" s="2121"/>
      <c r="Z51" s="2098"/>
    </row>
    <row r="52" spans="1:26" ht="15" hidden="1" x14ac:dyDescent="0.35">
      <c r="A52" s="2021" t="s">
        <v>1231</v>
      </c>
      <c r="B52" s="2050" t="s">
        <v>2212</v>
      </c>
      <c r="C52" s="2052" t="s">
        <v>2213</v>
      </c>
      <c r="D52" s="2003" t="s">
        <v>2214</v>
      </c>
      <c r="E52" s="2003" t="s">
        <v>1231</v>
      </c>
      <c r="F52" s="2061">
        <v>0</v>
      </c>
      <c r="G52" s="2027"/>
      <c r="H52" s="2061">
        <v>0</v>
      </c>
      <c r="I52" s="2024"/>
      <c r="J52" s="2061">
        <v>0</v>
      </c>
      <c r="K52" s="2023"/>
      <c r="L52" s="2061">
        <v>0</v>
      </c>
      <c r="M52" s="2023"/>
      <c r="N52" s="2061">
        <v>0</v>
      </c>
      <c r="O52" s="2024" t="s">
        <v>1231</v>
      </c>
      <c r="P52" s="2062">
        <f>N52+L52+J52</f>
        <v>0</v>
      </c>
      <c r="Q52" s="2054"/>
      <c r="R52" s="2063" t="s">
        <v>2182</v>
      </c>
      <c r="S52" s="2120"/>
      <c r="T52" s="2120"/>
      <c r="U52" s="1989"/>
      <c r="V52" s="2042"/>
      <c r="W52" s="2042"/>
      <c r="X52" s="1989"/>
      <c r="Y52" s="2122"/>
      <c r="Z52" s="2098"/>
    </row>
    <row r="53" spans="1:26" ht="12.75" customHeight="1" x14ac:dyDescent="0.2">
      <c r="A53" s="2021"/>
      <c r="B53" s="2064"/>
      <c r="C53" s="2052"/>
      <c r="D53" s="2003"/>
      <c r="E53" s="2003"/>
      <c r="F53" s="2062"/>
      <c r="G53" s="2027"/>
      <c r="H53" s="2062"/>
      <c r="I53" s="2024"/>
      <c r="J53" s="2062"/>
      <c r="K53" s="2023"/>
      <c r="L53" s="2062"/>
      <c r="M53" s="2023"/>
      <c r="N53" s="2062"/>
      <c r="O53" s="2024"/>
      <c r="P53" s="2062"/>
      <c r="Q53" s="2054"/>
      <c r="R53" s="2065"/>
      <c r="S53" s="2049"/>
      <c r="T53" s="2049"/>
      <c r="U53" s="1989"/>
      <c r="V53" s="2042"/>
      <c r="W53" s="2042"/>
      <c r="X53" s="1989"/>
      <c r="Y53" s="1989"/>
      <c r="Z53" s="2098"/>
    </row>
    <row r="54" spans="1:26" ht="15" x14ac:dyDescent="0.2">
      <c r="A54" s="2134" t="s">
        <v>2215</v>
      </c>
      <c r="B54" s="2050"/>
      <c r="C54" s="2052"/>
      <c r="D54" s="2003"/>
      <c r="E54" s="2003"/>
      <c r="F54" s="2062">
        <f>SUM(F32:F53)</f>
        <v>108552</v>
      </c>
      <c r="G54" s="2027"/>
      <c r="H54" s="2062">
        <f>SUM(H32:H53)</f>
        <v>241132.848</v>
      </c>
      <c r="I54" s="2024"/>
      <c r="J54" s="2062">
        <f>SUM(J32:J53)</f>
        <v>163448</v>
      </c>
      <c r="K54" s="2023"/>
      <c r="L54" s="2062">
        <f>SUM(L32:L53)</f>
        <v>288068</v>
      </c>
      <c r="M54" s="2023"/>
      <c r="N54" s="2062">
        <f>SUM(N32:N53)</f>
        <v>0</v>
      </c>
      <c r="O54" s="2024"/>
      <c r="P54" s="2062">
        <f>SUM(P32:P53)</f>
        <v>451516</v>
      </c>
      <c r="Q54" s="2054"/>
      <c r="R54" s="2065"/>
      <c r="S54" s="2049"/>
      <c r="T54" s="2049"/>
      <c r="U54" s="1989"/>
      <c r="V54" s="2042"/>
      <c r="W54" s="2042"/>
      <c r="X54" s="1989"/>
      <c r="Y54" s="2139"/>
      <c r="Z54" s="2139"/>
    </row>
    <row r="55" spans="1:26" hidden="1" x14ac:dyDescent="0.2">
      <c r="A55" s="2021"/>
      <c r="B55" s="2064"/>
      <c r="C55" s="2052"/>
      <c r="D55" s="2003"/>
      <c r="E55" s="2003"/>
      <c r="F55" s="2023"/>
      <c r="G55" s="2027"/>
      <c r="H55" s="2023"/>
      <c r="I55" s="2024"/>
      <c r="J55" s="2023"/>
      <c r="K55" s="2023"/>
      <c r="L55" s="2023"/>
      <c r="M55" s="2023"/>
      <c r="N55" s="2023"/>
      <c r="O55" s="2024"/>
      <c r="P55" s="2025"/>
      <c r="Q55" s="2054"/>
      <c r="R55" s="2065"/>
      <c r="S55" s="2049"/>
      <c r="T55" s="2049"/>
      <c r="U55" s="1989"/>
      <c r="V55" s="2042"/>
      <c r="W55" s="2042"/>
      <c r="X55" s="1989"/>
      <c r="Y55" s="1989"/>
      <c r="Z55" s="2098"/>
    </row>
    <row r="56" spans="1:26" hidden="1" x14ac:dyDescent="0.2">
      <c r="A56" s="2066" t="s">
        <v>2216</v>
      </c>
      <c r="B56" s="1987"/>
      <c r="C56" s="1987"/>
      <c r="D56" s="1987"/>
      <c r="E56" s="2034"/>
      <c r="F56" s="1987"/>
      <c r="G56" s="1987"/>
      <c r="H56" s="1987"/>
      <c r="I56" s="2034"/>
      <c r="J56" s="1987"/>
      <c r="K56" s="1987"/>
      <c r="L56" s="1987"/>
      <c r="M56" s="1987"/>
      <c r="N56" s="1987"/>
      <c r="O56" s="2034"/>
      <c r="P56" s="1987"/>
      <c r="S56" s="2049"/>
      <c r="T56" s="2049"/>
      <c r="U56" s="1989"/>
      <c r="V56" s="2042"/>
      <c r="W56" s="2042"/>
      <c r="X56" s="1989"/>
      <c r="Y56" s="1989"/>
      <c r="Z56" s="2098"/>
    </row>
    <row r="57" spans="1:26" ht="15" hidden="1" x14ac:dyDescent="0.2">
      <c r="A57" s="2066" t="s">
        <v>2217</v>
      </c>
      <c r="B57" s="1987"/>
      <c r="C57" s="2067"/>
      <c r="D57" s="1986"/>
      <c r="E57" s="2003"/>
      <c r="F57" s="2032"/>
      <c r="G57" s="2032"/>
      <c r="H57" s="2032"/>
      <c r="I57" s="2032"/>
      <c r="J57" s="2032"/>
      <c r="K57" s="2032"/>
      <c r="L57" s="2032"/>
      <c r="M57" s="2032"/>
      <c r="N57" s="2032"/>
      <c r="O57" s="2032"/>
      <c r="P57" s="2032"/>
      <c r="Q57" s="2068"/>
      <c r="R57" s="2069"/>
      <c r="S57" s="2049"/>
      <c r="T57" s="2049"/>
      <c r="U57" s="1989"/>
      <c r="V57" s="2042"/>
      <c r="W57" s="2042"/>
      <c r="X57" s="1989"/>
      <c r="Y57" s="1989"/>
      <c r="Z57" s="2098"/>
    </row>
    <row r="58" spans="1:26" ht="15" hidden="1" x14ac:dyDescent="0.2">
      <c r="A58" s="2017"/>
      <c r="B58" s="2050" t="s">
        <v>1231</v>
      </c>
      <c r="C58" s="2051" t="s">
        <v>1231</v>
      </c>
      <c r="D58" s="2003" t="s">
        <v>1231</v>
      </c>
      <c r="E58" s="2003"/>
      <c r="F58" s="2025" t="s">
        <v>1231</v>
      </c>
      <c r="G58" s="2032"/>
      <c r="H58" s="2025" t="s">
        <v>1231</v>
      </c>
      <c r="I58" s="2032"/>
      <c r="J58" s="2025" t="s">
        <v>1231</v>
      </c>
      <c r="K58" s="2032"/>
      <c r="L58" s="2025" t="s">
        <v>1231</v>
      </c>
      <c r="M58" s="2032"/>
      <c r="N58" s="2032"/>
      <c r="O58" s="2032"/>
      <c r="P58" s="2025"/>
      <c r="Q58" s="2070"/>
      <c r="R58" s="2026" t="s">
        <v>1231</v>
      </c>
      <c r="S58" s="2049"/>
      <c r="T58" s="2049"/>
      <c r="U58" s="1989"/>
      <c r="V58" s="2042"/>
      <c r="W58" s="2042"/>
      <c r="X58" s="1989"/>
      <c r="Y58" s="1989"/>
      <c r="Z58" s="2098"/>
    </row>
    <row r="59" spans="1:26" ht="15" hidden="1" x14ac:dyDescent="0.2">
      <c r="A59" s="2017"/>
      <c r="B59" s="2050" t="s">
        <v>2218</v>
      </c>
      <c r="C59" s="2051">
        <v>84.01</v>
      </c>
      <c r="D59" s="2003" t="s">
        <v>2219</v>
      </c>
      <c r="E59" s="2003"/>
      <c r="F59" s="2025">
        <v>0</v>
      </c>
      <c r="G59" s="2032"/>
      <c r="H59" s="2025"/>
      <c r="I59" s="2032"/>
      <c r="J59" s="2025">
        <v>0</v>
      </c>
      <c r="K59" s="2032"/>
      <c r="L59" s="2025"/>
      <c r="M59" s="2032"/>
      <c r="N59" s="2032"/>
      <c r="O59" s="2032"/>
      <c r="P59" s="2025">
        <f>N59+L59+J59</f>
        <v>0</v>
      </c>
      <c r="Q59" s="2070"/>
      <c r="R59" s="2026">
        <v>0</v>
      </c>
      <c r="S59" s="2049"/>
      <c r="T59" s="2049"/>
      <c r="U59" s="1989"/>
      <c r="V59" s="2042"/>
      <c r="W59" s="2042"/>
      <c r="X59" s="1989"/>
      <c r="Y59" s="1989"/>
      <c r="Z59" s="2098"/>
    </row>
    <row r="60" spans="1:26" ht="15" hidden="1" x14ac:dyDescent="0.2">
      <c r="A60" s="2021"/>
      <c r="B60" s="2050" t="s">
        <v>2218</v>
      </c>
      <c r="C60" s="2051">
        <v>84.01</v>
      </c>
      <c r="D60" s="2003" t="s">
        <v>2220</v>
      </c>
      <c r="E60" s="2057"/>
      <c r="F60" s="2031">
        <v>0</v>
      </c>
      <c r="G60" s="2023"/>
      <c r="H60" s="2031">
        <v>0</v>
      </c>
      <c r="I60" s="2024"/>
      <c r="J60" s="2031">
        <v>0</v>
      </c>
      <c r="K60" s="2023"/>
      <c r="L60" s="2031">
        <v>0</v>
      </c>
      <c r="M60" s="2023"/>
      <c r="N60" s="2031">
        <v>0</v>
      </c>
      <c r="O60" s="2024"/>
      <c r="P60" s="2032">
        <f>N60+L60+J60</f>
        <v>0</v>
      </c>
      <c r="Q60" s="2071"/>
      <c r="R60" s="2026">
        <v>26940</v>
      </c>
      <c r="S60" s="2049"/>
      <c r="T60" s="2049"/>
      <c r="U60" s="1989"/>
      <c r="V60" s="2042"/>
      <c r="W60" s="2042"/>
      <c r="X60" s="1989"/>
      <c r="Y60" s="1989"/>
      <c r="Z60" s="2098"/>
    </row>
    <row r="61" spans="1:26" hidden="1" x14ac:dyDescent="0.2">
      <c r="B61" s="1987"/>
      <c r="C61" s="1987"/>
      <c r="D61" s="1987"/>
      <c r="E61" s="2034"/>
      <c r="F61" s="1987"/>
      <c r="G61" s="1987"/>
      <c r="H61" s="1987"/>
      <c r="I61" s="2034"/>
      <c r="J61" s="1987"/>
      <c r="K61" s="1987"/>
      <c r="L61" s="1987"/>
      <c r="S61" s="2049"/>
      <c r="T61" s="2049"/>
      <c r="U61" s="1989"/>
      <c r="V61" s="2042"/>
      <c r="W61" s="2042"/>
      <c r="X61" s="1989"/>
      <c r="Y61" s="1989"/>
      <c r="Z61" s="2098"/>
    </row>
    <row r="62" spans="1:26" ht="15" hidden="1" x14ac:dyDescent="0.2">
      <c r="A62" s="2017" t="s">
        <v>2221</v>
      </c>
      <c r="B62" s="1987"/>
      <c r="C62" s="1987"/>
      <c r="D62" s="1987"/>
      <c r="E62" s="2034"/>
      <c r="F62" s="2032">
        <f>SUM(F57:F61)</f>
        <v>0</v>
      </c>
      <c r="G62" s="2032"/>
      <c r="H62" s="2032">
        <f>SUM(H57:H61)</f>
        <v>0</v>
      </c>
      <c r="I62" s="2032"/>
      <c r="J62" s="2032">
        <f>SUM(J57:J61)</f>
        <v>0</v>
      </c>
      <c r="K62" s="2032"/>
      <c r="L62" s="2032">
        <f>SUM(L57:L61)</f>
        <v>0</v>
      </c>
      <c r="M62" s="2072"/>
      <c r="N62" s="2072">
        <f>SUM(N57:N61)</f>
        <v>0</v>
      </c>
      <c r="O62" s="2072"/>
      <c r="P62" s="2072">
        <f>SUM(P57:P61)</f>
        <v>0</v>
      </c>
      <c r="S62" s="2049"/>
      <c r="T62" s="2049"/>
      <c r="U62" s="1989"/>
      <c r="V62" s="2042"/>
      <c r="W62" s="2042"/>
      <c r="X62" s="1989"/>
      <c r="Y62" s="1989"/>
      <c r="Z62" s="2098"/>
    </row>
    <row r="63" spans="1:26" x14ac:dyDescent="0.2">
      <c r="A63" s="2021"/>
      <c r="B63" s="2064"/>
      <c r="C63" s="2052"/>
      <c r="D63" s="2003"/>
      <c r="E63" s="2003"/>
      <c r="F63" s="2023"/>
      <c r="G63" s="2027"/>
      <c r="H63" s="2023"/>
      <c r="I63" s="2024"/>
      <c r="J63" s="2023"/>
      <c r="K63" s="2023"/>
      <c r="L63" s="2023"/>
      <c r="M63" s="2023"/>
      <c r="N63" s="2023"/>
      <c r="O63" s="2024"/>
      <c r="P63" s="2025"/>
      <c r="Q63" s="2054"/>
      <c r="R63" s="2065"/>
      <c r="S63" s="2049"/>
      <c r="T63" s="2049"/>
      <c r="U63" s="1989"/>
      <c r="V63" s="2042"/>
      <c r="W63" s="2042"/>
      <c r="X63" s="1989"/>
      <c r="Y63" s="1989"/>
      <c r="Z63" s="2098"/>
    </row>
    <row r="64" spans="1:26" x14ac:dyDescent="0.2">
      <c r="A64" s="2066" t="s">
        <v>2216</v>
      </c>
      <c r="B64" s="1987"/>
      <c r="C64" s="1987"/>
      <c r="D64" s="1987"/>
      <c r="E64" s="2034"/>
      <c r="F64" s="1987"/>
      <c r="G64" s="1987"/>
      <c r="H64" s="1987"/>
      <c r="I64" s="2034"/>
      <c r="J64" s="1987"/>
      <c r="K64" s="1987"/>
      <c r="L64" s="1987"/>
      <c r="M64" s="1987"/>
      <c r="N64" s="1987"/>
      <c r="O64" s="2034"/>
      <c r="P64" s="1987"/>
      <c r="S64" s="2049"/>
      <c r="T64" s="2049"/>
      <c r="U64" s="1989"/>
      <c r="V64" s="2042"/>
      <c r="W64" s="2042"/>
      <c r="X64" s="1989"/>
      <c r="Y64" s="1989"/>
      <c r="Z64" s="2098"/>
    </row>
    <row r="65" spans="1:26" ht="15" x14ac:dyDescent="0.2">
      <c r="A65" s="2066" t="s">
        <v>2222</v>
      </c>
      <c r="B65" s="1987"/>
      <c r="C65" s="2067"/>
      <c r="D65" s="1986"/>
      <c r="E65" s="2003"/>
      <c r="F65" s="2032"/>
      <c r="G65" s="2032"/>
      <c r="H65" s="2032"/>
      <c r="I65" s="2032"/>
      <c r="J65" s="2032"/>
      <c r="K65" s="2032"/>
      <c r="L65" s="2032"/>
      <c r="M65" s="2032"/>
      <c r="N65" s="2032"/>
      <c r="O65" s="2032"/>
      <c r="P65" s="2032"/>
      <c r="Q65" s="2068"/>
      <c r="R65" s="2069"/>
      <c r="S65" s="2049"/>
      <c r="T65" s="2049"/>
      <c r="U65" s="1989"/>
      <c r="V65" s="2042"/>
      <c r="W65" s="2042"/>
      <c r="X65" s="1989"/>
      <c r="Y65" s="1989"/>
      <c r="Z65" s="2098"/>
    </row>
    <row r="66" spans="1:26" ht="15" x14ac:dyDescent="0.2">
      <c r="A66" s="2066"/>
      <c r="B66" s="2050" t="s">
        <v>2223</v>
      </c>
      <c r="C66" s="2051">
        <v>84.027000000000001</v>
      </c>
      <c r="D66" s="1986" t="s">
        <v>2224</v>
      </c>
      <c r="E66" s="2003"/>
      <c r="F66" s="2025">
        <f>299226+32684</f>
        <v>331910</v>
      </c>
      <c r="G66" s="2032"/>
      <c r="H66" s="2032"/>
      <c r="I66" s="2032"/>
      <c r="J66" s="2025">
        <v>331910</v>
      </c>
      <c r="K66" s="2032"/>
      <c r="L66" s="2032"/>
      <c r="M66" s="2032"/>
      <c r="N66" s="2032"/>
      <c r="O66" s="2032"/>
      <c r="P66" s="2025">
        <f>N66+L66+J66</f>
        <v>331910</v>
      </c>
      <c r="Q66" s="2068"/>
      <c r="R66" s="2069">
        <v>332098</v>
      </c>
      <c r="S66" s="2049"/>
      <c r="T66" s="2049"/>
      <c r="U66" s="1989"/>
      <c r="V66" s="2042"/>
      <c r="W66" s="2042"/>
      <c r="X66" s="1989"/>
      <c r="Y66" s="1989"/>
      <c r="Z66" s="2098"/>
    </row>
    <row r="67" spans="1:26" ht="15" x14ac:dyDescent="0.2">
      <c r="A67" s="2021" t="s">
        <v>2200</v>
      </c>
      <c r="B67" s="2050" t="s">
        <v>2223</v>
      </c>
      <c r="C67" s="2051">
        <v>84.027000000000001</v>
      </c>
      <c r="D67" s="1986" t="s">
        <v>2225</v>
      </c>
      <c r="E67" s="2003"/>
      <c r="F67" s="2031">
        <v>0</v>
      </c>
      <c r="G67" s="2073" t="s">
        <v>1231</v>
      </c>
      <c r="H67" s="2032">
        <v>394827</v>
      </c>
      <c r="I67" s="2032"/>
      <c r="J67" s="2031">
        <v>0</v>
      </c>
      <c r="K67" s="2032"/>
      <c r="L67" s="2032">
        <f>106919+271531+16377</f>
        <v>394827</v>
      </c>
      <c r="M67" s="2032"/>
      <c r="N67" s="2031">
        <v>0</v>
      </c>
      <c r="O67" s="2027"/>
      <c r="P67" s="2032">
        <f>N67+L67+J67</f>
        <v>394827</v>
      </c>
      <c r="Q67" s="2068"/>
      <c r="R67" s="2069">
        <v>439599</v>
      </c>
      <c r="S67" s="2049"/>
      <c r="T67" s="2049"/>
      <c r="U67" s="1989"/>
      <c r="V67" s="2042"/>
      <c r="W67" s="2042"/>
      <c r="X67" s="1989"/>
      <c r="Y67" s="1989"/>
      <c r="Z67" s="2098"/>
    </row>
    <row r="68" spans="1:26" ht="15" x14ac:dyDescent="0.2">
      <c r="A68" s="2017"/>
      <c r="B68" s="2050"/>
      <c r="C68" s="2051"/>
      <c r="D68" s="2003"/>
      <c r="E68" s="2003"/>
      <c r="F68" s="2025"/>
      <c r="G68" s="2032"/>
      <c r="H68" s="2025"/>
      <c r="I68" s="2032"/>
      <c r="J68" s="2025"/>
      <c r="K68" s="2032"/>
      <c r="L68" s="2025"/>
      <c r="M68" s="2032"/>
      <c r="N68" s="2032"/>
      <c r="O68" s="2032"/>
      <c r="P68" s="2025"/>
      <c r="Q68" s="2054"/>
      <c r="R68" s="2026"/>
      <c r="S68" s="2049"/>
      <c r="T68" s="2049"/>
      <c r="U68" s="1989"/>
      <c r="V68" s="2042"/>
      <c r="W68" s="2042"/>
      <c r="X68" s="1989"/>
      <c r="Y68" s="1989"/>
      <c r="Z68" s="2098"/>
    </row>
    <row r="69" spans="1:26" ht="15" x14ac:dyDescent="0.2">
      <c r="A69" s="2017" t="s">
        <v>2226</v>
      </c>
      <c r="B69" s="1987"/>
      <c r="C69" s="1987"/>
      <c r="D69" s="1987"/>
      <c r="E69" s="2034"/>
      <c r="F69" s="2032">
        <f>SUM(F65:F68)</f>
        <v>331910</v>
      </c>
      <c r="G69" s="2032"/>
      <c r="H69" s="2032">
        <f>SUM(H65:H68)</f>
        <v>394827</v>
      </c>
      <c r="I69" s="2032"/>
      <c r="J69" s="2032">
        <f>SUM(J65:J68)</f>
        <v>331910</v>
      </c>
      <c r="K69" s="2032"/>
      <c r="L69" s="2032">
        <f>SUM(L65:L68)</f>
        <v>394827</v>
      </c>
      <c r="M69" s="2032"/>
      <c r="N69" s="2072">
        <f>SUM(N65:N68)</f>
        <v>0</v>
      </c>
      <c r="O69" s="2072"/>
      <c r="P69" s="2072">
        <f>SUM(P65:P68)</f>
        <v>726737</v>
      </c>
      <c r="S69" s="2049"/>
      <c r="T69" s="2049"/>
      <c r="U69" s="1989"/>
      <c r="V69" s="2042"/>
      <c r="W69" s="2042"/>
      <c r="X69" s="1989"/>
      <c r="Y69" s="1989"/>
      <c r="Z69" s="2098"/>
    </row>
    <row r="70" spans="1:26" x14ac:dyDescent="0.2">
      <c r="A70" s="2021"/>
      <c r="B70" s="2064"/>
      <c r="C70" s="2052"/>
      <c r="D70" s="2003"/>
      <c r="E70" s="2003"/>
      <c r="F70" s="2023"/>
      <c r="G70" s="2027"/>
      <c r="H70" s="2023"/>
      <c r="I70" s="2024"/>
      <c r="J70" s="2023"/>
      <c r="K70" s="2023"/>
      <c r="L70" s="2023"/>
      <c r="M70" s="2023"/>
      <c r="N70" s="2023"/>
      <c r="O70" s="2024"/>
      <c r="P70" s="2025"/>
      <c r="Q70" s="2054"/>
      <c r="R70" s="2065"/>
      <c r="S70" s="2049"/>
      <c r="T70" s="2049"/>
      <c r="U70" s="1989"/>
      <c r="V70" s="2042"/>
      <c r="W70" s="2042"/>
      <c r="X70" s="1989"/>
      <c r="Y70" s="1989"/>
      <c r="Z70" s="2098"/>
    </row>
    <row r="71" spans="1:26" hidden="1" x14ac:dyDescent="0.2">
      <c r="A71" s="2066" t="s">
        <v>2216</v>
      </c>
      <c r="B71" s="1987"/>
      <c r="C71" s="1987"/>
      <c r="D71" s="1987"/>
      <c r="E71" s="2034"/>
      <c r="F71" s="1987"/>
      <c r="G71" s="1987"/>
      <c r="H71" s="1987"/>
      <c r="I71" s="2034"/>
      <c r="J71" s="1987"/>
      <c r="K71" s="1987"/>
      <c r="L71" s="1987"/>
      <c r="M71" s="1987"/>
      <c r="N71" s="1987"/>
      <c r="O71" s="2034"/>
      <c r="P71" s="1987"/>
      <c r="S71" s="2049"/>
      <c r="T71" s="2049"/>
      <c r="U71" s="1989"/>
      <c r="V71" s="2042"/>
      <c r="W71" s="2042"/>
      <c r="X71" s="1989"/>
      <c r="Y71" s="1989"/>
      <c r="Z71" s="2098"/>
    </row>
    <row r="72" spans="1:26" ht="15" hidden="1" x14ac:dyDescent="0.2">
      <c r="A72" s="2066" t="s">
        <v>2227</v>
      </c>
      <c r="B72" s="1987"/>
      <c r="C72" s="2067"/>
      <c r="D72" s="1986"/>
      <c r="E72" s="2003"/>
      <c r="F72" s="2032"/>
      <c r="G72" s="2032"/>
      <c r="H72" s="2032"/>
      <c r="I72" s="2032"/>
      <c r="J72" s="2032"/>
      <c r="K72" s="2032"/>
      <c r="L72" s="2032"/>
      <c r="M72" s="2032"/>
      <c r="N72" s="2032"/>
      <c r="O72" s="2032"/>
      <c r="P72" s="2032"/>
      <c r="Q72" s="2068"/>
      <c r="R72" s="2069"/>
      <c r="S72" s="2049"/>
      <c r="T72" s="2049"/>
      <c r="U72" s="1989"/>
      <c r="V72" s="2042"/>
      <c r="W72" s="2042"/>
      <c r="X72" s="1989"/>
      <c r="Y72" s="1989"/>
      <c r="Z72" s="2098"/>
    </row>
    <row r="73" spans="1:26" ht="15" hidden="1" x14ac:dyDescent="0.2">
      <c r="A73" s="2017"/>
      <c r="B73" s="2050" t="s">
        <v>1231</v>
      </c>
      <c r="C73" s="2051" t="s">
        <v>1231</v>
      </c>
      <c r="D73" s="2003" t="s">
        <v>1231</v>
      </c>
      <c r="E73" s="2003"/>
      <c r="F73" s="2025" t="s">
        <v>1231</v>
      </c>
      <c r="G73" s="2032" t="s">
        <v>1231</v>
      </c>
      <c r="H73" s="2025" t="s">
        <v>1231</v>
      </c>
      <c r="I73" s="2032"/>
      <c r="J73" s="2025" t="s">
        <v>1231</v>
      </c>
      <c r="K73" s="2032"/>
      <c r="L73" s="2025" t="s">
        <v>1231</v>
      </c>
      <c r="M73" s="2032"/>
      <c r="N73" s="2032"/>
      <c r="O73" s="2032"/>
      <c r="P73" s="2025" t="s">
        <v>1231</v>
      </c>
      <c r="Q73" s="2070"/>
      <c r="R73" s="2026" t="s">
        <v>1231</v>
      </c>
      <c r="S73" s="2049"/>
      <c r="T73" s="2049"/>
      <c r="U73" s="1989"/>
      <c r="V73" s="2042"/>
      <c r="W73" s="2042"/>
      <c r="X73" s="1989"/>
      <c r="Y73" s="1989"/>
      <c r="Z73" s="2098"/>
    </row>
    <row r="74" spans="1:26" ht="15" hidden="1" x14ac:dyDescent="0.2">
      <c r="A74" s="2021"/>
      <c r="B74" s="2050"/>
      <c r="C74" s="2051"/>
      <c r="D74" s="2003"/>
      <c r="E74" s="2057"/>
      <c r="F74" s="2031">
        <v>0</v>
      </c>
      <c r="G74" s="2023"/>
      <c r="H74" s="2031">
        <v>0</v>
      </c>
      <c r="I74" s="2024"/>
      <c r="J74" s="2031">
        <v>0</v>
      </c>
      <c r="K74" s="2023"/>
      <c r="L74" s="2031">
        <v>0</v>
      </c>
      <c r="M74" s="2023"/>
      <c r="N74" s="2031">
        <v>0</v>
      </c>
      <c r="O74" s="2027"/>
      <c r="P74" s="2032">
        <f>N74+L74+J74</f>
        <v>0</v>
      </c>
      <c r="Q74" s="2071"/>
      <c r="R74" s="2026">
        <v>1010</v>
      </c>
      <c r="S74" s="2049"/>
      <c r="T74" s="2049"/>
      <c r="U74" s="1989"/>
      <c r="V74" s="2042"/>
      <c r="W74" s="2042"/>
      <c r="X74" s="2121"/>
      <c r="Y74" s="2121"/>
      <c r="Z74" s="2098"/>
    </row>
    <row r="75" spans="1:26" hidden="1" x14ac:dyDescent="0.2">
      <c r="B75" s="1987"/>
      <c r="C75" s="1987"/>
      <c r="D75" s="1987"/>
      <c r="E75" s="2034"/>
      <c r="F75" s="1987"/>
      <c r="G75" s="1987"/>
      <c r="H75" s="1987"/>
      <c r="I75" s="2034"/>
      <c r="J75" s="1987"/>
      <c r="K75" s="1987"/>
      <c r="L75" s="1987"/>
      <c r="S75" s="2049"/>
      <c r="T75" s="2049"/>
      <c r="U75" s="1989"/>
      <c r="V75" s="2042"/>
      <c r="W75" s="2042"/>
      <c r="X75" s="1989"/>
      <c r="Y75" s="1989"/>
      <c r="Z75" s="2098"/>
    </row>
    <row r="76" spans="1:26" ht="15" hidden="1" x14ac:dyDescent="0.2">
      <c r="A76" s="2066" t="s">
        <v>2228</v>
      </c>
      <c r="B76" s="1987"/>
      <c r="C76" s="1987"/>
      <c r="D76" s="1987"/>
      <c r="E76" s="2034"/>
      <c r="F76" s="2032">
        <f>SUM(F72:F75)</f>
        <v>0</v>
      </c>
      <c r="G76" s="2032"/>
      <c r="H76" s="2032">
        <f>SUM(H72:H75)</f>
        <v>0</v>
      </c>
      <c r="I76" s="2032"/>
      <c r="J76" s="2032">
        <f>SUM(J72:J75)</f>
        <v>0</v>
      </c>
      <c r="K76" s="2032"/>
      <c r="L76" s="2032">
        <f>SUM(L72:L75)</f>
        <v>0</v>
      </c>
      <c r="M76" s="2072"/>
      <c r="N76" s="2072">
        <f>SUM(N72:N75)</f>
        <v>0</v>
      </c>
      <c r="O76" s="2072"/>
      <c r="P76" s="2072">
        <f>SUM(P72:P75)</f>
        <v>0</v>
      </c>
      <c r="S76" s="2049"/>
      <c r="T76" s="2049"/>
      <c r="U76" s="1989"/>
      <c r="V76" s="2042"/>
      <c r="W76" s="2042"/>
      <c r="X76" s="1989"/>
      <c r="Y76" s="1989"/>
      <c r="Z76" s="2098"/>
    </row>
    <row r="77" spans="1:26" x14ac:dyDescent="0.2">
      <c r="A77" s="2021"/>
      <c r="B77" s="2064"/>
      <c r="C77" s="2052"/>
      <c r="D77" s="2003"/>
      <c r="E77" s="2003"/>
      <c r="F77" s="2023"/>
      <c r="G77" s="2027"/>
      <c r="H77" s="2023"/>
      <c r="I77" s="2024"/>
      <c r="J77" s="2023"/>
      <c r="K77" s="2023"/>
      <c r="L77" s="2023"/>
      <c r="M77" s="2023"/>
      <c r="N77" s="2023"/>
      <c r="O77" s="2024"/>
      <c r="P77" s="2025"/>
      <c r="Q77" s="2054"/>
      <c r="R77" s="2065"/>
      <c r="S77" s="2049"/>
      <c r="T77" s="2049"/>
      <c r="U77" s="1989"/>
      <c r="V77" s="2042"/>
      <c r="W77" s="2042"/>
      <c r="X77" s="1989"/>
      <c r="Y77" s="1989"/>
      <c r="Z77" s="2098"/>
    </row>
    <row r="78" spans="1:26" ht="15" x14ac:dyDescent="0.2">
      <c r="A78" s="2134" t="s">
        <v>2229</v>
      </c>
      <c r="B78" s="2050"/>
      <c r="C78" s="2052"/>
      <c r="D78" s="2003"/>
      <c r="E78" s="2003"/>
      <c r="F78" s="2062">
        <f>+F54+F62+F69+F76</f>
        <v>440462</v>
      </c>
      <c r="G78" s="2027"/>
      <c r="H78" s="2062">
        <f>+H54+H62+H69+H76</f>
        <v>635959.848</v>
      </c>
      <c r="I78" s="2062"/>
      <c r="J78" s="2062">
        <f>+J54+J62+J69+J76</f>
        <v>495358</v>
      </c>
      <c r="K78" s="2062"/>
      <c r="L78" s="2062">
        <f>+L54+L69</f>
        <v>682895</v>
      </c>
      <c r="M78" s="2062"/>
      <c r="N78" s="2062">
        <f>+N54+N62+N69+N76</f>
        <v>0</v>
      </c>
      <c r="O78" s="2062"/>
      <c r="P78" s="2062">
        <f>+P54+P62+P69+P76</f>
        <v>1178253</v>
      </c>
      <c r="Q78" s="2054"/>
      <c r="R78" s="2065"/>
      <c r="S78" s="2049"/>
      <c r="T78" s="2049"/>
      <c r="U78" s="1989"/>
      <c r="V78" s="2042"/>
      <c r="W78" s="2042"/>
      <c r="X78" s="1989"/>
      <c r="Y78" s="1989"/>
      <c r="Z78" s="2098"/>
    </row>
    <row r="79" spans="1:26" ht="12.75" customHeight="1" x14ac:dyDescent="0.2">
      <c r="A79" s="2021"/>
      <c r="B79" s="2064"/>
      <c r="C79" s="2052"/>
      <c r="D79" s="2003"/>
      <c r="E79" s="2003"/>
      <c r="F79" s="2023"/>
      <c r="G79" s="2027"/>
      <c r="H79" s="2023"/>
      <c r="I79" s="2024"/>
      <c r="J79" s="2023"/>
      <c r="K79" s="2023"/>
      <c r="L79" s="2023"/>
      <c r="M79" s="2071"/>
      <c r="N79" s="2071"/>
      <c r="O79" s="2074"/>
      <c r="P79" s="2020"/>
      <c r="Q79" s="2070"/>
      <c r="R79" s="2075"/>
      <c r="S79" s="2049"/>
      <c r="T79" s="2049"/>
      <c r="U79" s="1989"/>
      <c r="V79" s="2042"/>
      <c r="W79" s="2042"/>
      <c r="X79" s="1989"/>
      <c r="Y79" s="1989"/>
      <c r="Z79" s="2098"/>
    </row>
    <row r="80" spans="1:26" ht="12.75" customHeight="1" x14ac:dyDescent="0.2">
      <c r="A80" s="2066" t="s">
        <v>2230</v>
      </c>
      <c r="B80" s="1987"/>
      <c r="C80" s="1987"/>
      <c r="D80" s="1987"/>
      <c r="E80" s="2034"/>
      <c r="F80" s="1987"/>
      <c r="G80" s="1987"/>
      <c r="H80" s="1987"/>
      <c r="I80" s="2034"/>
      <c r="J80" s="1987"/>
      <c r="K80" s="1987"/>
      <c r="L80" s="1987"/>
      <c r="M80" s="1987"/>
      <c r="N80" s="1987"/>
      <c r="O80" s="2034"/>
      <c r="P80" s="1987"/>
      <c r="S80" s="2119"/>
      <c r="T80" s="2049"/>
      <c r="U80" s="1989"/>
      <c r="V80" s="2042"/>
      <c r="W80" s="2042"/>
      <c r="X80" s="1989"/>
      <c r="Y80" s="1989"/>
      <c r="Z80" s="2098"/>
    </row>
    <row r="81" spans="1:26" ht="12.75" customHeight="1" x14ac:dyDescent="0.2">
      <c r="A81" s="2076" t="s">
        <v>2216</v>
      </c>
      <c r="B81" s="1987"/>
      <c r="C81" s="1987"/>
      <c r="D81" s="1987"/>
      <c r="E81" s="2034"/>
      <c r="F81" s="1987"/>
      <c r="G81" s="1987"/>
      <c r="H81" s="1987"/>
      <c r="I81" s="2034"/>
      <c r="J81" s="1987"/>
      <c r="K81" s="1987"/>
      <c r="L81" s="1987"/>
      <c r="M81" s="1987"/>
      <c r="N81" s="1987"/>
      <c r="O81" s="2034"/>
      <c r="P81" s="1987"/>
      <c r="S81" s="2119"/>
      <c r="T81" s="2049"/>
      <c r="U81" s="1989"/>
      <c r="V81" s="2042"/>
      <c r="W81" s="2042"/>
      <c r="X81" s="1989"/>
      <c r="Y81" s="1989"/>
      <c r="Z81" s="2098"/>
    </row>
    <row r="82" spans="1:26" ht="12.75" customHeight="1" x14ac:dyDescent="0.2">
      <c r="A82" s="2076" t="s">
        <v>2231</v>
      </c>
      <c r="B82" s="1987"/>
      <c r="C82" s="2067"/>
      <c r="D82" s="1986"/>
      <c r="E82" s="2003"/>
      <c r="F82" s="2032"/>
      <c r="G82" s="2032"/>
      <c r="H82" s="2032"/>
      <c r="I82" s="2032"/>
      <c r="J82" s="2032"/>
      <c r="K82" s="2032"/>
      <c r="L82" s="2032"/>
      <c r="M82" s="2032"/>
      <c r="N82" s="2032"/>
      <c r="O82" s="2032"/>
      <c r="P82" s="2032"/>
      <c r="Q82" s="2068"/>
      <c r="R82" s="2069"/>
      <c r="S82" s="2119"/>
      <c r="T82" s="2049"/>
      <c r="U82" s="1989"/>
      <c r="V82" s="2042"/>
      <c r="W82" s="2042"/>
      <c r="X82" s="1989"/>
      <c r="Y82" s="1989"/>
      <c r="Z82" s="2098"/>
    </row>
    <row r="83" spans="1:26" ht="16.5" customHeight="1" x14ac:dyDescent="0.2">
      <c r="A83" s="2017"/>
      <c r="B83" s="2050" t="s">
        <v>2232</v>
      </c>
      <c r="C83" s="2051">
        <v>45.31</v>
      </c>
      <c r="D83" s="2003" t="s">
        <v>2233</v>
      </c>
      <c r="E83" s="2003"/>
      <c r="F83" s="2031" t="s">
        <v>1231</v>
      </c>
      <c r="G83" s="2023"/>
      <c r="H83" s="2031">
        <v>4999</v>
      </c>
      <c r="I83" s="2024"/>
      <c r="J83" s="2031">
        <v>0</v>
      </c>
      <c r="K83" s="2023"/>
      <c r="L83" s="2031">
        <v>4999</v>
      </c>
      <c r="M83" s="2023"/>
      <c r="N83" s="2031" t="s">
        <v>1231</v>
      </c>
      <c r="O83" s="2024"/>
      <c r="P83" s="2032">
        <f>N83+L83+J83</f>
        <v>4999</v>
      </c>
      <c r="Q83" s="2070"/>
      <c r="R83" s="2026">
        <v>4999</v>
      </c>
      <c r="S83" s="2049"/>
      <c r="T83" s="2049"/>
      <c r="U83" s="1989"/>
      <c r="V83" s="2042"/>
      <c r="W83" s="2042"/>
      <c r="X83" s="1989"/>
      <c r="Y83" s="1989"/>
      <c r="Z83" s="2098"/>
    </row>
    <row r="84" spans="1:26" ht="12" customHeight="1" x14ac:dyDescent="0.2">
      <c r="A84" s="2017"/>
      <c r="B84" s="2050"/>
      <c r="C84" s="2051"/>
      <c r="D84" s="2003"/>
      <c r="E84" s="2003"/>
      <c r="F84" s="2031"/>
      <c r="G84" s="2023"/>
      <c r="H84" s="2031"/>
      <c r="I84" s="2024"/>
      <c r="J84" s="2031"/>
      <c r="K84" s="2023"/>
      <c r="L84" s="2031"/>
      <c r="M84" s="2023"/>
      <c r="N84" s="2031"/>
      <c r="O84" s="2024"/>
      <c r="P84" s="2032"/>
      <c r="Q84" s="2070"/>
      <c r="R84" s="2026"/>
      <c r="S84" s="2049"/>
      <c r="T84" s="2049"/>
      <c r="U84" s="1989"/>
      <c r="V84" s="2042"/>
      <c r="W84" s="2042"/>
      <c r="X84" s="1989"/>
      <c r="Y84" s="1989"/>
      <c r="Z84" s="2098"/>
    </row>
    <row r="85" spans="1:26" ht="12.75" customHeight="1" x14ac:dyDescent="0.2">
      <c r="A85" s="2017" t="s">
        <v>2234</v>
      </c>
      <c r="B85" s="2050"/>
      <c r="C85" s="2051"/>
      <c r="D85" s="2003"/>
      <c r="E85" s="2003"/>
      <c r="F85" s="2062">
        <f>SUM(F82:F83)</f>
        <v>0</v>
      </c>
      <c r="G85" s="2031">
        <f t="shared" ref="G85:P85" si="0">SUM(G82:G83)</f>
        <v>0</v>
      </c>
      <c r="H85" s="2062">
        <f t="shared" si="0"/>
        <v>4999</v>
      </c>
      <c r="I85" s="2031"/>
      <c r="J85" s="2062">
        <f t="shared" si="0"/>
        <v>0</v>
      </c>
      <c r="K85" s="2031"/>
      <c r="L85" s="2062">
        <f t="shared" si="0"/>
        <v>4999</v>
      </c>
      <c r="M85" s="2031"/>
      <c r="N85" s="2062">
        <f t="shared" si="0"/>
        <v>0</v>
      </c>
      <c r="O85" s="2031"/>
      <c r="P85" s="2062">
        <f t="shared" si="0"/>
        <v>4999</v>
      </c>
      <c r="Q85" s="2070"/>
      <c r="R85" s="2026"/>
      <c r="S85" s="2049"/>
      <c r="T85" s="2049"/>
      <c r="U85" s="1989"/>
      <c r="V85" s="2042"/>
      <c r="W85" s="2042"/>
      <c r="X85" s="1989"/>
      <c r="Y85" s="1989"/>
      <c r="Z85" s="2098"/>
    </row>
    <row r="86" spans="1:26" ht="12.75" customHeight="1" x14ac:dyDescent="0.2">
      <c r="A86" s="2017"/>
      <c r="B86" s="2050"/>
      <c r="C86" s="2051"/>
      <c r="D86" s="2003"/>
      <c r="E86" s="2003"/>
      <c r="F86" s="2062"/>
      <c r="G86" s="2031"/>
      <c r="H86" s="2062"/>
      <c r="I86" s="2031"/>
      <c r="J86" s="2062"/>
      <c r="K86" s="2031"/>
      <c r="L86" s="2062"/>
      <c r="M86" s="2031"/>
      <c r="N86" s="2062"/>
      <c r="O86" s="2031"/>
      <c r="P86" s="2062"/>
      <c r="Q86" s="2070"/>
      <c r="R86" s="2026"/>
      <c r="S86" s="2049"/>
      <c r="T86" s="2049"/>
      <c r="U86" s="1989"/>
      <c r="V86" s="2042"/>
      <c r="W86" s="2042"/>
      <c r="X86" s="1989"/>
      <c r="Y86" s="1989"/>
      <c r="Z86" s="2098"/>
    </row>
    <row r="87" spans="1:26" ht="12.75" hidden="1" customHeight="1" x14ac:dyDescent="0.2">
      <c r="A87" s="2017" t="s">
        <v>2235</v>
      </c>
      <c r="B87" s="2050"/>
      <c r="C87" s="2051"/>
      <c r="D87" s="2003"/>
      <c r="E87" s="2003"/>
      <c r="F87" s="2062"/>
      <c r="G87" s="2031"/>
      <c r="H87" s="2062"/>
      <c r="I87" s="2031"/>
      <c r="J87" s="2062"/>
      <c r="K87" s="2031"/>
      <c r="L87" s="2062"/>
      <c r="M87" s="2031"/>
      <c r="N87" s="2062"/>
      <c r="O87" s="2031"/>
      <c r="P87" s="2062"/>
      <c r="Q87" s="2070"/>
      <c r="R87" s="2026"/>
      <c r="S87" s="2049"/>
      <c r="T87" s="2049"/>
      <c r="U87" s="1989"/>
      <c r="V87" s="2042"/>
      <c r="W87" s="2042"/>
      <c r="X87" s="1989"/>
      <c r="Y87" s="1989"/>
      <c r="Z87" s="2098"/>
    </row>
    <row r="88" spans="1:26" ht="12.75" hidden="1" customHeight="1" x14ac:dyDescent="0.2">
      <c r="A88" s="2017"/>
      <c r="B88" s="2050"/>
      <c r="C88" s="2051"/>
      <c r="D88" s="2003"/>
      <c r="E88" s="2003"/>
      <c r="F88" s="2062"/>
      <c r="G88" s="2031"/>
      <c r="H88" s="2062"/>
      <c r="I88" s="2031"/>
      <c r="J88" s="2062"/>
      <c r="K88" s="2031"/>
      <c r="L88" s="2062"/>
      <c r="M88" s="2031"/>
      <c r="N88" s="2062"/>
      <c r="O88" s="2031"/>
      <c r="P88" s="2062"/>
      <c r="Q88" s="2070"/>
      <c r="R88" s="2026"/>
      <c r="S88" s="2049"/>
      <c r="T88" s="2049"/>
      <c r="U88" s="1989"/>
      <c r="V88" s="2042"/>
      <c r="W88" s="2042"/>
      <c r="X88" s="1989"/>
      <c r="Y88" s="1989"/>
      <c r="Z88" s="2098"/>
    </row>
    <row r="89" spans="1:26" s="2078" customFormat="1" ht="13.5" hidden="1" customHeight="1" x14ac:dyDescent="0.2">
      <c r="A89" s="2021"/>
      <c r="B89" s="2050" t="s">
        <v>2236</v>
      </c>
      <c r="C89" s="2051" t="s">
        <v>2237</v>
      </c>
      <c r="D89" s="2003" t="s">
        <v>2238</v>
      </c>
      <c r="E89" s="2034"/>
      <c r="F89" s="2031">
        <v>0</v>
      </c>
      <c r="G89" s="2023"/>
      <c r="H89" s="2031">
        <v>0</v>
      </c>
      <c r="I89" s="2024"/>
      <c r="J89" s="2031">
        <v>0</v>
      </c>
      <c r="K89" s="2023"/>
      <c r="L89" s="2031">
        <v>0</v>
      </c>
      <c r="M89" s="2071"/>
      <c r="N89" s="2077">
        <v>0</v>
      </c>
      <c r="O89" s="2027"/>
      <c r="P89" s="2032">
        <f>N89+L89+J89</f>
        <v>0</v>
      </c>
      <c r="Q89" s="2071"/>
      <c r="R89" s="2026"/>
      <c r="S89" s="2049"/>
      <c r="T89" s="2049"/>
      <c r="U89" s="1989"/>
      <c r="V89" s="2042"/>
      <c r="W89" s="2042"/>
      <c r="X89" s="1989"/>
      <c r="Y89" s="2121"/>
      <c r="Z89" s="2140"/>
    </row>
    <row r="90" spans="1:26" ht="12.75" hidden="1" customHeight="1" x14ac:dyDescent="0.2">
      <c r="A90" s="2017"/>
      <c r="B90" s="2050"/>
      <c r="C90" s="2051"/>
      <c r="D90" s="2003"/>
      <c r="E90" s="2003"/>
      <c r="F90" s="2062"/>
      <c r="G90" s="2031"/>
      <c r="H90" s="2062"/>
      <c r="I90" s="2031"/>
      <c r="J90" s="2062"/>
      <c r="K90" s="2031"/>
      <c r="L90" s="2062"/>
      <c r="M90" s="2031"/>
      <c r="N90" s="2062"/>
      <c r="O90" s="2031"/>
      <c r="P90" s="2062"/>
      <c r="Q90" s="2070"/>
      <c r="R90" s="2026"/>
      <c r="S90" s="2049"/>
      <c r="T90" s="2049"/>
      <c r="U90" s="1989"/>
      <c r="V90" s="2042"/>
      <c r="W90" s="2042"/>
      <c r="X90" s="1989"/>
      <c r="Y90" s="1989"/>
      <c r="Z90" s="2098"/>
    </row>
    <row r="91" spans="1:26" ht="12.75" hidden="1" customHeight="1" x14ac:dyDescent="0.2">
      <c r="A91" s="2134" t="s">
        <v>2239</v>
      </c>
      <c r="B91" s="2050"/>
      <c r="C91" s="2051"/>
      <c r="D91" s="2003"/>
      <c r="E91" s="2003"/>
      <c r="F91" s="2062">
        <f>SUM(F88:F90)</f>
        <v>0</v>
      </c>
      <c r="G91" s="2031"/>
      <c r="H91" s="2062">
        <f>SUM(H88:H90)</f>
        <v>0</v>
      </c>
      <c r="I91" s="2031"/>
      <c r="J91" s="2062">
        <f>SUM(J88:J90)</f>
        <v>0</v>
      </c>
      <c r="K91" s="2031"/>
      <c r="L91" s="2062">
        <f>SUM(L88:L90)</f>
        <v>0</v>
      </c>
      <c r="M91" s="2031"/>
      <c r="N91" s="2062">
        <f>SUM(N88:N90)</f>
        <v>0</v>
      </c>
      <c r="O91" s="2031"/>
      <c r="P91" s="2062">
        <f>SUM(P88:P90)</f>
        <v>0</v>
      </c>
      <c r="Q91" s="2070"/>
      <c r="R91" s="2026"/>
      <c r="S91" s="2049"/>
      <c r="T91" s="2049"/>
      <c r="U91" s="1989"/>
      <c r="V91" s="2042"/>
      <c r="W91" s="2042"/>
      <c r="X91" s="1989"/>
      <c r="Y91" s="1989"/>
      <c r="Z91" s="2098"/>
    </row>
    <row r="92" spans="1:26" ht="12.75" customHeight="1" x14ac:dyDescent="0.2">
      <c r="A92" s="2017"/>
      <c r="B92" s="2050"/>
      <c r="C92" s="2051"/>
      <c r="D92" s="2003"/>
      <c r="E92" s="2003"/>
      <c r="F92" s="2062"/>
      <c r="G92" s="2031"/>
      <c r="H92" s="2062"/>
      <c r="I92" s="2031"/>
      <c r="J92" s="2062"/>
      <c r="K92" s="2031"/>
      <c r="L92" s="2062"/>
      <c r="M92" s="2031"/>
      <c r="N92" s="2062"/>
      <c r="O92" s="2031"/>
      <c r="P92" s="2062"/>
      <c r="Q92" s="2070"/>
      <c r="R92" s="2026"/>
      <c r="S92" s="2049"/>
      <c r="T92" s="2049"/>
      <c r="U92" s="1989"/>
      <c r="V92" s="2042"/>
      <c r="W92" s="2042"/>
      <c r="X92" s="1989"/>
      <c r="Y92" s="1989"/>
      <c r="Z92" s="2098"/>
    </row>
    <row r="93" spans="1:26" ht="12.75" hidden="1" customHeight="1" x14ac:dyDescent="0.2">
      <c r="A93" s="2134" t="s">
        <v>2240</v>
      </c>
      <c r="B93" s="2050"/>
      <c r="C93" s="2051"/>
      <c r="D93" s="2003"/>
      <c r="E93" s="2003"/>
      <c r="F93" s="2062">
        <v>0</v>
      </c>
      <c r="G93" s="2031"/>
      <c r="H93" s="2062">
        <v>0</v>
      </c>
      <c r="I93" s="2031"/>
      <c r="J93" s="2062">
        <v>0</v>
      </c>
      <c r="K93" s="2031"/>
      <c r="L93" s="2062">
        <v>0</v>
      </c>
      <c r="M93" s="2031"/>
      <c r="N93" s="2062">
        <f>N54+N91</f>
        <v>0</v>
      </c>
      <c r="O93" s="2031"/>
      <c r="P93" s="2062">
        <v>0</v>
      </c>
      <c r="Q93" s="2070"/>
      <c r="R93" s="2026"/>
      <c r="S93" s="2049"/>
      <c r="T93" s="2049"/>
      <c r="U93" s="1989"/>
      <c r="V93" s="2042"/>
      <c r="W93" s="2042"/>
      <c r="X93" s="1989"/>
      <c r="Y93" s="1989"/>
      <c r="Z93" s="2098"/>
    </row>
    <row r="94" spans="1:26" ht="12.75" hidden="1" customHeight="1" x14ac:dyDescent="0.2">
      <c r="A94" s="2079" t="s">
        <v>1231</v>
      </c>
      <c r="B94" s="2064"/>
      <c r="C94" s="2052"/>
      <c r="D94" s="2003"/>
      <c r="E94" s="2003"/>
      <c r="F94" s="2023"/>
      <c r="G94" s="2027"/>
      <c r="H94" s="2023"/>
      <c r="I94" s="2024"/>
      <c r="J94" s="2023"/>
      <c r="K94" s="2023"/>
      <c r="L94" s="2023"/>
      <c r="M94" s="2071"/>
      <c r="N94" s="2071"/>
      <c r="O94" s="2074"/>
      <c r="P94" s="2020"/>
      <c r="Q94" s="2070"/>
      <c r="R94" s="2075"/>
      <c r="S94" s="2049"/>
      <c r="T94" s="2049"/>
      <c r="U94" s="1989"/>
      <c r="V94" s="2042"/>
      <c r="W94" s="2042"/>
      <c r="X94" s="1989"/>
      <c r="Y94" s="1989"/>
      <c r="Z94" s="2098"/>
    </row>
    <row r="95" spans="1:26" x14ac:dyDescent="0.2">
      <c r="A95" s="2066" t="s">
        <v>2241</v>
      </c>
      <c r="B95" s="1987"/>
      <c r="C95" s="1987"/>
      <c r="D95" s="1987"/>
      <c r="E95" s="2034"/>
      <c r="F95" s="1987"/>
      <c r="G95" s="1987"/>
      <c r="H95" s="1987"/>
      <c r="I95" s="2034"/>
      <c r="J95" s="1987"/>
      <c r="K95" s="1987"/>
      <c r="L95" s="1987"/>
      <c r="M95" s="1987"/>
      <c r="N95" s="1987"/>
      <c r="O95" s="2034"/>
      <c r="P95" s="1987"/>
      <c r="S95" s="2119"/>
      <c r="T95" s="2119"/>
      <c r="U95" s="1989"/>
      <c r="V95" s="2042"/>
      <c r="W95" s="2042"/>
      <c r="X95" s="1989"/>
      <c r="Y95" s="2121"/>
      <c r="Z95" s="2098"/>
    </row>
    <row r="96" spans="1:26" x14ac:dyDescent="0.2">
      <c r="A96" s="2066" t="s">
        <v>2216</v>
      </c>
      <c r="B96" s="1987"/>
      <c r="C96" s="1987"/>
      <c r="D96" s="1987"/>
      <c r="E96" s="2034"/>
      <c r="F96" s="1987"/>
      <c r="G96" s="1987"/>
      <c r="H96" s="1987"/>
      <c r="I96" s="2034"/>
      <c r="J96" s="2080"/>
      <c r="K96" s="1987"/>
      <c r="L96" s="2037"/>
      <c r="M96" s="1987"/>
      <c r="N96" s="1987"/>
      <c r="O96" s="2034"/>
      <c r="P96" s="1987"/>
      <c r="S96" s="2119"/>
      <c r="T96" s="2119"/>
      <c r="U96" s="1989"/>
      <c r="V96" s="2042"/>
      <c r="W96" s="2042"/>
      <c r="X96" s="1989"/>
      <c r="Y96" s="2121"/>
      <c r="Z96" s="2098"/>
    </row>
    <row r="97" spans="1:26" ht="15" x14ac:dyDescent="0.2">
      <c r="A97" s="2066" t="s">
        <v>2242</v>
      </c>
      <c r="B97" s="1987"/>
      <c r="C97" s="2067"/>
      <c r="D97" s="1986"/>
      <c r="E97" s="2003"/>
      <c r="F97" s="2032"/>
      <c r="G97" s="2032"/>
      <c r="H97" s="2032"/>
      <c r="I97" s="2032"/>
      <c r="J97" s="2032"/>
      <c r="K97" s="2032"/>
      <c r="L97" s="2032"/>
      <c r="M97" s="2032"/>
      <c r="N97" s="2032"/>
      <c r="O97" s="2032"/>
      <c r="P97" s="2032"/>
      <c r="Q97" s="2068"/>
      <c r="R97" s="2069"/>
      <c r="S97" s="2119"/>
      <c r="T97" s="2119"/>
      <c r="U97" s="1989"/>
      <c r="V97" s="2042"/>
      <c r="W97" s="2042"/>
      <c r="X97" s="1989"/>
      <c r="Y97" s="1989"/>
      <c r="Z97" s="2098"/>
    </row>
    <row r="98" spans="1:26" s="2081" customFormat="1" x14ac:dyDescent="0.2">
      <c r="A98" s="2017"/>
      <c r="B98" s="2050" t="s">
        <v>2243</v>
      </c>
      <c r="C98" s="2051">
        <v>93.778000000000006</v>
      </c>
      <c r="D98" s="2003" t="s">
        <v>2244</v>
      </c>
      <c r="E98" s="2003"/>
      <c r="F98" s="2025">
        <v>15778</v>
      </c>
      <c r="G98" s="2025"/>
      <c r="H98" s="2025">
        <v>3970</v>
      </c>
      <c r="I98" s="2025"/>
      <c r="J98" s="2025">
        <v>20571</v>
      </c>
      <c r="K98" s="2025"/>
      <c r="L98" s="2025">
        <v>0</v>
      </c>
      <c r="M98" s="2025"/>
      <c r="N98" s="2025"/>
      <c r="O98" s="2025"/>
      <c r="P98" s="2025">
        <f>N98+L98+J98</f>
        <v>20571</v>
      </c>
      <c r="Q98" s="2070"/>
      <c r="R98" s="2026" t="s">
        <v>2182</v>
      </c>
      <c r="S98" s="2049"/>
      <c r="T98" s="2049"/>
      <c r="U98" s="1989"/>
      <c r="V98" s="2042"/>
      <c r="W98" s="2042"/>
      <c r="X98" s="1989"/>
      <c r="Y98" s="2121"/>
      <c r="Z98" s="2141"/>
    </row>
    <row r="99" spans="1:26" ht="15" x14ac:dyDescent="0.2">
      <c r="A99" s="2021"/>
      <c r="B99" s="2050" t="s">
        <v>2243</v>
      </c>
      <c r="C99" s="2051">
        <v>93.778000000000006</v>
      </c>
      <c r="D99" s="2003" t="s">
        <v>2245</v>
      </c>
      <c r="E99" s="2057"/>
      <c r="F99" s="2031">
        <v>0</v>
      </c>
      <c r="G99" s="2023"/>
      <c r="H99" s="2031">
        <f>4583+3803</f>
        <v>8386</v>
      </c>
      <c r="I99" s="2024"/>
      <c r="J99" s="2031" t="s">
        <v>1231</v>
      </c>
      <c r="K99" s="2023"/>
      <c r="L99" s="2031">
        <v>8736</v>
      </c>
      <c r="M99" s="2023"/>
      <c r="N99" s="2031">
        <v>0</v>
      </c>
      <c r="O99" s="2024"/>
      <c r="P99" s="2032">
        <f>N99+L99+J99</f>
        <v>8736</v>
      </c>
      <c r="Q99" s="2071"/>
      <c r="R99" s="2026" t="s">
        <v>2182</v>
      </c>
      <c r="S99" s="2049"/>
      <c r="T99" s="2049"/>
      <c r="U99" s="1989"/>
      <c r="V99" s="2042"/>
      <c r="W99" s="2042"/>
      <c r="X99" s="1989"/>
      <c r="Y99" s="2121"/>
      <c r="Z99" s="2098"/>
    </row>
    <row r="100" spans="1:26" ht="12.75" customHeight="1" x14ac:dyDescent="0.15">
      <c r="B100" s="1987"/>
      <c r="C100" s="1987"/>
      <c r="D100" s="1987"/>
      <c r="E100" s="2034"/>
      <c r="F100" s="1987"/>
      <c r="G100" s="1987"/>
      <c r="H100" s="1987"/>
      <c r="I100" s="2034"/>
      <c r="J100" s="1987"/>
      <c r="K100" s="1987"/>
      <c r="L100" s="1987"/>
      <c r="S100" s="2049"/>
      <c r="T100" s="2049"/>
      <c r="U100" s="1989"/>
      <c r="V100" s="2042"/>
      <c r="W100" s="2042"/>
      <c r="X100" s="1989"/>
      <c r="Y100" s="2112"/>
      <c r="Z100" s="2098"/>
    </row>
    <row r="101" spans="1:26" s="2078" customFormat="1" ht="13.5" customHeight="1" x14ac:dyDescent="0.2">
      <c r="A101" s="2017" t="s">
        <v>2246</v>
      </c>
      <c r="B101" s="1987"/>
      <c r="C101" s="1987"/>
      <c r="D101" s="1987"/>
      <c r="E101" s="2034"/>
      <c r="F101" s="2032">
        <f>SUM(F97:F100)</f>
        <v>15778</v>
      </c>
      <c r="G101" s="2032"/>
      <c r="H101" s="2032">
        <f>SUM(H97:H100)</f>
        <v>12356</v>
      </c>
      <c r="I101" s="2032"/>
      <c r="J101" s="2032">
        <f>SUM(J97:J100)</f>
        <v>20571</v>
      </c>
      <c r="K101" s="2032"/>
      <c r="L101" s="2032">
        <f>SUM(L97:L100)</f>
        <v>8736</v>
      </c>
      <c r="M101" s="2072"/>
      <c r="N101" s="2072">
        <f>SUM(N97:N100)</f>
        <v>0</v>
      </c>
      <c r="O101" s="2072"/>
      <c r="P101" s="2072">
        <f>SUM(P97:P100)</f>
        <v>29307</v>
      </c>
      <c r="Q101" s="1984"/>
      <c r="R101" s="1984"/>
      <c r="S101" s="2049"/>
      <c r="T101" s="2049"/>
      <c r="U101" s="1989"/>
      <c r="V101" s="2042"/>
      <c r="W101" s="2042"/>
      <c r="X101" s="1989"/>
      <c r="Y101" s="2121"/>
      <c r="Z101" s="2140"/>
    </row>
    <row r="102" spans="1:26" s="2078" customFormat="1" ht="13.5" customHeight="1" x14ac:dyDescent="0.2">
      <c r="A102" s="2017"/>
      <c r="B102" s="1987"/>
      <c r="C102" s="1987"/>
      <c r="D102" s="1987"/>
      <c r="E102" s="2034"/>
      <c r="F102" s="2032"/>
      <c r="G102" s="2032"/>
      <c r="H102" s="2032"/>
      <c r="I102" s="2032"/>
      <c r="J102" s="2032"/>
      <c r="K102" s="2032"/>
      <c r="L102" s="2032"/>
      <c r="M102" s="2072"/>
      <c r="N102" s="2072"/>
      <c r="O102" s="2072"/>
      <c r="P102" s="2072"/>
      <c r="Q102" s="1984"/>
      <c r="R102" s="1984"/>
      <c r="S102" s="2049"/>
      <c r="T102" s="2049"/>
      <c r="U102" s="1989"/>
      <c r="V102" s="2042"/>
      <c r="W102" s="2042"/>
      <c r="X102" s="1989"/>
      <c r="Y102" s="2121"/>
      <c r="Z102" s="2140"/>
    </row>
    <row r="103" spans="1:26" s="2078" customFormat="1" ht="13.5" hidden="1" customHeight="1" x14ac:dyDescent="0.2">
      <c r="A103" s="2017" t="s">
        <v>2247</v>
      </c>
      <c r="B103" s="1987"/>
      <c r="C103" s="1987"/>
      <c r="D103" s="1987"/>
      <c r="E103" s="2034"/>
      <c r="F103" s="2032"/>
      <c r="G103" s="2032"/>
      <c r="H103" s="2032"/>
      <c r="I103" s="2032"/>
      <c r="J103" s="2032"/>
      <c r="K103" s="2032"/>
      <c r="L103" s="2032"/>
      <c r="M103" s="2072"/>
      <c r="N103" s="2072"/>
      <c r="O103" s="2072"/>
      <c r="P103" s="2072"/>
      <c r="Q103" s="1984"/>
      <c r="R103" s="1984"/>
      <c r="S103" s="2049"/>
      <c r="T103" s="2049"/>
      <c r="U103" s="1989"/>
      <c r="V103" s="2042"/>
      <c r="W103" s="2042"/>
      <c r="X103" s="1989"/>
      <c r="Y103" s="2121"/>
      <c r="Z103" s="2140"/>
    </row>
    <row r="104" spans="1:26" s="2078" customFormat="1" ht="13.5" hidden="1" customHeight="1" x14ac:dyDescent="0.2">
      <c r="A104" s="2017" t="s">
        <v>2248</v>
      </c>
      <c r="B104" s="1987"/>
      <c r="C104" s="1987"/>
      <c r="D104" s="1987"/>
      <c r="E104" s="2034"/>
      <c r="F104" s="2032"/>
      <c r="G104" s="2032"/>
      <c r="H104" s="2032"/>
      <c r="I104" s="2032"/>
      <c r="J104" s="2032"/>
      <c r="K104" s="2032"/>
      <c r="L104" s="2032"/>
      <c r="M104" s="2072"/>
      <c r="N104" s="2072"/>
      <c r="O104" s="2072"/>
      <c r="P104" s="2072"/>
      <c r="Q104" s="1984"/>
      <c r="R104" s="1984"/>
      <c r="S104" s="2049"/>
      <c r="T104" s="2049"/>
      <c r="U104" s="1989"/>
      <c r="V104" s="2042"/>
      <c r="W104" s="2042"/>
      <c r="X104" s="1989"/>
      <c r="Y104" s="2121"/>
      <c r="Z104" s="2140"/>
    </row>
    <row r="105" spans="1:26" s="2078" customFormat="1" ht="13.5" hidden="1" customHeight="1" x14ac:dyDescent="0.2">
      <c r="A105" s="2017" t="s">
        <v>2249</v>
      </c>
      <c r="B105" s="1987"/>
      <c r="C105" s="1987"/>
      <c r="D105" s="1987"/>
      <c r="E105" s="2034"/>
      <c r="F105" s="2031"/>
      <c r="G105" s="2023"/>
      <c r="H105" s="2031"/>
      <c r="I105" s="2024"/>
      <c r="J105" s="2031"/>
      <c r="K105" s="2023"/>
      <c r="L105" s="2031"/>
      <c r="M105" s="2071"/>
      <c r="N105" s="2077"/>
      <c r="O105" s="2074"/>
      <c r="P105" s="2072"/>
      <c r="Q105" s="2071"/>
      <c r="R105" s="2071"/>
      <c r="S105" s="2049"/>
      <c r="T105" s="2049"/>
      <c r="U105" s="1989"/>
      <c r="V105" s="2042"/>
      <c r="W105" s="2042"/>
      <c r="X105" s="1989"/>
      <c r="Y105" s="2121"/>
      <c r="Z105" s="2098"/>
    </row>
    <row r="106" spans="1:26" s="2078" customFormat="1" ht="13.5" hidden="1" customHeight="1" x14ac:dyDescent="0.2">
      <c r="A106" s="2021"/>
      <c r="B106" s="2050"/>
      <c r="C106" s="2051"/>
      <c r="D106" s="2003"/>
      <c r="E106" s="2034"/>
      <c r="F106" s="2031">
        <v>0</v>
      </c>
      <c r="G106" s="2023"/>
      <c r="H106" s="2031"/>
      <c r="I106" s="2024"/>
      <c r="J106" s="2031">
        <v>0</v>
      </c>
      <c r="K106" s="2023"/>
      <c r="L106" s="2031"/>
      <c r="M106" s="2071"/>
      <c r="N106" s="2077">
        <v>0</v>
      </c>
      <c r="O106" s="2074"/>
      <c r="P106" s="2032">
        <f>N106+L106+J106</f>
        <v>0</v>
      </c>
      <c r="Q106" s="2071"/>
      <c r="R106" s="2071"/>
      <c r="S106" s="2049"/>
      <c r="T106" s="2049"/>
      <c r="U106" s="1989"/>
      <c r="V106" s="2042"/>
      <c r="W106" s="2042"/>
      <c r="X106" s="1989"/>
      <c r="Y106" s="2121"/>
      <c r="Z106" s="2140"/>
    </row>
    <row r="107" spans="1:26" s="2078" customFormat="1" ht="13.5" hidden="1" customHeight="1" x14ac:dyDescent="0.2">
      <c r="A107" s="2017"/>
      <c r="B107" s="1987"/>
      <c r="C107" s="1987"/>
      <c r="D107" s="1987"/>
      <c r="E107" s="2034"/>
      <c r="F107" s="2032"/>
      <c r="G107" s="2032"/>
      <c r="H107" s="2032"/>
      <c r="I107" s="2032"/>
      <c r="J107" s="2032"/>
      <c r="K107" s="2032"/>
      <c r="L107" s="2032"/>
      <c r="M107" s="2072"/>
      <c r="N107" s="2072"/>
      <c r="O107" s="2072"/>
      <c r="P107" s="2072"/>
      <c r="Q107" s="1984"/>
      <c r="R107" s="1984"/>
      <c r="S107" s="2049"/>
      <c r="T107" s="2049"/>
      <c r="U107" s="2040"/>
      <c r="V107" s="2042"/>
      <c r="W107" s="2042"/>
      <c r="X107" s="2098"/>
      <c r="Y107" s="2121"/>
      <c r="Z107" s="2140"/>
    </row>
    <row r="108" spans="1:26" s="2078" customFormat="1" ht="13.5" customHeight="1" x14ac:dyDescent="0.15">
      <c r="A108" s="2017" t="s">
        <v>2250</v>
      </c>
      <c r="B108" s="1986"/>
      <c r="C108" s="1986"/>
      <c r="D108" s="1986"/>
      <c r="E108" s="2003"/>
      <c r="F108" s="2082">
        <f>+F28+F78+F101+F85</f>
        <v>590642</v>
      </c>
      <c r="G108" s="2082"/>
      <c r="H108" s="2082">
        <f>+H28+H78+H101+H85</f>
        <v>821028.848</v>
      </c>
      <c r="I108" s="2082"/>
      <c r="J108" s="2082">
        <f>+J28+J78+J101+J85</f>
        <v>706222</v>
      </c>
      <c r="K108" s="2082"/>
      <c r="L108" s="2082">
        <f>+L28+L78+L101+L85</f>
        <v>916485</v>
      </c>
      <c r="M108" s="2083"/>
      <c r="N108" s="2082">
        <f>+N28+N78+N101+N85</f>
        <v>0</v>
      </c>
      <c r="O108" s="2083"/>
      <c r="P108" s="2082">
        <f>+P28+P78+P101+P85</f>
        <v>1622707</v>
      </c>
      <c r="Q108" s="2071"/>
      <c r="R108" s="2071"/>
      <c r="S108" s="2049"/>
      <c r="T108" s="2049"/>
      <c r="U108" s="1989"/>
      <c r="V108" s="2042"/>
      <c r="W108" s="2042"/>
      <c r="X108" s="1989"/>
      <c r="Y108" s="1989"/>
      <c r="Z108" s="2140"/>
    </row>
    <row r="109" spans="1:26" s="2084" customFormat="1" ht="13.5" hidden="1" customHeight="1" x14ac:dyDescent="0.2">
      <c r="A109" s="2017"/>
      <c r="B109" s="1986"/>
      <c r="C109" s="1986"/>
      <c r="D109" s="1986" t="s">
        <v>1231</v>
      </c>
      <c r="E109" s="2003"/>
      <c r="F109" s="2082"/>
      <c r="G109" s="2082"/>
      <c r="H109" s="2082"/>
      <c r="I109" s="2082"/>
      <c r="J109" s="2082"/>
      <c r="K109" s="2082"/>
      <c r="L109" s="2082"/>
      <c r="M109" s="2083"/>
      <c r="N109" s="2083"/>
      <c r="O109" s="2083"/>
      <c r="P109" s="2083"/>
      <c r="Q109" s="2071"/>
      <c r="R109" s="2071"/>
      <c r="S109" s="2049"/>
      <c r="T109" s="2049"/>
      <c r="U109" s="1989"/>
      <c r="V109" s="2042"/>
      <c r="W109" s="2042"/>
      <c r="X109" s="2142"/>
      <c r="Y109" s="2121"/>
      <c r="Z109" s="2142"/>
    </row>
    <row r="110" spans="1:26" ht="15" x14ac:dyDescent="0.2">
      <c r="A110" s="2017"/>
      <c r="B110" s="1986"/>
      <c r="C110" s="1986"/>
      <c r="D110" s="1986"/>
      <c r="E110" s="2003"/>
      <c r="F110" s="2085"/>
      <c r="G110" s="2085"/>
      <c r="H110" s="2085"/>
      <c r="I110" s="2085"/>
      <c r="J110" s="2085"/>
      <c r="K110" s="2085"/>
      <c r="L110" s="2085"/>
      <c r="M110" s="2086"/>
      <c r="N110" s="2086"/>
      <c r="O110" s="2086"/>
      <c r="P110" s="2086"/>
      <c r="Q110" s="2071"/>
      <c r="R110" s="2071"/>
      <c r="S110" s="2049"/>
      <c r="T110" s="2049"/>
      <c r="U110" s="2123"/>
      <c r="V110" s="2042"/>
      <c r="W110" s="2042"/>
      <c r="X110" s="2042"/>
      <c r="Y110" s="2121"/>
      <c r="Z110" s="2098"/>
    </row>
    <row r="111" spans="1:26" x14ac:dyDescent="0.2">
      <c r="A111" s="2087" t="s">
        <v>2251</v>
      </c>
      <c r="B111" s="1986"/>
      <c r="C111" s="1986"/>
      <c r="D111" s="1986"/>
      <c r="E111" s="2003"/>
      <c r="F111" s="2023">
        <f>+F28+F54</f>
        <v>242954</v>
      </c>
      <c r="G111" s="2023"/>
      <c r="H111" s="2023">
        <f>+H28+H54</f>
        <v>408846.848</v>
      </c>
      <c r="I111" s="2023"/>
      <c r="J111" s="2023">
        <f>+J28+J54</f>
        <v>353741</v>
      </c>
      <c r="K111" s="2023"/>
      <c r="L111" s="2023">
        <f>+L28+L54</f>
        <v>507923</v>
      </c>
      <c r="M111" s="2071"/>
      <c r="N111" s="2071">
        <f>+N28+N54</f>
        <v>0</v>
      </c>
      <c r="O111" s="2071"/>
      <c r="P111" s="2071">
        <f>+P28+P54</f>
        <v>861664</v>
      </c>
      <c r="Q111" s="2071"/>
      <c r="R111" s="2071"/>
      <c r="S111" s="2049"/>
      <c r="T111" s="2049"/>
      <c r="U111" s="2115"/>
      <c r="V111" s="2143"/>
      <c r="W111" s="2143"/>
      <c r="X111" s="1989"/>
      <c r="Y111" s="2121"/>
      <c r="Z111" s="2098"/>
    </row>
    <row r="112" spans="1:26" x14ac:dyDescent="0.2">
      <c r="A112" s="2017"/>
      <c r="B112" s="1986"/>
      <c r="C112" s="1986"/>
      <c r="D112" s="1986"/>
      <c r="E112" s="2003"/>
      <c r="F112" s="2023"/>
      <c r="G112" s="2023"/>
      <c r="H112" s="2023"/>
      <c r="I112" s="2023"/>
      <c r="J112" s="2023"/>
      <c r="K112" s="2023"/>
      <c r="L112" s="2023"/>
      <c r="M112" s="2071"/>
      <c r="N112" s="2071"/>
      <c r="O112" s="2071"/>
      <c r="P112" s="2071"/>
      <c r="Q112" s="2071"/>
      <c r="R112" s="2071"/>
      <c r="S112" s="2049"/>
      <c r="T112" s="2049"/>
      <c r="U112" s="2115"/>
      <c r="V112" s="2143"/>
      <c r="W112" s="2143"/>
      <c r="X112" s="1989"/>
      <c r="Y112" s="2121"/>
      <c r="Z112" s="2098"/>
    </row>
    <row r="113" spans="1:26" ht="15" x14ac:dyDescent="0.2">
      <c r="A113" s="2087" t="s">
        <v>2252</v>
      </c>
      <c r="B113" s="1986"/>
      <c r="C113" s="1986"/>
      <c r="D113" s="1986"/>
      <c r="E113" s="2003"/>
      <c r="F113" s="2032">
        <f>SUM(F101,F106)+F91+F69+F62+F85</f>
        <v>347688</v>
      </c>
      <c r="G113" s="2032"/>
      <c r="H113" s="2032">
        <f>SUM(H101,H106)+H91+H69+H62+H85</f>
        <v>412182</v>
      </c>
      <c r="I113" s="2032"/>
      <c r="J113" s="2032">
        <f>SUM(J101,J106)+J91+J69+J62+J85</f>
        <v>352481</v>
      </c>
      <c r="K113" s="2032"/>
      <c r="L113" s="2032">
        <f>SUM(L101,L106)+L91+L69+L62+L85</f>
        <v>408562</v>
      </c>
      <c r="M113" s="2072"/>
      <c r="N113" s="2072">
        <f>SUM(N101,N106)+N85</f>
        <v>0</v>
      </c>
      <c r="O113" s="2072"/>
      <c r="P113" s="2032">
        <f>SUM(P101,P106)+P91+P69+P62+P85</f>
        <v>761043</v>
      </c>
      <c r="Q113" s="2071"/>
      <c r="R113" s="2071"/>
      <c r="S113" s="2124"/>
      <c r="T113" s="2124"/>
      <c r="U113" s="2098"/>
      <c r="V113" s="2143"/>
      <c r="W113" s="2143"/>
      <c r="X113" s="1989"/>
      <c r="Y113" s="1989"/>
      <c r="Z113" s="2098"/>
    </row>
    <row r="114" spans="1:26" ht="15" x14ac:dyDescent="0.2">
      <c r="A114" s="2087"/>
      <c r="B114" s="1986"/>
      <c r="C114" s="1986"/>
      <c r="D114" s="1986"/>
      <c r="E114" s="2003"/>
      <c r="F114" s="2082"/>
      <c r="G114" s="2082"/>
      <c r="H114" s="2082"/>
      <c r="I114" s="2082"/>
      <c r="J114" s="2082"/>
      <c r="K114" s="2082"/>
      <c r="L114" s="2082"/>
      <c r="M114" s="2083"/>
      <c r="N114" s="2083"/>
      <c r="O114" s="2083"/>
      <c r="P114" s="2083"/>
      <c r="Q114" s="2071"/>
      <c r="R114" s="2071"/>
      <c r="S114" s="2049"/>
      <c r="T114" s="2049"/>
      <c r="U114" s="2125"/>
      <c r="V114" s="2143"/>
      <c r="W114" s="2143"/>
      <c r="X114" s="1989"/>
      <c r="Y114" s="2121"/>
      <c r="Z114" s="2098"/>
    </row>
    <row r="115" spans="1:26" ht="15" x14ac:dyDescent="0.2">
      <c r="A115" s="2017" t="s">
        <v>2250</v>
      </c>
      <c r="B115" s="1986"/>
      <c r="C115" s="1986"/>
      <c r="D115" s="1986"/>
      <c r="E115" s="2003"/>
      <c r="F115" s="2082">
        <f>+F113+F111</f>
        <v>590642</v>
      </c>
      <c r="G115" s="2082"/>
      <c r="H115" s="2082">
        <f>+H113+H111</f>
        <v>821028.848</v>
      </c>
      <c r="I115" s="2082"/>
      <c r="J115" s="2082">
        <f>+J113+J111</f>
        <v>706222</v>
      </c>
      <c r="K115" s="2082"/>
      <c r="L115" s="2082">
        <f>+L113+L111</f>
        <v>916485</v>
      </c>
      <c r="M115" s="2083"/>
      <c r="N115" s="2083">
        <f>+N113+N111</f>
        <v>0</v>
      </c>
      <c r="O115" s="2083"/>
      <c r="P115" s="2083">
        <f>+P113+P111</f>
        <v>1622707</v>
      </c>
      <c r="Q115" s="2071"/>
      <c r="R115" s="2071"/>
      <c r="S115" s="2049"/>
      <c r="T115" s="2049"/>
      <c r="U115" s="2098"/>
      <c r="V115" s="2143"/>
      <c r="W115" s="2143"/>
      <c r="X115" s="1989"/>
      <c r="Y115" s="1989"/>
      <c r="Z115" s="2098"/>
    </row>
    <row r="116" spans="1:26" ht="15" x14ac:dyDescent="0.2">
      <c r="A116" s="2017"/>
      <c r="B116" s="1986"/>
      <c r="C116" s="1986"/>
      <c r="D116" s="1986"/>
      <c r="E116" s="2003"/>
      <c r="F116" s="2085"/>
      <c r="G116" s="2085"/>
      <c r="H116" s="2085"/>
      <c r="I116" s="2085"/>
      <c r="J116" s="2085"/>
      <c r="K116" s="2085"/>
      <c r="L116" s="2085"/>
      <c r="M116" s="2086"/>
      <c r="N116" s="2086"/>
      <c r="O116" s="2086"/>
      <c r="P116" s="2086"/>
      <c r="Q116" s="2071"/>
      <c r="R116" s="2071"/>
      <c r="S116" s="2049"/>
      <c r="T116" s="2049"/>
      <c r="U116" s="2098"/>
      <c r="V116" s="2143"/>
      <c r="W116" s="2143"/>
      <c r="X116" s="1989"/>
      <c r="Y116" s="2121"/>
      <c r="Z116" s="2098"/>
    </row>
    <row r="117" spans="1:26" x14ac:dyDescent="0.2">
      <c r="A117" s="2088" t="s">
        <v>2253</v>
      </c>
      <c r="B117" s="1986"/>
      <c r="C117" s="2089"/>
      <c r="D117" s="1986"/>
      <c r="E117" s="2003"/>
      <c r="F117" s="2023"/>
      <c r="G117" s="2023"/>
      <c r="H117" s="2037" t="s">
        <v>1231</v>
      </c>
      <c r="I117" s="2024"/>
      <c r="J117" s="2023"/>
      <c r="K117" s="2023"/>
      <c r="L117" s="2090" t="s">
        <v>1231</v>
      </c>
      <c r="M117" s="2071"/>
      <c r="N117" s="2071"/>
      <c r="O117" s="2074"/>
      <c r="P117" s="2071"/>
      <c r="Q117" s="2071"/>
      <c r="R117" s="2071"/>
      <c r="S117" s="2049"/>
      <c r="T117" s="2049"/>
      <c r="U117" s="2098"/>
      <c r="V117" s="2143"/>
      <c r="W117" s="2143"/>
      <c r="X117" s="2098"/>
      <c r="Y117" s="2121"/>
      <c r="Z117" s="2098"/>
    </row>
    <row r="118" spans="1:26" x14ac:dyDescent="0.2">
      <c r="A118" s="2088" t="s">
        <v>2254</v>
      </c>
      <c r="B118" s="2050"/>
      <c r="C118" s="1986"/>
      <c r="D118" s="1986"/>
      <c r="E118" s="2003"/>
      <c r="F118" s="2023"/>
      <c r="G118" s="2023"/>
      <c r="H118" s="2037" t="s">
        <v>1231</v>
      </c>
      <c r="I118" s="2024"/>
      <c r="J118" s="2023"/>
      <c r="K118" s="2023"/>
      <c r="L118" s="2090" t="s">
        <v>1231</v>
      </c>
      <c r="M118" s="2071"/>
      <c r="N118" s="2071"/>
      <c r="O118" s="2074"/>
      <c r="P118" s="2071"/>
      <c r="Q118" s="2071"/>
      <c r="R118" s="2071"/>
      <c r="S118" s="2124"/>
      <c r="T118" s="2124"/>
      <c r="U118" s="2098"/>
      <c r="V118" s="2143"/>
      <c r="W118" s="2143"/>
      <c r="X118" s="2098"/>
      <c r="Y118" s="2121"/>
      <c r="Z118" s="2098"/>
    </row>
    <row r="119" spans="1:26" x14ac:dyDescent="0.2">
      <c r="A119" s="2088" t="s">
        <v>2255</v>
      </c>
      <c r="B119" s="1987"/>
      <c r="C119" s="1987"/>
      <c r="D119" s="1987"/>
      <c r="E119" s="2034"/>
      <c r="F119" s="2091" t="s">
        <v>1231</v>
      </c>
      <c r="G119" s="2092"/>
      <c r="H119" s="2091" t="s">
        <v>1231</v>
      </c>
      <c r="I119" s="2093"/>
      <c r="J119" s="2091" t="s">
        <v>1231</v>
      </c>
      <c r="K119" s="2092"/>
      <c r="L119" s="2094" t="s">
        <v>1231</v>
      </c>
      <c r="M119" s="2095"/>
      <c r="N119" s="2096" t="s">
        <v>1231</v>
      </c>
      <c r="O119" s="2097"/>
      <c r="P119" s="2096" t="s">
        <v>1231</v>
      </c>
      <c r="Q119" s="2095"/>
      <c r="R119" s="2096" t="s">
        <v>1231</v>
      </c>
      <c r="S119" s="2135"/>
      <c r="T119" s="2135"/>
      <c r="U119" s="1987"/>
      <c r="V119" s="2033"/>
      <c r="W119" s="2033"/>
      <c r="Y119" s="1983"/>
    </row>
    <row r="120" spans="1:26" x14ac:dyDescent="0.2">
      <c r="A120" s="2088" t="s">
        <v>2256</v>
      </c>
      <c r="B120" s="1987"/>
      <c r="C120" s="1987"/>
      <c r="D120" s="1987"/>
      <c r="E120" s="2034"/>
      <c r="F120" s="1987"/>
      <c r="G120" s="1987"/>
      <c r="H120" s="1987"/>
      <c r="I120" s="2034"/>
      <c r="J120" s="1987"/>
      <c r="K120" s="1987"/>
      <c r="L120" s="1987"/>
      <c r="R120" s="2098"/>
      <c r="S120" s="2135"/>
      <c r="T120" s="2135"/>
      <c r="U120" s="1987"/>
      <c r="V120" s="2033"/>
      <c r="W120" s="2033"/>
    </row>
    <row r="121" spans="1:26" x14ac:dyDescent="0.2">
      <c r="A121" s="2001"/>
      <c r="B121" s="1987"/>
      <c r="C121" s="1987"/>
      <c r="D121" s="1987"/>
      <c r="E121" s="2034"/>
      <c r="F121" s="1987"/>
      <c r="G121" s="1987"/>
      <c r="H121" s="1987"/>
      <c r="I121" s="2034"/>
      <c r="J121" s="1987"/>
      <c r="K121" s="1987"/>
      <c r="L121" s="1987"/>
      <c r="S121" s="2135"/>
      <c r="T121" s="2135"/>
      <c r="U121" s="1987"/>
      <c r="V121" s="2033"/>
      <c r="W121" s="2033"/>
    </row>
    <row r="122" spans="1:26" x14ac:dyDescent="0.2">
      <c r="B122" s="1987"/>
      <c r="C122" s="1987"/>
      <c r="D122" s="1987"/>
      <c r="E122" s="2034"/>
      <c r="F122" s="1987"/>
      <c r="G122" s="1987"/>
      <c r="H122" s="1987"/>
      <c r="I122" s="2034"/>
      <c r="J122" s="1987"/>
      <c r="K122" s="1987"/>
      <c r="L122" s="1987"/>
      <c r="S122" s="2135"/>
      <c r="T122" s="2135"/>
      <c r="U122" s="1987"/>
      <c r="V122" s="2033"/>
      <c r="W122" s="2033"/>
    </row>
    <row r="123" spans="1:26" x14ac:dyDescent="0.2">
      <c r="A123" s="2066"/>
      <c r="S123" s="2133"/>
      <c r="T123" s="2133"/>
      <c r="U123" s="1987"/>
      <c r="V123" s="2033"/>
      <c r="W123" s="2033"/>
    </row>
    <row r="124" spans="1:26" x14ac:dyDescent="0.2">
      <c r="A124" s="2076"/>
      <c r="S124" s="2133"/>
      <c r="T124" s="2133"/>
      <c r="U124" s="1987"/>
      <c r="V124" s="2033"/>
      <c r="W124" s="2033"/>
    </row>
    <row r="125" spans="1:26" x14ac:dyDescent="0.2">
      <c r="A125" s="2076"/>
      <c r="H125" s="2099" t="s">
        <v>1231</v>
      </c>
      <c r="S125" s="2133"/>
      <c r="T125" s="2133"/>
      <c r="U125" s="1987"/>
    </row>
    <row r="126" spans="1:26" x14ac:dyDescent="0.2">
      <c r="H126" s="2099"/>
      <c r="S126" s="2135"/>
      <c r="T126" s="2135"/>
      <c r="U126" s="1987"/>
    </row>
    <row r="127" spans="1:26" x14ac:dyDescent="0.2">
      <c r="S127" s="2093"/>
      <c r="T127" s="2093"/>
      <c r="U127" s="1987"/>
    </row>
    <row r="128" spans="1:26" x14ac:dyDescent="0.2">
      <c r="S128" s="1987"/>
      <c r="T128" s="1987"/>
      <c r="U128" s="1987"/>
    </row>
    <row r="129" spans="19:21" x14ac:dyDescent="0.2">
      <c r="S129" s="1987"/>
      <c r="T129" s="1987"/>
      <c r="U129" s="1987"/>
    </row>
    <row r="130" spans="19:21" x14ac:dyDescent="0.2">
      <c r="S130" s="1987"/>
      <c r="T130" s="1987"/>
      <c r="U130" s="1987"/>
    </row>
    <row r="131" spans="19:21" x14ac:dyDescent="0.2">
      <c r="S131" s="1987"/>
      <c r="T131" s="1987"/>
      <c r="U131" s="1987"/>
    </row>
    <row r="132" spans="19:21" x14ac:dyDescent="0.2">
      <c r="S132" s="1987"/>
      <c r="T132" s="1987"/>
      <c r="U132" s="1987"/>
    </row>
    <row r="133" spans="19:21" x14ac:dyDescent="0.2">
      <c r="S133" s="1987"/>
      <c r="T133" s="1987"/>
      <c r="U133" s="1987"/>
    </row>
    <row r="134" spans="19:21" x14ac:dyDescent="0.2">
      <c r="S134" s="1987"/>
      <c r="T134" s="1987"/>
      <c r="U134" s="1987"/>
    </row>
    <row r="135" spans="19:21" x14ac:dyDescent="0.2">
      <c r="S135" s="1987"/>
      <c r="T135" s="1987"/>
      <c r="U135" s="1987"/>
    </row>
    <row r="136" spans="19:21" x14ac:dyDescent="0.2">
      <c r="S136" s="1987"/>
      <c r="T136" s="1987"/>
      <c r="U136" s="1987"/>
    </row>
    <row r="137" spans="19:21" x14ac:dyDescent="0.2">
      <c r="S137" s="1987"/>
      <c r="T137" s="1987"/>
      <c r="U137" s="1987"/>
    </row>
    <row r="138" spans="19:21" x14ac:dyDescent="0.2">
      <c r="S138" s="1987"/>
      <c r="T138" s="1987"/>
      <c r="U138" s="1987"/>
    </row>
  </sheetData>
  <mergeCells count="8">
    <mergeCell ref="S7:W7"/>
    <mergeCell ref="S8:U8"/>
    <mergeCell ref="A1:R1"/>
    <mergeCell ref="A2:R2"/>
    <mergeCell ref="A3:R3"/>
    <mergeCell ref="A4:R4"/>
    <mergeCell ref="F7:H7"/>
    <mergeCell ref="J7:L7"/>
  </mergeCells>
  <printOptions horizontalCentered="1" gridLinesSet="0"/>
  <pageMargins left="0.5" right="0.5" top="0.5" bottom="0.5" header="0.45" footer="0.44"/>
  <pageSetup scale="64" fitToHeight="0" orientation="landscape" r:id="rId1"/>
  <headerFooter alignWithMargins="0">
    <oddFooter>&amp;L&amp;"Times New Roman,Regular"&amp;9See the accompanying notes to the Schedule of Expenditures of Federal Awards.</oddFooter>
  </headerFooter>
  <rowBreaks count="1" manualBreakCount="1">
    <brk id="79" max="16383" man="1"/>
  </rowBreaks>
  <colBreaks count="1" manualBreakCount="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5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257" t="s">
        <v>1230</v>
      </c>
      <c r="B2" s="2257"/>
      <c r="C2" s="2257"/>
      <c r="D2" s="2257"/>
      <c r="E2" s="2257"/>
      <c r="F2" s="2257"/>
      <c r="G2" s="2257"/>
      <c r="H2" s="2257"/>
      <c r="I2" s="2257"/>
      <c r="J2" s="2257"/>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t="s">
        <v>2074</v>
      </c>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t="s">
        <v>2074</v>
      </c>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t="s">
        <v>2100</v>
      </c>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1893</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271" t="s">
        <v>1731</v>
      </c>
      <c r="B35" s="2272"/>
      <c r="C35" s="2272"/>
      <c r="D35" s="2272"/>
      <c r="E35" s="2273"/>
      <c r="F35" s="2273"/>
      <c r="G35" s="2273"/>
      <c r="H35" s="2273"/>
      <c r="I35" s="2273"/>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271" t="s">
        <v>331</v>
      </c>
      <c r="B47" s="2274"/>
      <c r="C47" s="2274"/>
      <c r="D47" s="2274"/>
      <c r="E47" s="2275"/>
      <c r="F47" s="2275"/>
      <c r="G47" s="2275"/>
      <c r="H47" s="2275"/>
      <c r="I47" s="2275"/>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2074</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2074</v>
      </c>
      <c r="C53" s="179">
        <v>22</v>
      </c>
      <c r="D53" s="247" t="s">
        <v>1537</v>
      </c>
      <c r="E53" s="248"/>
      <c r="F53" s="249"/>
      <c r="G53" s="249" t="s">
        <v>1536</v>
      </c>
      <c r="H53" s="250">
        <v>35431</v>
      </c>
      <c r="I53" s="237" t="s">
        <v>1562</v>
      </c>
    </row>
    <row r="54" spans="1:10" s="181" customFormat="1" x14ac:dyDescent="0.2">
      <c r="A54" s="219"/>
      <c r="B54" s="220" t="s">
        <v>2074</v>
      </c>
      <c r="C54" s="179">
        <v>23</v>
      </c>
      <c r="D54" s="243" t="s">
        <v>1429</v>
      </c>
      <c r="E54" s="248"/>
      <c r="F54" s="249"/>
    </row>
    <row r="55" spans="1:10" s="181" customFormat="1" x14ac:dyDescent="0.2">
      <c r="A55" s="214"/>
      <c r="B55" s="251"/>
      <c r="C55" s="251"/>
      <c r="D55" s="231" t="s">
        <v>1892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278" t="s">
        <v>2257</v>
      </c>
      <c r="C57" s="2279"/>
      <c r="D57" s="2279"/>
      <c r="E57" s="2279"/>
      <c r="F57" s="2279"/>
      <c r="G57" s="2279"/>
      <c r="H57" s="2279"/>
      <c r="I57" s="2279"/>
      <c r="J57" s="2280"/>
    </row>
    <row r="58" spans="1:10" s="181" customFormat="1" x14ac:dyDescent="0.2">
      <c r="A58" s="253"/>
      <c r="B58" s="2281"/>
      <c r="C58" s="2282"/>
      <c r="D58" s="2282"/>
      <c r="E58" s="2282"/>
      <c r="F58" s="2282"/>
      <c r="G58" s="2282"/>
      <c r="H58" s="2282"/>
      <c r="I58" s="2282"/>
      <c r="J58" s="2283"/>
    </row>
    <row r="59" spans="1:10" s="181" customFormat="1" x14ac:dyDescent="0.2">
      <c r="A59" s="253"/>
      <c r="B59" s="2281"/>
      <c r="C59" s="2282"/>
      <c r="D59" s="2282"/>
      <c r="E59" s="2282"/>
      <c r="F59" s="2282"/>
      <c r="G59" s="2282"/>
      <c r="H59" s="2282"/>
      <c r="I59" s="2282"/>
      <c r="J59" s="2283"/>
    </row>
    <row r="60" spans="1:10" s="181" customFormat="1" x14ac:dyDescent="0.2">
      <c r="A60" s="253"/>
      <c r="B60" s="2281"/>
      <c r="C60" s="2282"/>
      <c r="D60" s="2282"/>
      <c r="E60" s="2282"/>
      <c r="F60" s="2282"/>
      <c r="G60" s="2282"/>
      <c r="H60" s="2282"/>
      <c r="I60" s="2282"/>
      <c r="J60" s="2283"/>
    </row>
    <row r="61" spans="1:10" s="181" customFormat="1" x14ac:dyDescent="0.2">
      <c r="A61" s="253"/>
      <c r="B61" s="2281"/>
      <c r="C61" s="2282"/>
      <c r="D61" s="2282"/>
      <c r="E61" s="2282"/>
      <c r="F61" s="2282"/>
      <c r="G61" s="2282"/>
      <c r="H61" s="2282"/>
      <c r="I61" s="2282"/>
      <c r="J61" s="2283"/>
    </row>
    <row r="62" spans="1:10" s="181" customFormat="1" x14ac:dyDescent="0.2">
      <c r="A62" s="253"/>
      <c r="B62" s="2281"/>
      <c r="C62" s="2282"/>
      <c r="D62" s="2282"/>
      <c r="E62" s="2282"/>
      <c r="F62" s="2282"/>
      <c r="G62" s="2282"/>
      <c r="H62" s="2282"/>
      <c r="I62" s="2282"/>
      <c r="J62" s="2283"/>
    </row>
    <row r="63" spans="1:10" s="181" customFormat="1" x14ac:dyDescent="0.2">
      <c r="A63" s="253"/>
      <c r="B63" s="2281"/>
      <c r="C63" s="2282"/>
      <c r="D63" s="2282"/>
      <c r="E63" s="2282"/>
      <c r="F63" s="2282"/>
      <c r="G63" s="2282"/>
      <c r="H63" s="2282"/>
      <c r="I63" s="2282"/>
      <c r="J63" s="2283"/>
    </row>
    <row r="64" spans="1:10" s="181" customFormat="1" x14ac:dyDescent="0.2">
      <c r="A64" s="253"/>
      <c r="B64" s="2281"/>
      <c r="C64" s="2282"/>
      <c r="D64" s="2282"/>
      <c r="E64" s="2282"/>
      <c r="F64" s="2282"/>
      <c r="G64" s="2282"/>
      <c r="H64" s="2282"/>
      <c r="I64" s="2282"/>
      <c r="J64" s="2283"/>
    </row>
    <row r="65" spans="1:10" s="181" customFormat="1" x14ac:dyDescent="0.2">
      <c r="A65" s="253"/>
      <c r="B65" s="2281"/>
      <c r="C65" s="2282"/>
      <c r="D65" s="2282"/>
      <c r="E65" s="2282"/>
      <c r="F65" s="2282"/>
      <c r="G65" s="2282"/>
      <c r="H65" s="2282"/>
      <c r="I65" s="2282"/>
      <c r="J65" s="2283"/>
    </row>
    <row r="66" spans="1:10" s="181" customFormat="1" x14ac:dyDescent="0.2">
      <c r="A66" s="253"/>
      <c r="B66" s="2281"/>
      <c r="C66" s="2282"/>
      <c r="D66" s="2282"/>
      <c r="E66" s="2282"/>
      <c r="F66" s="2282"/>
      <c r="G66" s="2282"/>
      <c r="H66" s="2282"/>
      <c r="I66" s="2282"/>
      <c r="J66" s="2283"/>
    </row>
    <row r="67" spans="1:10" s="181" customFormat="1" ht="9" customHeight="1" x14ac:dyDescent="0.2">
      <c r="A67" s="254"/>
      <c r="B67" s="2284"/>
      <c r="C67" s="2285"/>
      <c r="D67" s="2285"/>
      <c r="E67" s="2285"/>
      <c r="F67" s="2285"/>
      <c r="G67" s="2285"/>
      <c r="H67" s="2285"/>
      <c r="I67" s="2285"/>
      <c r="J67" s="2286"/>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271" t="s">
        <v>1390</v>
      </c>
      <c r="B70" s="2274"/>
      <c r="C70" s="2274"/>
      <c r="D70" s="2274"/>
      <c r="E70" s="2275"/>
      <c r="F70" s="2275"/>
      <c r="G70" s="2275"/>
      <c r="H70" s="2275"/>
      <c r="I70" s="2275"/>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2068</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2018</v>
      </c>
      <c r="I77" s="1857"/>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276" t="s">
        <v>1387</v>
      </c>
      <c r="B83" s="2276"/>
      <c r="C83" s="2276"/>
      <c r="D83" s="2277"/>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2066</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2067</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258" t="s">
        <v>2319</v>
      </c>
      <c r="C102" s="2259"/>
      <c r="D102" s="2259"/>
      <c r="E102" s="2259"/>
      <c r="F102" s="2259"/>
      <c r="G102" s="2259"/>
      <c r="H102" s="2259"/>
      <c r="I102" s="2260"/>
    </row>
    <row r="103" spans="1:9" s="181" customFormat="1" ht="11.25" customHeight="1" x14ac:dyDescent="0.2">
      <c r="A103" s="316"/>
      <c r="B103" s="2261"/>
      <c r="C103" s="2262"/>
      <c r="D103" s="2262"/>
      <c r="E103" s="2262"/>
      <c r="F103" s="2262"/>
      <c r="G103" s="2262"/>
      <c r="H103" s="2262"/>
      <c r="I103" s="2263"/>
    </row>
    <row r="104" spans="1:9" s="181" customFormat="1" ht="11.25" customHeight="1" x14ac:dyDescent="0.2">
      <c r="A104" s="316"/>
      <c r="B104" s="2261"/>
      <c r="C104" s="2262"/>
      <c r="D104" s="2262"/>
      <c r="E104" s="2262"/>
      <c r="F104" s="2262"/>
      <c r="G104" s="2262"/>
      <c r="H104" s="2262"/>
      <c r="I104" s="2263"/>
    </row>
    <row r="105" spans="1:9" s="181" customFormat="1" x14ac:dyDescent="0.2">
      <c r="A105" s="316"/>
      <c r="B105" s="2261"/>
      <c r="C105" s="2262"/>
      <c r="D105" s="2262"/>
      <c r="E105" s="2262"/>
      <c r="F105" s="2262"/>
      <c r="G105" s="2262"/>
      <c r="H105" s="2262"/>
      <c r="I105" s="2263"/>
    </row>
    <row r="106" spans="1:9" s="181" customFormat="1" ht="11.25" customHeight="1" x14ac:dyDescent="0.2">
      <c r="A106" s="316"/>
      <c r="B106" s="2261"/>
      <c r="C106" s="2262"/>
      <c r="D106" s="2262"/>
      <c r="E106" s="2262"/>
      <c r="F106" s="2262"/>
      <c r="G106" s="2262"/>
      <c r="H106" s="2262"/>
      <c r="I106" s="2263"/>
    </row>
    <row r="107" spans="1:9" s="181" customFormat="1" ht="11.25" customHeight="1" x14ac:dyDescent="0.2">
      <c r="A107" s="316"/>
      <c r="B107" s="2261"/>
      <c r="C107" s="2262"/>
      <c r="D107" s="2262"/>
      <c r="E107" s="2262"/>
      <c r="F107" s="2262"/>
      <c r="G107" s="2262"/>
      <c r="H107" s="2262"/>
      <c r="I107" s="2263"/>
    </row>
    <row r="108" spans="1:9" s="181" customFormat="1" ht="11.25" customHeight="1" x14ac:dyDescent="0.2">
      <c r="A108" s="316"/>
      <c r="B108" s="2261"/>
      <c r="C108" s="2262"/>
      <c r="D108" s="2262"/>
      <c r="E108" s="2262"/>
      <c r="F108" s="2262"/>
      <c r="G108" s="2262"/>
      <c r="H108" s="2262"/>
      <c r="I108" s="2263"/>
    </row>
    <row r="109" spans="1:9" s="181" customFormat="1" ht="11.25" customHeight="1" x14ac:dyDescent="0.2">
      <c r="A109" s="316"/>
      <c r="B109" s="2261"/>
      <c r="C109" s="2262"/>
      <c r="D109" s="2262"/>
      <c r="E109" s="2262"/>
      <c r="F109" s="2262"/>
      <c r="G109" s="2262"/>
      <c r="H109" s="2262"/>
      <c r="I109" s="2263"/>
    </row>
    <row r="110" spans="1:9" s="181" customFormat="1" ht="11.25" customHeight="1" x14ac:dyDescent="0.2">
      <c r="A110" s="316"/>
      <c r="B110" s="2261"/>
      <c r="C110" s="2262"/>
      <c r="D110" s="2262"/>
      <c r="E110" s="2262"/>
      <c r="F110" s="2262"/>
      <c r="G110" s="2262"/>
      <c r="H110" s="2262"/>
      <c r="I110" s="2263"/>
    </row>
    <row r="111" spans="1:9" s="181" customFormat="1" ht="11.25" customHeight="1" x14ac:dyDescent="0.2">
      <c r="A111" s="316"/>
      <c r="B111" s="2261"/>
      <c r="C111" s="2262"/>
      <c r="D111" s="2262"/>
      <c r="E111" s="2262"/>
      <c r="F111" s="2262"/>
      <c r="G111" s="2262"/>
      <c r="H111" s="2262"/>
      <c r="I111" s="2263"/>
    </row>
    <row r="112" spans="1:9" s="181" customFormat="1" ht="11.25" customHeight="1" x14ac:dyDescent="0.2">
      <c r="A112" s="316"/>
      <c r="B112" s="2264"/>
      <c r="C112" s="2265"/>
      <c r="D112" s="2265"/>
      <c r="E112" s="2265"/>
      <c r="F112" s="2265"/>
      <c r="G112" s="2265"/>
      <c r="H112" s="2265"/>
      <c r="I112" s="2266"/>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267" t="s">
        <v>2081</v>
      </c>
      <c r="D114" s="2267"/>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268" t="s">
        <v>1397</v>
      </c>
      <c r="D117" s="2269"/>
      <c r="E117" s="2270"/>
      <c r="F117" s="2270"/>
      <c r="G117" s="2270"/>
      <c r="H117" s="2270"/>
      <c r="I117" s="304"/>
    </row>
    <row r="118" spans="1:9" s="181" customFormat="1" ht="24" customHeight="1" x14ac:dyDescent="0.2">
      <c r="A118" s="316"/>
      <c r="B118" s="316"/>
      <c r="C118" s="316"/>
      <c r="D118" s="323" t="s">
        <v>2341</v>
      </c>
      <c r="E118" s="322"/>
      <c r="F118" s="324"/>
      <c r="G118" s="1859"/>
      <c r="H118" s="322"/>
      <c r="I118" s="304"/>
    </row>
    <row r="119" spans="1:9" s="181" customFormat="1" ht="11.25" customHeight="1" x14ac:dyDescent="0.2">
      <c r="A119" s="325"/>
      <c r="B119" s="325"/>
      <c r="C119" s="326"/>
      <c r="D119" s="327" t="s">
        <v>379</v>
      </c>
      <c r="E119" s="310"/>
      <c r="F119" s="1858" t="s">
        <v>2019</v>
      </c>
      <c r="G119" s="328"/>
      <c r="H119" s="328"/>
      <c r="I119" s="304"/>
    </row>
    <row r="120" spans="1:9" x14ac:dyDescent="0.2">
      <c r="A120" s="329"/>
      <c r="B120" s="180"/>
      <c r="C120" s="330"/>
      <c r="D120" s="256"/>
      <c r="E120" s="256"/>
      <c r="F120" s="256"/>
      <c r="G120" s="256"/>
      <c r="H120" s="256"/>
      <c r="I120" s="304"/>
    </row>
    <row r="121" spans="1:9" x14ac:dyDescent="0.2">
      <c r="A121" s="329"/>
      <c r="B121" s="1506"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6" customWidth="1"/>
    <col min="4" max="4" width="16.7109375" style="1256" customWidth="1"/>
    <col min="5" max="5" width="7.5703125" style="317" customWidth="1"/>
    <col min="6" max="6" width="2.7109375" style="317" customWidth="1"/>
    <col min="7" max="7" width="3.28515625" style="317" customWidth="1"/>
    <col min="8" max="16384" width="8" style="317"/>
  </cols>
  <sheetData>
    <row r="1" spans="1:7" ht="13.5" customHeight="1" x14ac:dyDescent="0.2">
      <c r="A1" s="2650" t="str">
        <f>'Single Audit Cover'!A7</f>
        <v>Hononegah Community High School District No. 207</v>
      </c>
      <c r="B1" s="2650"/>
      <c r="C1" s="2650"/>
      <c r="D1" s="2650"/>
      <c r="E1" s="2650"/>
      <c r="F1" s="2650"/>
    </row>
    <row r="2" spans="1:7" ht="13.5" customHeight="1" x14ac:dyDescent="0.2">
      <c r="A2" s="2639" t="str">
        <f>'Single Audit Cover'!E7</f>
        <v>04-101-2070-16</v>
      </c>
      <c r="B2" s="2639"/>
      <c r="C2" s="2639"/>
      <c r="D2" s="2639"/>
      <c r="E2" s="2639"/>
      <c r="F2" s="2639"/>
      <c r="G2" s="1273"/>
    </row>
    <row r="3" spans="1:7" ht="15.75" customHeight="1" x14ac:dyDescent="0.2">
      <c r="A3" s="2651" t="s">
        <v>1333</v>
      </c>
      <c r="B3" s="2651"/>
      <c r="C3" s="2651"/>
      <c r="D3" s="2651"/>
      <c r="E3" s="2651"/>
      <c r="F3" s="2651"/>
    </row>
    <row r="4" spans="1:7" ht="13.5" customHeight="1" x14ac:dyDescent="0.2">
      <c r="A4" s="2652" t="str">
        <f>'Single Audit Cover'!A4</f>
        <v>Year Ending June 30, 2018</v>
      </c>
      <c r="B4" s="2652"/>
      <c r="C4" s="2652"/>
      <c r="D4" s="2652"/>
      <c r="E4" s="2652"/>
      <c r="F4" s="2652"/>
    </row>
    <row r="5" spans="1:7" ht="8.25" customHeight="1" x14ac:dyDescent="0.2">
      <c r="C5" s="317"/>
      <c r="D5" s="317"/>
    </row>
    <row r="6" spans="1:7" ht="13.5" customHeight="1" x14ac:dyDescent="0.2">
      <c r="A6" s="1274" t="s">
        <v>1831</v>
      </c>
      <c r="C6" s="317"/>
      <c r="D6" s="317"/>
    </row>
    <row r="7" spans="1:7" ht="60.95" customHeight="1" x14ac:dyDescent="0.2">
      <c r="A7" s="2649" t="s">
        <v>2338</v>
      </c>
      <c r="B7" s="2649"/>
      <c r="C7" s="2649"/>
      <c r="D7" s="2649"/>
      <c r="E7" s="2649"/>
      <c r="F7" s="2649"/>
    </row>
    <row r="8" spans="1:7" ht="12" customHeight="1" x14ac:dyDescent="0.2">
      <c r="A8" s="1274"/>
      <c r="B8" s="1280"/>
      <c r="C8" s="1280"/>
      <c r="D8" s="1280"/>
    </row>
    <row r="9" spans="1:7" ht="15" customHeight="1" x14ac:dyDescent="0.2">
      <c r="A9" s="1275" t="s">
        <v>1832</v>
      </c>
      <c r="B9" s="1278"/>
      <c r="C9" s="1278"/>
      <c r="D9" s="1278"/>
      <c r="E9" s="1276"/>
      <c r="F9" s="1276"/>
      <c r="G9" s="1276"/>
    </row>
    <row r="10" spans="1:7" ht="15" customHeight="1" x14ac:dyDescent="0.2">
      <c r="A10" s="1277" t="s">
        <v>1628</v>
      </c>
      <c r="B10" s="1278"/>
      <c r="C10" s="1279"/>
      <c r="D10" s="1278" t="s">
        <v>1629</v>
      </c>
      <c r="E10" s="1279" t="s">
        <v>2074</v>
      </c>
      <c r="F10" s="1278" t="s">
        <v>101</v>
      </c>
      <c r="G10" s="1276"/>
    </row>
    <row r="11" spans="1:7" ht="12" customHeight="1" x14ac:dyDescent="0.2">
      <c r="A11" s="1277"/>
      <c r="B11" s="1278"/>
      <c r="C11" s="1923"/>
      <c r="D11" s="1278"/>
      <c r="E11" s="1923"/>
      <c r="F11" s="1278"/>
      <c r="G11" s="1276"/>
    </row>
    <row r="12" spans="1:7" x14ac:dyDescent="0.2">
      <c r="A12" s="1274" t="s">
        <v>1669</v>
      </c>
      <c r="C12" s="1258"/>
      <c r="D12" s="1258"/>
    </row>
    <row r="13" spans="1:7" ht="28.5" customHeight="1" x14ac:dyDescent="0.2">
      <c r="A13" s="2649" t="s">
        <v>2339</v>
      </c>
      <c r="B13" s="2649"/>
      <c r="C13" s="2649"/>
      <c r="D13" s="2649"/>
      <c r="E13" s="2649"/>
      <c r="F13" s="2649"/>
    </row>
    <row r="14" spans="1:7" ht="9.75" customHeight="1" x14ac:dyDescent="0.2">
      <c r="C14" s="1258"/>
      <c r="D14" s="1258"/>
    </row>
    <row r="15" spans="1:7" ht="13.5" customHeight="1" x14ac:dyDescent="0.2">
      <c r="C15" s="1867" t="s">
        <v>1332</v>
      </c>
      <c r="D15" s="2653" t="s">
        <v>1331</v>
      </c>
      <c r="E15" s="2653"/>
      <c r="F15" s="2653"/>
    </row>
    <row r="16" spans="1:7" ht="13.5" customHeight="1" x14ac:dyDescent="0.2">
      <c r="A16" s="1280"/>
      <c r="B16" s="1274" t="s">
        <v>1330</v>
      </c>
      <c r="C16" s="1867" t="s">
        <v>1329</v>
      </c>
      <c r="D16" s="2654" t="s">
        <v>1670</v>
      </c>
      <c r="E16" s="2654"/>
      <c r="F16" s="2654"/>
    </row>
    <row r="17" spans="1:6" ht="20.45" customHeight="1" x14ac:dyDescent="0.2">
      <c r="A17" s="1281"/>
      <c r="B17" s="1282" t="s">
        <v>2132</v>
      </c>
      <c r="C17" s="1283"/>
      <c r="D17" s="2655"/>
      <c r="E17" s="2655"/>
      <c r="F17" s="2655"/>
    </row>
    <row r="18" spans="1:6" ht="12" customHeight="1" x14ac:dyDescent="0.2">
      <c r="A18" s="328"/>
      <c r="B18" s="328"/>
      <c r="C18" s="1474"/>
      <c r="D18" s="1924"/>
      <c r="E18" s="1284"/>
    </row>
    <row r="19" spans="1:6" ht="12" customHeight="1" x14ac:dyDescent="0.2">
      <c r="A19" s="1285" t="s">
        <v>1630</v>
      </c>
      <c r="B19" s="328"/>
      <c r="C19" s="1474"/>
      <c r="D19" s="1924"/>
      <c r="E19" s="1284"/>
    </row>
    <row r="20" spans="1:6" ht="30" customHeight="1" x14ac:dyDescent="0.2">
      <c r="A20" s="2657" t="s">
        <v>2340</v>
      </c>
      <c r="B20" s="2657"/>
      <c r="C20" s="2657"/>
      <c r="D20" s="2657"/>
      <c r="E20" s="2657"/>
      <c r="F20" s="2657"/>
    </row>
    <row r="21" spans="1:6" ht="13.5" customHeight="1" x14ac:dyDescent="0.2">
      <c r="A21" s="328" t="s">
        <v>1509</v>
      </c>
      <c r="B21" s="328"/>
      <c r="C21" s="1286">
        <v>27142</v>
      </c>
      <c r="D21" s="1924"/>
      <c r="E21" s="1284"/>
    </row>
    <row r="22" spans="1:6" ht="13.5" customHeight="1" x14ac:dyDescent="0.2">
      <c r="A22" s="328" t="s">
        <v>1946</v>
      </c>
      <c r="B22" s="328"/>
      <c r="C22" s="1287">
        <v>24999</v>
      </c>
      <c r="D22" s="1924" t="s">
        <v>1671</v>
      </c>
      <c r="E22" s="2658">
        <f>+C21+C22</f>
        <v>52141</v>
      </c>
      <c r="F22" s="2659"/>
    </row>
    <row r="23" spans="1:6" ht="12" customHeight="1" x14ac:dyDescent="0.2">
      <c r="A23" s="328"/>
      <c r="B23" s="328"/>
      <c r="C23" s="1925"/>
      <c r="D23" s="1924"/>
      <c r="E23" s="1288"/>
      <c r="F23" s="1289"/>
    </row>
    <row r="24" spans="1:6" ht="13.5" customHeight="1" x14ac:dyDescent="0.2">
      <c r="A24" s="1285" t="s">
        <v>1631</v>
      </c>
      <c r="B24" s="328"/>
      <c r="C24" s="1474"/>
      <c r="D24" s="1924"/>
      <c r="E24" s="1284"/>
    </row>
    <row r="25" spans="1:6" ht="14.25" customHeight="1" x14ac:dyDescent="0.2">
      <c r="A25" s="328" t="s">
        <v>1563</v>
      </c>
      <c r="B25" s="328"/>
      <c r="C25" s="1926"/>
      <c r="D25" s="1924"/>
      <c r="E25" s="1284"/>
    </row>
    <row r="26" spans="1:6" ht="14.25" customHeight="1" x14ac:dyDescent="0.2">
      <c r="A26" s="328"/>
      <c r="B26" s="328" t="s">
        <v>1510</v>
      </c>
      <c r="C26" s="1290" t="s">
        <v>401</v>
      </c>
      <c r="D26" s="1924"/>
      <c r="E26" s="1284"/>
    </row>
    <row r="27" spans="1:6" ht="14.25" customHeight="1" x14ac:dyDescent="0.2">
      <c r="A27" s="328"/>
      <c r="B27" s="328" t="s">
        <v>1511</v>
      </c>
      <c r="C27" s="1290" t="s">
        <v>401</v>
      </c>
      <c r="D27" s="1924"/>
      <c r="E27" s="1284"/>
    </row>
    <row r="28" spans="1:6" ht="14.25" customHeight="1" x14ac:dyDescent="0.2">
      <c r="A28" s="328"/>
      <c r="B28" s="328" t="s">
        <v>1512</v>
      </c>
      <c r="C28" s="1290" t="s">
        <v>401</v>
      </c>
      <c r="D28" s="1924"/>
      <c r="E28" s="1284"/>
    </row>
    <row r="29" spans="1:6" ht="14.25" customHeight="1" x14ac:dyDescent="0.2">
      <c r="A29" s="328"/>
      <c r="B29" s="328" t="s">
        <v>1513</v>
      </c>
      <c r="C29" s="1290" t="s">
        <v>401</v>
      </c>
      <c r="D29" s="1924"/>
      <c r="E29" s="1284"/>
    </row>
    <row r="30" spans="1:6" ht="14.25" customHeight="1" x14ac:dyDescent="0.2">
      <c r="A30" s="328" t="s">
        <v>1514</v>
      </c>
      <c r="B30" s="328"/>
      <c r="C30" s="1922" t="s">
        <v>401</v>
      </c>
      <c r="D30" s="1924"/>
      <c r="E30" s="1284"/>
    </row>
    <row r="31" spans="1:6" ht="14.25" customHeight="1" x14ac:dyDescent="0.2">
      <c r="A31" s="328" t="s">
        <v>1515</v>
      </c>
      <c r="B31" s="328"/>
      <c r="C31" s="1291" t="s">
        <v>401</v>
      </c>
      <c r="D31" s="1924"/>
      <c r="E31" s="1284"/>
    </row>
    <row r="32" spans="1:6" ht="14.25" customHeight="1" x14ac:dyDescent="0.2">
      <c r="A32" s="328"/>
      <c r="B32" s="328"/>
      <c r="C32" s="1926" t="s">
        <v>1516</v>
      </c>
      <c r="D32" s="1924"/>
      <c r="E32" s="1284"/>
    </row>
    <row r="33" spans="1:6" ht="15.75" customHeight="1" x14ac:dyDescent="0.2">
      <c r="A33" s="328"/>
      <c r="B33" s="328"/>
      <c r="C33" s="1926"/>
      <c r="D33" s="1924"/>
      <c r="E33" s="1284"/>
    </row>
    <row r="34" spans="1:6" ht="14.25" customHeight="1" x14ac:dyDescent="0.2">
      <c r="A34" s="1285" t="s">
        <v>2133</v>
      </c>
      <c r="B34" s="328"/>
      <c r="C34" s="1926"/>
      <c r="D34" s="1924"/>
      <c r="E34" s="1284"/>
    </row>
    <row r="35" spans="1:6" ht="39.75" customHeight="1" x14ac:dyDescent="0.2">
      <c r="A35" s="2661" t="s">
        <v>2134</v>
      </c>
      <c r="B35" s="2661"/>
      <c r="C35" s="2661"/>
      <c r="D35" s="2661"/>
      <c r="E35" s="2661"/>
    </row>
    <row r="36" spans="1:6" ht="31.5" customHeight="1" x14ac:dyDescent="0.2">
      <c r="A36" s="328"/>
      <c r="B36" s="328"/>
      <c r="C36" s="1926"/>
      <c r="D36" s="1924"/>
      <c r="E36" s="1284"/>
    </row>
    <row r="37" spans="1:6" x14ac:dyDescent="0.2">
      <c r="A37" s="1293" t="s">
        <v>1833</v>
      </c>
      <c r="C37" s="317"/>
      <c r="D37" s="317"/>
    </row>
    <row r="38" spans="1:6" s="322" customFormat="1" ht="11.25" customHeight="1" x14ac:dyDescent="0.2">
      <c r="A38" s="1294"/>
      <c r="B38" s="1295"/>
      <c r="C38" s="1295"/>
      <c r="D38" s="1295"/>
      <c r="E38" s="1295"/>
      <c r="F38" s="1295"/>
    </row>
    <row r="39" spans="1:6" s="322" customFormat="1" ht="6" customHeight="1" x14ac:dyDescent="0.2">
      <c r="A39" s="1296"/>
    </row>
    <row r="40" spans="1:6" s="1298" customFormat="1" ht="23.25" customHeight="1" x14ac:dyDescent="0.2">
      <c r="A40" s="1297">
        <v>5</v>
      </c>
      <c r="B40" s="2660" t="s">
        <v>1672</v>
      </c>
      <c r="C40" s="2660"/>
      <c r="D40" s="2660"/>
      <c r="E40" s="1397"/>
    </row>
    <row r="41" spans="1:6" s="1298" customFormat="1" ht="3.75" customHeight="1" x14ac:dyDescent="0.2">
      <c r="A41" s="1297"/>
      <c r="B41" s="1866"/>
      <c r="C41" s="1866"/>
      <c r="D41" s="1866"/>
      <c r="E41" s="1397"/>
    </row>
    <row r="42" spans="1:6" s="1298" customFormat="1" ht="20.25" customHeight="1" x14ac:dyDescent="0.2">
      <c r="A42" s="1299">
        <v>6</v>
      </c>
      <c r="B42" s="2656" t="s">
        <v>1632</v>
      </c>
      <c r="C42" s="2656"/>
      <c r="D42" s="2656"/>
    </row>
    <row r="43" spans="1:6" ht="14.25" customHeight="1" x14ac:dyDescent="0.2">
      <c r="A43" s="1299"/>
      <c r="B43" s="2656"/>
      <c r="C43" s="2656"/>
      <c r="D43" s="2656"/>
    </row>
  </sheetData>
  <mergeCells count="15">
    <mergeCell ref="D15:F15"/>
    <mergeCell ref="D16:F16"/>
    <mergeCell ref="D17:F17"/>
    <mergeCell ref="B42:D42"/>
    <mergeCell ref="B43:D43"/>
    <mergeCell ref="A20:F20"/>
    <mergeCell ref="E22:F22"/>
    <mergeCell ref="B40:D40"/>
    <mergeCell ref="A35:E35"/>
    <mergeCell ref="A13:F13"/>
    <mergeCell ref="A7:F7"/>
    <mergeCell ref="A1:F1"/>
    <mergeCell ref="A2:F2"/>
    <mergeCell ref="A3:F3"/>
    <mergeCell ref="A4:F4"/>
  </mergeCells>
  <pageMargins left="0.9" right="0.27" top="0.43" bottom="0" header="0.26" footer="0.5"/>
  <pageSetup scale="97"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110" zoomScaleNormal="110" zoomScaleSheetLayoutView="100" workbookViewId="0"/>
  </sheetViews>
  <sheetFormatPr defaultColWidth="9.140625" defaultRowHeight="12.75" x14ac:dyDescent="0.2"/>
  <cols>
    <col min="1" max="1" width="1.42578125" style="1298" customWidth="1"/>
    <col min="2" max="2" width="24.42578125" style="1355" customWidth="1"/>
    <col min="3" max="3" width="29.5703125" style="317" customWidth="1"/>
    <col min="4" max="4" width="9.28515625" style="317" customWidth="1"/>
    <col min="5" max="5" width="5.28515625" style="1256"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666" t="str">
        <f>'Single Audit Cover'!A7</f>
        <v>Hononegah Community High School District No. 207</v>
      </c>
      <c r="C1" s="2667"/>
      <c r="D1" s="2667"/>
      <c r="E1" s="2667"/>
      <c r="F1" s="2667"/>
      <c r="G1" s="2667"/>
      <c r="H1" s="2667"/>
      <c r="I1" s="2667"/>
      <c r="J1" s="1420"/>
    </row>
    <row r="2" spans="2:10" s="317" customFormat="1" ht="12.75" customHeight="1" x14ac:dyDescent="0.2">
      <c r="B2" s="2668" t="str">
        <f>'Single Audit Cover'!E7</f>
        <v>04-101-2070-16</v>
      </c>
      <c r="C2" s="2669"/>
      <c r="D2" s="2669"/>
      <c r="E2" s="2669"/>
      <c r="F2" s="2669"/>
      <c r="G2" s="2669"/>
      <c r="H2" s="2669"/>
      <c r="I2" s="2669"/>
      <c r="J2" s="1420"/>
    </row>
    <row r="3" spans="2:10" s="317" customFormat="1" ht="12.75" customHeight="1" x14ac:dyDescent="0.2">
      <c r="B3" s="2670" t="s">
        <v>1347</v>
      </c>
      <c r="C3" s="2671"/>
      <c r="D3" s="2671"/>
      <c r="E3" s="2671"/>
      <c r="F3" s="2671"/>
      <c r="G3" s="2671"/>
      <c r="H3" s="2671"/>
      <c r="I3" s="2671"/>
      <c r="J3" s="1421"/>
    </row>
    <row r="4" spans="2:10" s="317" customFormat="1" ht="12.75" customHeight="1" x14ac:dyDescent="0.2">
      <c r="B4" s="2670" t="str">
        <f>'Single Audit Cover'!A4</f>
        <v>Year Ending June 30, 2018</v>
      </c>
      <c r="C4" s="2671"/>
      <c r="D4" s="2671"/>
      <c r="E4" s="2671"/>
      <c r="F4" s="2671"/>
      <c r="G4" s="2671"/>
      <c r="H4" s="2671"/>
      <c r="I4" s="2671"/>
    </row>
    <row r="5" spans="2:10" s="317" customFormat="1" ht="6.2" customHeight="1" x14ac:dyDescent="0.2">
      <c r="B5" s="1422" t="s">
        <v>1231</v>
      </c>
      <c r="C5" s="1292"/>
      <c r="D5" s="1292"/>
      <c r="E5" s="1381"/>
      <c r="F5" s="322"/>
      <c r="G5" s="322"/>
      <c r="H5" s="322"/>
      <c r="I5" s="322"/>
    </row>
    <row r="6" spans="2:10" s="317" customFormat="1" ht="6.2" customHeight="1" x14ac:dyDescent="0.2">
      <c r="B6" s="1423"/>
      <c r="C6" s="1377"/>
      <c r="D6" s="1377"/>
      <c r="E6" s="1378"/>
      <c r="F6" s="1377"/>
      <c r="G6" s="1377"/>
      <c r="H6" s="1377"/>
      <c r="I6" s="1377"/>
    </row>
    <row r="7" spans="2:10" s="317" customFormat="1" ht="13.5" customHeight="1" x14ac:dyDescent="0.2">
      <c r="B7" s="2670" t="s">
        <v>1346</v>
      </c>
      <c r="C7" s="2671"/>
      <c r="D7" s="2671"/>
      <c r="E7" s="2671"/>
      <c r="F7" s="2671"/>
      <c r="G7" s="2671"/>
      <c r="H7" s="2671"/>
      <c r="I7" s="2671"/>
    </row>
    <row r="8" spans="2:10" s="317" customFormat="1" ht="6.2" customHeight="1" x14ac:dyDescent="0.2">
      <c r="B8" s="1424" t="s">
        <v>1231</v>
      </c>
      <c r="C8" s="1425"/>
      <c r="D8" s="1425"/>
      <c r="E8" s="1426"/>
      <c r="F8" s="1425"/>
      <c r="G8" s="1425"/>
      <c r="H8" s="1425"/>
      <c r="I8" s="1425"/>
    </row>
    <row r="9" spans="2:10" s="317" customFormat="1" ht="9" customHeight="1" x14ac:dyDescent="0.2">
      <c r="B9" s="1427"/>
      <c r="C9" s="322"/>
      <c r="D9" s="322"/>
      <c r="E9" s="1381"/>
      <c r="F9" s="322"/>
      <c r="G9" s="322"/>
      <c r="H9" s="322"/>
      <c r="I9" s="322"/>
    </row>
    <row r="10" spans="2:10" s="317" customFormat="1" ht="12.75" customHeight="1" x14ac:dyDescent="0.2">
      <c r="B10" s="1428" t="s">
        <v>1345</v>
      </c>
      <c r="C10" s="1429"/>
      <c r="D10" s="1429"/>
      <c r="E10" s="1256"/>
    </row>
    <row r="11" spans="2:10" s="317" customFormat="1" ht="13.5" customHeight="1" x14ac:dyDescent="0.2">
      <c r="B11" s="1347" t="s">
        <v>1344</v>
      </c>
      <c r="C11" s="2672" t="s">
        <v>1226</v>
      </c>
      <c r="D11" s="2672"/>
      <c r="E11" s="1430"/>
      <c r="F11" s="1430"/>
      <c r="G11" s="1430"/>
    </row>
    <row r="12" spans="2:10" s="317" customFormat="1" ht="11.45" customHeight="1" x14ac:dyDescent="0.2">
      <c r="B12" s="1355"/>
      <c r="C12" s="1431" t="s">
        <v>1517</v>
      </c>
      <c r="D12" s="1432"/>
      <c r="E12" s="1256"/>
    </row>
    <row r="13" spans="2:10" s="317" customFormat="1" ht="12.75" customHeight="1" x14ac:dyDescent="0.2">
      <c r="B13" s="1433"/>
      <c r="C13" s="1385"/>
      <c r="D13" s="1385"/>
      <c r="E13" s="1256"/>
    </row>
    <row r="14" spans="2:10" s="317" customFormat="1" ht="12.75" customHeight="1" x14ac:dyDescent="0.2">
      <c r="B14" s="1366" t="s">
        <v>1343</v>
      </c>
      <c r="C14" s="1280"/>
      <c r="E14" s="1256"/>
    </row>
    <row r="15" spans="2:10" s="317" customFormat="1" ht="13.5" customHeight="1" x14ac:dyDescent="0.2">
      <c r="B15" s="1434" t="s">
        <v>1340</v>
      </c>
      <c r="C15" s="1435"/>
      <c r="D15" s="1396"/>
      <c r="E15" s="1436" t="s">
        <v>2074</v>
      </c>
      <c r="F15" s="1298" t="s">
        <v>940</v>
      </c>
      <c r="G15" s="1436"/>
      <c r="H15" s="1298" t="s">
        <v>1338</v>
      </c>
      <c r="I15" s="1298"/>
    </row>
    <row r="16" spans="2:10" s="317" customFormat="1" ht="8.4499999999999993" customHeight="1" x14ac:dyDescent="0.2">
      <c r="B16" s="1366"/>
      <c r="C16" s="1280"/>
      <c r="E16" s="1381"/>
      <c r="F16" s="1298"/>
      <c r="G16" s="322"/>
      <c r="H16" s="1298"/>
      <c r="I16" s="1298"/>
    </row>
    <row r="17" spans="2:9" s="317" customFormat="1" ht="13.5" customHeight="1" x14ac:dyDescent="0.2">
      <c r="B17" s="1434" t="s">
        <v>1339</v>
      </c>
      <c r="C17" s="1435"/>
      <c r="D17" s="1396"/>
      <c r="E17" s="1437"/>
      <c r="F17" s="1255"/>
      <c r="G17" s="1437"/>
      <c r="H17" s="1298"/>
      <c r="I17" s="1298"/>
    </row>
    <row r="18" spans="2:9" s="317" customFormat="1" ht="12.75" customHeight="1" x14ac:dyDescent="0.2">
      <c r="B18" s="1434" t="s">
        <v>1518</v>
      </c>
      <c r="C18" s="1435"/>
      <c r="D18" s="1396"/>
      <c r="E18" s="1436"/>
      <c r="F18" s="1298" t="s">
        <v>940</v>
      </c>
      <c r="G18" s="1436" t="s">
        <v>2074</v>
      </c>
      <c r="H18" s="1298" t="s">
        <v>1338</v>
      </c>
      <c r="I18" s="1298"/>
    </row>
    <row r="19" spans="2:9" s="317" customFormat="1" ht="8.4499999999999993" customHeight="1" x14ac:dyDescent="0.2">
      <c r="B19" s="1366"/>
      <c r="C19" s="1280"/>
      <c r="E19" s="1381"/>
      <c r="F19" s="1298"/>
      <c r="G19" s="322"/>
      <c r="H19" s="1298"/>
      <c r="I19" s="1298"/>
    </row>
    <row r="20" spans="2:9" s="317" customFormat="1" ht="13.5" customHeight="1" x14ac:dyDescent="0.2">
      <c r="B20" s="1434" t="s">
        <v>1673</v>
      </c>
      <c r="C20" s="1435"/>
      <c r="D20" s="1396"/>
      <c r="E20" s="1436" t="s">
        <v>2074</v>
      </c>
      <c r="F20" s="1298" t="s">
        <v>940</v>
      </c>
      <c r="G20" s="1436"/>
      <c r="H20" s="1298" t="s">
        <v>101</v>
      </c>
      <c r="I20" s="1298"/>
    </row>
    <row r="21" spans="2:9" s="317" customFormat="1" ht="12.75" customHeight="1" x14ac:dyDescent="0.2">
      <c r="B21" s="1366"/>
      <c r="C21" s="1280"/>
      <c r="E21" s="1381"/>
      <c r="F21" s="1298"/>
      <c r="G21" s="322"/>
      <c r="H21" s="1298"/>
      <c r="I21" s="1298"/>
    </row>
    <row r="22" spans="2:9" s="317" customFormat="1" ht="12.75" customHeight="1" x14ac:dyDescent="0.2">
      <c r="B22" s="1428" t="s">
        <v>1342</v>
      </c>
      <c r="C22" s="1438"/>
      <c r="D22" s="1429"/>
      <c r="E22" s="1381"/>
      <c r="F22" s="1298"/>
      <c r="G22" s="322"/>
      <c r="H22" s="1298"/>
      <c r="I22" s="1298"/>
    </row>
    <row r="23" spans="2:9" s="317" customFormat="1" ht="12.75" customHeight="1" x14ac:dyDescent="0.2">
      <c r="B23" s="1366" t="s">
        <v>1341</v>
      </c>
      <c r="C23" s="1280"/>
      <c r="E23" s="1381"/>
      <c r="F23" s="1298"/>
      <c r="G23" s="322"/>
      <c r="H23" s="1298"/>
      <c r="I23" s="1298"/>
    </row>
    <row r="24" spans="2:9" s="317" customFormat="1" ht="13.5" customHeight="1" x14ac:dyDescent="0.2">
      <c r="B24" s="1434" t="s">
        <v>1340</v>
      </c>
      <c r="C24" s="1435"/>
      <c r="D24" s="1396"/>
      <c r="E24" s="1436"/>
      <c r="F24" s="1298" t="s">
        <v>940</v>
      </c>
      <c r="G24" s="1436" t="s">
        <v>2074</v>
      </c>
      <c r="H24" s="1298" t="s">
        <v>1338</v>
      </c>
      <c r="I24" s="1298"/>
    </row>
    <row r="25" spans="2:9" s="317" customFormat="1" ht="8.4499999999999993" customHeight="1" x14ac:dyDescent="0.2">
      <c r="B25" s="1366"/>
      <c r="C25" s="1280"/>
      <c r="E25" s="1381"/>
      <c r="F25" s="1298"/>
      <c r="G25" s="322"/>
      <c r="H25" s="1298"/>
      <c r="I25" s="1298"/>
    </row>
    <row r="26" spans="2:9" s="317" customFormat="1" ht="13.5" customHeight="1" x14ac:dyDescent="0.2">
      <c r="B26" s="1434" t="s">
        <v>1339</v>
      </c>
      <c r="C26" s="1435"/>
      <c r="D26" s="1396"/>
      <c r="E26" s="1437"/>
      <c r="F26" s="1255"/>
      <c r="G26" s="1437"/>
      <c r="H26" s="1298"/>
      <c r="I26" s="1298"/>
    </row>
    <row r="27" spans="2:9" s="317" customFormat="1" ht="12.75" customHeight="1" x14ac:dyDescent="0.2">
      <c r="B27" s="1434" t="s">
        <v>1518</v>
      </c>
      <c r="C27" s="1435"/>
      <c r="D27" s="1396"/>
      <c r="E27" s="1436"/>
      <c r="F27" s="1298" t="s">
        <v>940</v>
      </c>
      <c r="G27" s="1436" t="s">
        <v>2074</v>
      </c>
      <c r="H27" s="1298" t="s">
        <v>1338</v>
      </c>
      <c r="I27" s="1298"/>
    </row>
    <row r="28" spans="2:9" s="317" customFormat="1" ht="12.75" customHeight="1" x14ac:dyDescent="0.2">
      <c r="B28" s="1366"/>
      <c r="C28" s="1280"/>
      <c r="E28" s="1256"/>
    </row>
    <row r="29" spans="2:9" s="317" customFormat="1" ht="12.75" customHeight="1" x14ac:dyDescent="0.2">
      <c r="B29" s="1366" t="s">
        <v>1337</v>
      </c>
      <c r="C29" s="1280"/>
      <c r="D29" s="2673" t="s">
        <v>2135</v>
      </c>
      <c r="E29" s="2673"/>
      <c r="F29" s="2673"/>
      <c r="G29" s="2673"/>
      <c r="H29" s="2673"/>
      <c r="I29" s="2673"/>
    </row>
    <row r="30" spans="2:9" s="317" customFormat="1" x14ac:dyDescent="0.2">
      <c r="B30" s="1366"/>
      <c r="C30" s="322"/>
      <c r="D30" s="1431" t="s">
        <v>1848</v>
      </c>
      <c r="E30" s="1432"/>
      <c r="F30" s="1432"/>
      <c r="G30" s="1432"/>
      <c r="H30" s="1432"/>
      <c r="I30" s="1432"/>
    </row>
    <row r="31" spans="2:9" s="317" customFormat="1" ht="9.9499999999999993" customHeight="1" x14ac:dyDescent="0.2">
      <c r="B31" s="1366"/>
      <c r="E31" s="1256"/>
    </row>
    <row r="32" spans="2:9" s="317" customFormat="1" x14ac:dyDescent="0.2">
      <c r="B32" s="1366" t="s">
        <v>1336</v>
      </c>
      <c r="C32" s="1280"/>
      <c r="E32" s="1256"/>
    </row>
    <row r="33" spans="2:9" ht="13.5" customHeight="1" x14ac:dyDescent="0.2">
      <c r="B33" s="1366" t="s">
        <v>1633</v>
      </c>
      <c r="C33" s="1280"/>
      <c r="E33" s="1436" t="s">
        <v>2074</v>
      </c>
      <c r="F33" s="1298" t="s">
        <v>940</v>
      </c>
      <c r="G33" s="1436"/>
      <c r="H33" s="1298" t="s">
        <v>101</v>
      </c>
    </row>
    <row r="35" spans="2:9" x14ac:dyDescent="0.2">
      <c r="B35" s="1439" t="s">
        <v>1849</v>
      </c>
      <c r="C35" s="1440"/>
      <c r="D35" s="1265"/>
    </row>
    <row r="36" spans="2:9" ht="6" customHeight="1" x14ac:dyDescent="0.2">
      <c r="B36" s="1439"/>
      <c r="C36" s="1440"/>
      <c r="D36" s="1265"/>
    </row>
    <row r="37" spans="2:9" ht="17.25" customHeight="1" x14ac:dyDescent="0.2">
      <c r="B37" s="1441" t="s">
        <v>1850</v>
      </c>
      <c r="C37" s="2674" t="s">
        <v>1851</v>
      </c>
      <c r="D37" s="2675"/>
      <c r="E37" s="2675"/>
      <c r="F37" s="2676"/>
      <c r="G37" s="2674" t="s">
        <v>1674</v>
      </c>
      <c r="H37" s="2675"/>
      <c r="I37" s="2676"/>
    </row>
    <row r="38" spans="2:9" ht="16.5" customHeight="1" x14ac:dyDescent="0.2">
      <c r="B38" s="1442">
        <v>84.027000000000001</v>
      </c>
      <c r="C38" s="2662" t="s">
        <v>2136</v>
      </c>
      <c r="D38" s="2663"/>
      <c r="E38" s="2663"/>
      <c r="F38" s="2664"/>
      <c r="G38" s="2677">
        <v>519973</v>
      </c>
      <c r="H38" s="2678"/>
      <c r="I38" s="2679"/>
    </row>
    <row r="39" spans="2:9" ht="16.5" customHeight="1" x14ac:dyDescent="0.2">
      <c r="B39" s="1442"/>
      <c r="C39" s="2662"/>
      <c r="D39" s="2663"/>
      <c r="E39" s="2663"/>
      <c r="F39" s="2664"/>
      <c r="G39" s="2665"/>
      <c r="H39" s="2665"/>
      <c r="I39" s="2665"/>
    </row>
    <row r="40" spans="2:9" ht="16.5" customHeight="1" x14ac:dyDescent="0.2">
      <c r="B40" s="1442"/>
      <c r="C40" s="2662"/>
      <c r="D40" s="2663"/>
      <c r="E40" s="2663"/>
      <c r="F40" s="2664"/>
      <c r="G40" s="2665"/>
      <c r="H40" s="2665"/>
      <c r="I40" s="2665"/>
    </row>
    <row r="41" spans="2:9" ht="16.5" customHeight="1" x14ac:dyDescent="0.2">
      <c r="B41" s="1442"/>
      <c r="C41" s="2662"/>
      <c r="D41" s="2663"/>
      <c r="E41" s="2663"/>
      <c r="F41" s="2664"/>
      <c r="G41" s="2665"/>
      <c r="H41" s="2665"/>
      <c r="I41" s="2665"/>
    </row>
    <row r="42" spans="2:9" ht="16.5" customHeight="1" x14ac:dyDescent="0.2">
      <c r="B42" s="1442"/>
      <c r="C42" s="2662"/>
      <c r="D42" s="2663"/>
      <c r="E42" s="2663"/>
      <c r="F42" s="2664"/>
      <c r="G42" s="2665"/>
      <c r="H42" s="2665"/>
      <c r="I42" s="2665"/>
    </row>
    <row r="43" spans="2:9" ht="16.5" customHeight="1" x14ac:dyDescent="0.2">
      <c r="B43" s="1442"/>
      <c r="C43" s="2680" t="s">
        <v>1675</v>
      </c>
      <c r="D43" s="2681"/>
      <c r="E43" s="2681"/>
      <c r="F43" s="2682"/>
      <c r="G43" s="2683">
        <f>SUM(G38:I42)</f>
        <v>519973</v>
      </c>
      <c r="H43" s="2683"/>
      <c r="I43" s="2683"/>
    </row>
    <row r="44" spans="2:9" ht="12.75" customHeight="1" x14ac:dyDescent="0.2"/>
    <row r="45" spans="2:9" ht="12.75" customHeight="1" x14ac:dyDescent="0.2">
      <c r="B45" s="1433" t="s">
        <v>1949</v>
      </c>
      <c r="D45" s="2684">
        <v>916485</v>
      </c>
      <c r="E45" s="2685"/>
    </row>
    <row r="46" spans="2:9" ht="5.25" customHeight="1" x14ac:dyDescent="0.2">
      <c r="B46" s="1443"/>
      <c r="D46" s="1444"/>
      <c r="E46" s="1445"/>
    </row>
    <row r="47" spans="2:9" ht="12.75" customHeight="1" x14ac:dyDescent="0.2">
      <c r="B47" s="1298" t="s">
        <v>1676</v>
      </c>
      <c r="C47" s="1298"/>
      <c r="D47" s="1446">
        <f>+G43/D45</f>
        <v>0.56735571231389492</v>
      </c>
      <c r="E47" s="1447"/>
      <c r="F47" s="1448"/>
      <c r="I47" s="1449"/>
    </row>
    <row r="48" spans="2:9" ht="9.9499999999999993" customHeight="1" x14ac:dyDescent="0.2"/>
    <row r="49" spans="1:9" x14ac:dyDescent="0.2">
      <c r="B49" s="1366" t="s">
        <v>1335</v>
      </c>
      <c r="C49" s="1280"/>
      <c r="D49" s="1280"/>
      <c r="E49" s="2686">
        <v>750000</v>
      </c>
      <c r="F49" s="2686"/>
      <c r="G49" s="2686"/>
      <c r="H49" s="322"/>
    </row>
    <row r="51" spans="1:9" ht="13.5" customHeight="1" x14ac:dyDescent="0.2">
      <c r="B51" s="1366" t="s">
        <v>1334</v>
      </c>
      <c r="C51" s="1280"/>
      <c r="E51" s="1436"/>
      <c r="F51" s="1298" t="s">
        <v>940</v>
      </c>
      <c r="G51" s="1436" t="s">
        <v>2074</v>
      </c>
      <c r="H51" s="1298" t="s">
        <v>101</v>
      </c>
    </row>
    <row r="52" spans="1:9" x14ac:dyDescent="0.2">
      <c r="B52" s="1358"/>
      <c r="C52" s="1295"/>
      <c r="D52" s="1450"/>
      <c r="E52" s="1451"/>
      <c r="F52" s="1452"/>
      <c r="G52" s="1452"/>
      <c r="H52" s="1452"/>
      <c r="I52" s="1452"/>
    </row>
    <row r="53" spans="1:9" ht="6" customHeight="1" x14ac:dyDescent="0.2">
      <c r="B53" s="1427"/>
      <c r="C53" s="322"/>
      <c r="D53" s="1453"/>
      <c r="E53" s="1454"/>
      <c r="F53" s="1455"/>
      <c r="G53" s="1455"/>
      <c r="H53" s="1455"/>
      <c r="I53" s="1455"/>
    </row>
    <row r="54" spans="1:9" s="1459" customFormat="1" ht="14.25" x14ac:dyDescent="0.2">
      <c r="A54" s="1456"/>
      <c r="B54" s="1457" t="s">
        <v>1852</v>
      </c>
      <c r="C54" s="1458"/>
      <c r="D54" s="1458"/>
    </row>
    <row r="55" spans="1:9" s="1459" customFormat="1" ht="12.75" customHeight="1" x14ac:dyDescent="0.2">
      <c r="A55" s="1456"/>
      <c r="B55" s="1460" t="s">
        <v>1677</v>
      </c>
      <c r="C55" s="1456"/>
      <c r="D55" s="1456"/>
    </row>
    <row r="56" spans="1:9" s="1459" customFormat="1" ht="12.75" customHeight="1" x14ac:dyDescent="0.2">
      <c r="A56" s="1456"/>
      <c r="B56" s="1460" t="s">
        <v>1678</v>
      </c>
      <c r="C56" s="1456"/>
      <c r="D56" s="1456"/>
    </row>
    <row r="57" spans="1:9" s="1459" customFormat="1" ht="3.95" customHeight="1" x14ac:dyDescent="0.2">
      <c r="A57" s="1456"/>
      <c r="B57" s="1460"/>
      <c r="C57" s="1456"/>
      <c r="D57" s="1456"/>
    </row>
    <row r="58" spans="1:9" s="1459" customFormat="1" ht="13.5" customHeight="1" x14ac:dyDescent="0.2">
      <c r="A58" s="1456"/>
      <c r="B58" s="1461" t="s">
        <v>1853</v>
      </c>
      <c r="C58" s="1462"/>
      <c r="D58" s="1462"/>
    </row>
    <row r="59" spans="1:9" s="1459" customFormat="1" ht="3.95" customHeight="1" x14ac:dyDescent="0.2">
      <c r="A59" s="1456"/>
      <c r="B59" s="1461"/>
      <c r="C59" s="1462"/>
      <c r="D59" s="1462"/>
    </row>
    <row r="60" spans="1:9" s="1459" customFormat="1" ht="13.5" customHeight="1" x14ac:dyDescent="0.2">
      <c r="A60" s="1456"/>
      <c r="B60" s="1461" t="s">
        <v>1854</v>
      </c>
      <c r="C60" s="1462"/>
      <c r="D60" s="1462"/>
    </row>
    <row r="61" spans="1:9" s="1459" customFormat="1" ht="3.95" customHeight="1" x14ac:dyDescent="0.2">
      <c r="A61" s="1456"/>
      <c r="B61" s="1461"/>
      <c r="C61" s="1462"/>
      <c r="D61" s="1462"/>
    </row>
    <row r="62" spans="1:9" s="1459" customFormat="1" ht="12.75" customHeight="1" x14ac:dyDescent="0.2">
      <c r="A62" s="1456"/>
      <c r="B62" s="1461" t="s">
        <v>1855</v>
      </c>
      <c r="C62" s="1462"/>
      <c r="D62" s="1462"/>
    </row>
    <row r="63" spans="1:9" s="1459" customFormat="1" ht="13.5" customHeight="1" x14ac:dyDescent="0.2">
      <c r="A63" s="1456"/>
      <c r="B63" s="1460" t="s">
        <v>1679</v>
      </c>
      <c r="C63" s="1456"/>
      <c r="D63" s="1456"/>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1375"/>
      <c r="M3" s="1375"/>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c r="E10" s="322"/>
      <c r="F10" s="1385" t="s">
        <v>1362</v>
      </c>
      <c r="G10" s="1386"/>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45.75" customHeight="1" x14ac:dyDescent="0.2">
      <c r="B14" s="2688"/>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75" customHeight="1" x14ac:dyDescent="0.2">
      <c r="B17" s="2688"/>
      <c r="C17" s="2688"/>
      <c r="D17" s="2688"/>
      <c r="E17" s="2688"/>
      <c r="F17" s="2688"/>
      <c r="G17" s="2688"/>
      <c r="H17" s="2688"/>
      <c r="I17" s="2688"/>
      <c r="J17" s="2688"/>
      <c r="K17" s="2688"/>
      <c r="L17" s="1379"/>
    </row>
    <row r="18" spans="2:12" ht="4.5" customHeight="1" x14ac:dyDescent="0.2">
      <c r="B18" s="1396"/>
      <c r="C18" s="1396"/>
      <c r="L18" s="1379"/>
    </row>
    <row r="19" spans="2:12" s="1280" customFormat="1" ht="13.5" customHeight="1" x14ac:dyDescent="0.2">
      <c r="B19" s="1391" t="s">
        <v>1843</v>
      </c>
      <c r="C19" s="1391"/>
      <c r="D19" s="1392"/>
      <c r="E19" s="1392"/>
      <c r="F19" s="1392"/>
      <c r="G19" s="1393"/>
      <c r="H19" s="1392"/>
      <c r="I19" s="1393"/>
      <c r="J19" s="1392"/>
      <c r="K19" s="1392"/>
      <c r="L19" s="1394"/>
    </row>
    <row r="20" spans="2:12" ht="45.75" customHeight="1" x14ac:dyDescent="0.2">
      <c r="B20" s="2692"/>
      <c r="C20" s="2692"/>
      <c r="D20" s="2688"/>
      <c r="E20" s="2688"/>
      <c r="F20" s="2688"/>
      <c r="G20" s="2688"/>
      <c r="H20" s="2688"/>
      <c r="I20" s="2688"/>
      <c r="J20" s="2688"/>
      <c r="K20" s="2688"/>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5" customHeight="1" x14ac:dyDescent="0.2">
      <c r="B23" s="2688"/>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688"/>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687"/>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44.25" customHeight="1" x14ac:dyDescent="0.2">
      <c r="B32" s="2687"/>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1952"/>
      <c r="M3" s="1952"/>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v>1</v>
      </c>
      <c r="E10" s="322"/>
      <c r="F10" s="1385" t="s">
        <v>1362</v>
      </c>
      <c r="G10" s="1386"/>
      <c r="H10" s="1387" t="s">
        <v>1361</v>
      </c>
      <c r="I10" s="1386" t="s">
        <v>2074</v>
      </c>
      <c r="J10" s="1388" t="s">
        <v>1360</v>
      </c>
      <c r="K10" s="322"/>
      <c r="L10" s="1379"/>
    </row>
    <row r="11" spans="1:13" ht="13.5" customHeight="1" x14ac:dyDescent="0.2">
      <c r="B11" s="322"/>
      <c r="C11" s="322"/>
      <c r="D11" s="322"/>
      <c r="E11" s="322"/>
      <c r="F11" s="322"/>
      <c r="G11" s="1381"/>
      <c r="H11" s="322"/>
      <c r="I11" s="1389" t="s">
        <v>1359</v>
      </c>
      <c r="J11" s="322"/>
      <c r="K11" s="1390">
        <v>2003</v>
      </c>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57.75" customHeight="1" x14ac:dyDescent="0.2">
      <c r="B14" s="2688" t="s">
        <v>2103</v>
      </c>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64.5" customHeight="1" x14ac:dyDescent="0.2">
      <c r="B17" s="2688" t="s">
        <v>2265</v>
      </c>
      <c r="C17" s="2688"/>
      <c r="D17" s="2688"/>
      <c r="E17" s="2688"/>
      <c r="F17" s="2688"/>
      <c r="G17" s="2688"/>
      <c r="H17" s="2688"/>
      <c r="I17" s="2688"/>
      <c r="J17" s="2688"/>
      <c r="K17" s="2688"/>
      <c r="L17" s="1379"/>
    </row>
    <row r="18" spans="2:12" ht="4.5" customHeight="1" x14ac:dyDescent="0.2">
      <c r="B18" s="1396"/>
      <c r="C18" s="1396"/>
      <c r="L18" s="1379"/>
    </row>
    <row r="19" spans="2:12" s="1280" customFormat="1" ht="13.5" customHeight="1" x14ac:dyDescent="0.2">
      <c r="B19" s="1391" t="s">
        <v>1843</v>
      </c>
      <c r="C19" s="1391"/>
      <c r="D19" s="1392"/>
      <c r="E19" s="1392"/>
      <c r="F19" s="1392"/>
      <c r="G19" s="1393"/>
      <c r="H19" s="1392"/>
      <c r="I19" s="1393"/>
      <c r="J19" s="1392"/>
      <c r="K19" s="1392"/>
      <c r="L19" s="1394"/>
    </row>
    <row r="20" spans="2:12" ht="45.75" customHeight="1" x14ac:dyDescent="0.2">
      <c r="B20" s="2692" t="s">
        <v>2266</v>
      </c>
      <c r="C20" s="2692"/>
      <c r="D20" s="2688"/>
      <c r="E20" s="2688"/>
      <c r="F20" s="2688"/>
      <c r="G20" s="2688"/>
      <c r="H20" s="2688"/>
      <c r="I20" s="2688"/>
      <c r="J20" s="2688"/>
      <c r="K20" s="2688"/>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58.5" customHeight="1" x14ac:dyDescent="0.2">
      <c r="B23" s="2688" t="s">
        <v>2268</v>
      </c>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688" t="s">
        <v>2267</v>
      </c>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687" t="s">
        <v>2105</v>
      </c>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39" customHeight="1" x14ac:dyDescent="0.2">
      <c r="B32" s="2687" t="s">
        <v>2327</v>
      </c>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5" zoomScaleNormal="115"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1952"/>
      <c r="M3" s="1952"/>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v>2</v>
      </c>
      <c r="E10" s="322"/>
      <c r="F10" s="1385" t="s">
        <v>1362</v>
      </c>
      <c r="G10" s="1386" t="s">
        <v>2074</v>
      </c>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45.75" customHeight="1" x14ac:dyDescent="0.2">
      <c r="B14" s="2688" t="s">
        <v>2114</v>
      </c>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75" customHeight="1" x14ac:dyDescent="0.2">
      <c r="B17" s="2688" t="s">
        <v>2115</v>
      </c>
      <c r="C17" s="2688"/>
      <c r="D17" s="2688"/>
      <c r="E17" s="2688"/>
      <c r="F17" s="2688"/>
      <c r="G17" s="2688"/>
      <c r="H17" s="2688"/>
      <c r="I17" s="2688"/>
      <c r="J17" s="2688"/>
      <c r="K17" s="2688"/>
      <c r="L17" s="1379"/>
    </row>
    <row r="18" spans="2:12" ht="4.5" customHeight="1" x14ac:dyDescent="0.2">
      <c r="B18" s="1396"/>
      <c r="C18" s="1396"/>
      <c r="L18" s="1379"/>
    </row>
    <row r="19" spans="2:12" s="1280" customFormat="1" ht="13.5" customHeight="1" x14ac:dyDescent="0.2">
      <c r="B19" s="1391" t="s">
        <v>1843</v>
      </c>
      <c r="C19" s="1391"/>
      <c r="D19" s="1392"/>
      <c r="E19" s="1392"/>
      <c r="F19" s="1392"/>
      <c r="G19" s="1393"/>
      <c r="H19" s="1392"/>
      <c r="I19" s="1393"/>
      <c r="J19" s="1392"/>
      <c r="K19" s="1392"/>
      <c r="L19" s="1394"/>
    </row>
    <row r="20" spans="2:12" ht="45.75" customHeight="1" x14ac:dyDescent="0.2">
      <c r="B20" s="2692" t="s">
        <v>2116</v>
      </c>
      <c r="C20" s="2692"/>
      <c r="D20" s="2688"/>
      <c r="E20" s="2688"/>
      <c r="F20" s="2688"/>
      <c r="G20" s="2688"/>
      <c r="H20" s="2688"/>
      <c r="I20" s="2688"/>
      <c r="J20" s="2688"/>
      <c r="K20" s="2688"/>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5" customHeight="1" x14ac:dyDescent="0.2">
      <c r="B23" s="2688" t="s">
        <v>2117</v>
      </c>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688" t="s">
        <v>2118</v>
      </c>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687" t="s">
        <v>2119</v>
      </c>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44.25" customHeight="1" x14ac:dyDescent="0.2">
      <c r="B32" s="2687" t="s">
        <v>2328</v>
      </c>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1952"/>
      <c r="M3" s="1952"/>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v>3</v>
      </c>
      <c r="E10" s="322"/>
      <c r="F10" s="1385" t="s">
        <v>1362</v>
      </c>
      <c r="G10" s="1386" t="s">
        <v>2074</v>
      </c>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45.75" customHeight="1" x14ac:dyDescent="0.2">
      <c r="B14" s="2688" t="s">
        <v>2106</v>
      </c>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 customHeight="1" x14ac:dyDescent="0.2">
      <c r="B17" s="2688" t="s">
        <v>2269</v>
      </c>
      <c r="C17" s="2688"/>
      <c r="D17" s="2688"/>
      <c r="E17" s="2688"/>
      <c r="F17" s="2688"/>
      <c r="G17" s="2688"/>
      <c r="H17" s="2688"/>
      <c r="I17" s="2688"/>
      <c r="J17" s="2688"/>
      <c r="K17" s="2688"/>
      <c r="L17" s="1379"/>
    </row>
    <row r="18" spans="2:12" ht="4.5" customHeight="1" x14ac:dyDescent="0.2">
      <c r="B18" s="1396"/>
      <c r="C18" s="1396"/>
      <c r="L18" s="1379"/>
    </row>
    <row r="19" spans="2:12" s="1280" customFormat="1" ht="13.5" customHeight="1" x14ac:dyDescent="0.2">
      <c r="B19" s="1391" t="s">
        <v>1843</v>
      </c>
      <c r="C19" s="1391"/>
      <c r="D19" s="1392"/>
      <c r="E19" s="1392"/>
      <c r="F19" s="1392"/>
      <c r="G19" s="1393"/>
      <c r="H19" s="1392"/>
      <c r="I19" s="1393"/>
      <c r="J19" s="1392"/>
      <c r="K19" s="1392"/>
      <c r="L19" s="1394"/>
    </row>
    <row r="20" spans="2:12" ht="36" customHeight="1" x14ac:dyDescent="0.2">
      <c r="B20" s="2692" t="s">
        <v>2270</v>
      </c>
      <c r="C20" s="2692"/>
      <c r="D20" s="2688"/>
      <c r="E20" s="2688"/>
      <c r="F20" s="2688"/>
      <c r="G20" s="2688"/>
      <c r="H20" s="2688"/>
      <c r="I20" s="2688"/>
      <c r="J20" s="2688"/>
      <c r="K20" s="2688"/>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5" customHeight="1" x14ac:dyDescent="0.2">
      <c r="B23" s="2688" t="s">
        <v>2271</v>
      </c>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688" t="s">
        <v>2272</v>
      </c>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687" t="s">
        <v>2273</v>
      </c>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44.25" customHeight="1" x14ac:dyDescent="0.2">
      <c r="B32" s="2687" t="s">
        <v>2329</v>
      </c>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1952"/>
      <c r="M3" s="1952"/>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v>4</v>
      </c>
      <c r="E10" s="322"/>
      <c r="F10" s="1385" t="s">
        <v>1362</v>
      </c>
      <c r="G10" s="1386" t="s">
        <v>2074</v>
      </c>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36" customHeight="1" x14ac:dyDescent="0.2">
      <c r="B14" s="2688" t="s">
        <v>2108</v>
      </c>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75" customHeight="1" x14ac:dyDescent="0.2">
      <c r="B17" s="2688" t="s">
        <v>2323</v>
      </c>
      <c r="C17" s="2688"/>
      <c r="D17" s="2688"/>
      <c r="E17" s="2688"/>
      <c r="F17" s="2688"/>
      <c r="G17" s="2688"/>
      <c r="H17" s="2688"/>
      <c r="I17" s="2688"/>
      <c r="J17" s="2688"/>
      <c r="K17" s="2688"/>
      <c r="L17" s="1379"/>
    </row>
    <row r="18" spans="2:12" ht="4.5" customHeight="1" x14ac:dyDescent="0.2">
      <c r="B18" s="1396"/>
      <c r="C18" s="1396"/>
      <c r="L18" s="1379"/>
    </row>
    <row r="19" spans="2:12" s="1280" customFormat="1" ht="13.5" customHeight="1" x14ac:dyDescent="0.2">
      <c r="B19" s="1391" t="s">
        <v>1843</v>
      </c>
      <c r="C19" s="1391"/>
      <c r="D19" s="1392"/>
      <c r="E19" s="1392"/>
      <c r="F19" s="1392"/>
      <c r="G19" s="1393"/>
      <c r="H19" s="1392"/>
      <c r="I19" s="1393"/>
      <c r="J19" s="1392"/>
      <c r="K19" s="1392"/>
      <c r="L19" s="1394"/>
    </row>
    <row r="20" spans="2:12" ht="36" customHeight="1" x14ac:dyDescent="0.2">
      <c r="B20" s="2692" t="s">
        <v>2110</v>
      </c>
      <c r="C20" s="2692"/>
      <c r="D20" s="2688"/>
      <c r="E20" s="2688"/>
      <c r="F20" s="2688"/>
      <c r="G20" s="2688"/>
      <c r="H20" s="2688"/>
      <c r="I20" s="2688"/>
      <c r="J20" s="2688"/>
      <c r="K20" s="2688"/>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38.25" customHeight="1" x14ac:dyDescent="0.2">
      <c r="B23" s="2688" t="s">
        <v>2274</v>
      </c>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688" t="s">
        <v>2324</v>
      </c>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687" t="s">
        <v>2275</v>
      </c>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57" customHeight="1" x14ac:dyDescent="0.2">
      <c r="B32" s="2687" t="s">
        <v>2330</v>
      </c>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ht="2.25" customHeigh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1952"/>
      <c r="M3" s="1952"/>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v>5</v>
      </c>
      <c r="E10" s="322"/>
      <c r="F10" s="1385" t="s">
        <v>1362</v>
      </c>
      <c r="G10" s="1386" t="s">
        <v>2074</v>
      </c>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45.75" customHeight="1" x14ac:dyDescent="0.2">
      <c r="B14" s="2688" t="s">
        <v>2111</v>
      </c>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53.25" customHeight="1" x14ac:dyDescent="0.2">
      <c r="B17" s="2693" t="s">
        <v>2277</v>
      </c>
      <c r="C17" s="2693"/>
      <c r="D17" s="2693"/>
      <c r="E17" s="2693"/>
      <c r="F17" s="2693"/>
      <c r="G17" s="2693"/>
      <c r="H17" s="2693"/>
      <c r="I17" s="2693"/>
      <c r="J17" s="2693"/>
      <c r="K17" s="2693"/>
      <c r="L17" s="1379"/>
    </row>
    <row r="18" spans="2:12" ht="4.5" customHeight="1" x14ac:dyDescent="0.2">
      <c r="B18" s="2106"/>
      <c r="C18" s="2106"/>
      <c r="D18" s="1276"/>
      <c r="E18" s="1276"/>
      <c r="F18" s="1276"/>
      <c r="G18" s="2107"/>
      <c r="H18" s="1276"/>
      <c r="I18" s="2107"/>
      <c r="J18" s="1276"/>
      <c r="K18" s="1276"/>
      <c r="L18" s="1379"/>
    </row>
    <row r="19" spans="2:12" s="1280" customFormat="1" ht="13.5" customHeight="1" x14ac:dyDescent="0.2">
      <c r="B19" s="2108" t="s">
        <v>1843</v>
      </c>
      <c r="C19" s="2108"/>
      <c r="D19" s="2109"/>
      <c r="E19" s="2109"/>
      <c r="F19" s="2109"/>
      <c r="G19" s="2110"/>
      <c r="H19" s="2109"/>
      <c r="I19" s="2110"/>
      <c r="J19" s="2109"/>
      <c r="K19" s="2109"/>
      <c r="L19" s="1394"/>
    </row>
    <row r="20" spans="2:12" ht="45.75" customHeight="1" x14ac:dyDescent="0.2">
      <c r="B20" s="2694" t="s">
        <v>2325</v>
      </c>
      <c r="C20" s="2694"/>
      <c r="D20" s="2693"/>
      <c r="E20" s="2693"/>
      <c r="F20" s="2693"/>
      <c r="G20" s="2693"/>
      <c r="H20" s="2693"/>
      <c r="I20" s="2693"/>
      <c r="J20" s="2693"/>
      <c r="K20" s="2693"/>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28.5" customHeight="1" x14ac:dyDescent="0.2">
      <c r="B23" s="2688" t="s">
        <v>2112</v>
      </c>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688" t="s">
        <v>2276</v>
      </c>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687" t="s">
        <v>2113</v>
      </c>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44.25" customHeight="1" x14ac:dyDescent="0.2">
      <c r="B32" s="2687" t="s">
        <v>2331</v>
      </c>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1952"/>
      <c r="M3" s="1952"/>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v>6</v>
      </c>
      <c r="E10" s="322"/>
      <c r="F10" s="1385" t="s">
        <v>1362</v>
      </c>
      <c r="G10" s="1386" t="s">
        <v>2074</v>
      </c>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59.25" customHeight="1" x14ac:dyDescent="0.2">
      <c r="B14" s="2688" t="s">
        <v>2120</v>
      </c>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29.25" customHeight="1" x14ac:dyDescent="0.2">
      <c r="B17" s="2688" t="s">
        <v>2279</v>
      </c>
      <c r="C17" s="2688"/>
      <c r="D17" s="2688"/>
      <c r="E17" s="2688"/>
      <c r="F17" s="2688"/>
      <c r="G17" s="2688"/>
      <c r="H17" s="2688"/>
      <c r="I17" s="2688"/>
      <c r="J17" s="2688"/>
      <c r="K17" s="2688"/>
      <c r="L17" s="1379"/>
    </row>
    <row r="18" spans="2:12" ht="4.5" customHeight="1" x14ac:dyDescent="0.2">
      <c r="B18" s="1396"/>
      <c r="C18" s="1396"/>
      <c r="L18" s="1379"/>
    </row>
    <row r="19" spans="2:12" s="1280" customFormat="1" ht="13.5" customHeight="1" x14ac:dyDescent="0.2">
      <c r="B19" s="1391" t="s">
        <v>1843</v>
      </c>
      <c r="C19" s="1391"/>
      <c r="D19" s="1392"/>
      <c r="E19" s="1392"/>
      <c r="F19" s="1392"/>
      <c r="G19" s="1393"/>
      <c r="H19" s="1392"/>
      <c r="I19" s="1393"/>
      <c r="J19" s="1392"/>
      <c r="K19" s="1392"/>
      <c r="L19" s="1394"/>
    </row>
    <row r="20" spans="2:12" ht="44.25" customHeight="1" x14ac:dyDescent="0.2">
      <c r="B20" s="2692" t="s">
        <v>2326</v>
      </c>
      <c r="C20" s="2692"/>
      <c r="D20" s="2688"/>
      <c r="E20" s="2688"/>
      <c r="F20" s="2688"/>
      <c r="G20" s="2688"/>
      <c r="H20" s="2688"/>
      <c r="I20" s="2688"/>
      <c r="J20" s="2688"/>
      <c r="K20" s="2688"/>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3.5" customHeight="1" x14ac:dyDescent="0.2">
      <c r="B23" s="2688" t="s">
        <v>2122</v>
      </c>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3.5" customHeight="1" x14ac:dyDescent="0.2">
      <c r="B26" s="2688" t="s">
        <v>2123</v>
      </c>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36.75" customHeight="1" x14ac:dyDescent="0.2">
      <c r="B29" s="2687" t="s">
        <v>2278</v>
      </c>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63" customHeight="1" x14ac:dyDescent="0.2">
      <c r="B32" s="2687" t="s">
        <v>2332</v>
      </c>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1952"/>
      <c r="M3" s="1952"/>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v>7</v>
      </c>
      <c r="E10" s="322"/>
      <c r="F10" s="1385" t="s">
        <v>1362</v>
      </c>
      <c r="G10" s="1386" t="s">
        <v>2074</v>
      </c>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64.5" customHeight="1" x14ac:dyDescent="0.2">
      <c r="B14" s="2688" t="s">
        <v>2124</v>
      </c>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75" customHeight="1" x14ac:dyDescent="0.2">
      <c r="B17" s="2688" t="s">
        <v>2125</v>
      </c>
      <c r="C17" s="2688"/>
      <c r="D17" s="2688"/>
      <c r="E17" s="2688"/>
      <c r="F17" s="2688"/>
      <c r="G17" s="2688"/>
      <c r="H17" s="2688"/>
      <c r="I17" s="2688"/>
      <c r="J17" s="2688"/>
      <c r="K17" s="2688"/>
      <c r="L17" s="1379"/>
    </row>
    <row r="18" spans="2:12" ht="4.5" customHeight="1" x14ac:dyDescent="0.2">
      <c r="B18" s="1396"/>
      <c r="C18" s="1396"/>
      <c r="L18" s="1379"/>
    </row>
    <row r="19" spans="2:12" s="1280" customFormat="1" ht="13.5" customHeight="1" x14ac:dyDescent="0.2">
      <c r="B19" s="1391" t="s">
        <v>1843</v>
      </c>
      <c r="C19" s="1391"/>
      <c r="D19" s="1392"/>
      <c r="E19" s="1392"/>
      <c r="F19" s="1392"/>
      <c r="G19" s="1393"/>
      <c r="H19" s="1392"/>
      <c r="I19" s="1393"/>
      <c r="J19" s="1392"/>
      <c r="K19" s="1392"/>
      <c r="L19" s="1394"/>
    </row>
    <row r="20" spans="2:12" ht="45.75" customHeight="1" x14ac:dyDescent="0.2">
      <c r="B20" s="2692" t="s">
        <v>2126</v>
      </c>
      <c r="C20" s="2692"/>
      <c r="D20" s="2688"/>
      <c r="E20" s="2688"/>
      <c r="F20" s="2688"/>
      <c r="G20" s="2688"/>
      <c r="H20" s="2688"/>
      <c r="I20" s="2688"/>
      <c r="J20" s="2688"/>
      <c r="K20" s="2688"/>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5" customHeight="1" x14ac:dyDescent="0.2">
      <c r="B23" s="2688" t="s">
        <v>2127</v>
      </c>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688" t="s">
        <v>2128</v>
      </c>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687" t="s">
        <v>2129</v>
      </c>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44.25" customHeight="1" x14ac:dyDescent="0.2">
      <c r="B32" s="2687" t="s">
        <v>2333</v>
      </c>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7"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287" t="s">
        <v>404</v>
      </c>
      <c r="B1" s="2287"/>
      <c r="C1" s="2287"/>
      <c r="D1" s="2287"/>
      <c r="E1" s="2287"/>
      <c r="F1" s="2287"/>
      <c r="G1" s="2287"/>
      <c r="H1" s="2287"/>
      <c r="I1" s="2287"/>
      <c r="J1" s="2287"/>
      <c r="K1" s="2287"/>
      <c r="L1" s="2287"/>
      <c r="M1" s="2287"/>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678973319</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1.8667E-2</v>
      </c>
      <c r="E10" s="356" t="s">
        <v>1062</v>
      </c>
      <c r="F10" s="355">
        <v>2.3E-3</v>
      </c>
      <c r="G10" s="356" t="s">
        <v>1062</v>
      </c>
      <c r="H10" s="355">
        <v>1.206E-3</v>
      </c>
      <c r="I10" s="356" t="s">
        <v>1063</v>
      </c>
      <c r="J10" s="1750">
        <f>ROUND(D10+F10+H10,5)</f>
        <v>2.2169999999999999E-2</v>
      </c>
      <c r="K10" s="222"/>
      <c r="L10" s="355">
        <v>5.0000000000000001E-4</v>
      </c>
      <c r="M10" s="222"/>
    </row>
    <row r="11" spans="1:14" ht="7.5" customHeight="1" x14ac:dyDescent="0.2">
      <c r="B11" s="222"/>
      <c r="C11" s="222"/>
      <c r="D11" s="2297" t="str">
        <f>IF(SUM(J10)&lt;=0.0999999,"","Enter the Tax Rates by moving the decimal two places to the left.")</f>
        <v/>
      </c>
      <c r="E11" s="2298"/>
      <c r="F11" s="2298"/>
      <c r="G11" s="2298"/>
      <c r="H11" s="2298"/>
      <c r="I11" s="2298"/>
      <c r="J11" s="2298"/>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1">
        <f>SUM('Acct Summary 7-8'!C8,'Acct Summary 7-8'!D8,'Acct Summary 7-8'!F8,'Acct Summary 7-8'!I8)</f>
        <v>25687807</v>
      </c>
      <c r="E16" s="356"/>
      <c r="F16" s="1751">
        <f>SUM('Acct Summary 7-8'!C17,'Acct Summary 7-8'!D17,'Acct Summary 7-8'!F17)</f>
        <v>25156683</v>
      </c>
      <c r="G16" s="356"/>
      <c r="H16" s="1751">
        <f>SUM(D16-F16)</f>
        <v>531124</v>
      </c>
      <c r="I16" s="222"/>
      <c r="J16" s="1751">
        <f>SUM('Acct Summary 7-8'!C81,'Acct Summary 7-8'!D81,'Acct Summary 7-8'!F81,'Acct Summary 7-8'!I81)</f>
        <v>10883434</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1">
        <f>'Short-Term Long-Term Debt 24'!F4</f>
        <v>0</v>
      </c>
      <c r="E22" s="356" t="s">
        <v>1062</v>
      </c>
      <c r="F22" s="1751">
        <f>'Short-Term Long-Term Debt 24'!F15</f>
        <v>0</v>
      </c>
      <c r="G22" s="356" t="s">
        <v>1062</v>
      </c>
      <c r="H22" s="1751">
        <f>'Short-Term Long-Term Debt 24'!F21</f>
        <v>0</v>
      </c>
      <c r="I22" s="356" t="s">
        <v>1062</v>
      </c>
      <c r="J22" s="1751">
        <f>'Short-Term Long-Term Debt 24'!F23</f>
        <v>0</v>
      </c>
      <c r="K22" s="356" t="s">
        <v>1062</v>
      </c>
      <c r="L22" s="1751">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1">
        <f>'Short-Term Long-Term Debt 24'!F27</f>
        <v>0</v>
      </c>
      <c r="E24" s="356" t="s">
        <v>1063</v>
      </c>
      <c r="F24" s="1752">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2074</v>
      </c>
      <c r="C31" s="367" t="s">
        <v>607</v>
      </c>
      <c r="D31" s="237" t="s">
        <v>1132</v>
      </c>
      <c r="E31" s="222"/>
      <c r="F31" s="222"/>
      <c r="G31" s="363"/>
      <c r="H31" s="1753">
        <f>IF(B31="X",(J7*0.069),IF(B32="X",(J7*0.138),"Enter x in a.or b."))</f>
        <v>46849159.011000007</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2">
        <f>'Assets-Liab 5-6'!N36</f>
        <v>24405000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288"/>
      <c r="C54" s="2289"/>
      <c r="D54" s="2289"/>
      <c r="E54" s="2289"/>
      <c r="F54" s="2289"/>
      <c r="G54" s="2289"/>
      <c r="H54" s="2289"/>
      <c r="I54" s="2289"/>
      <c r="J54" s="2289"/>
      <c r="K54" s="2289"/>
      <c r="L54" s="2290"/>
      <c r="M54" s="380"/>
    </row>
    <row r="55" spans="1:13" ht="12.75" customHeight="1" x14ac:dyDescent="0.2">
      <c r="B55" s="2291"/>
      <c r="C55" s="2292"/>
      <c r="D55" s="2292"/>
      <c r="E55" s="2292"/>
      <c r="F55" s="2292"/>
      <c r="G55" s="2292"/>
      <c r="H55" s="2292"/>
      <c r="I55" s="2292"/>
      <c r="J55" s="2292"/>
      <c r="K55" s="2292"/>
      <c r="L55" s="2293"/>
      <c r="M55" s="380"/>
    </row>
    <row r="56" spans="1:13" ht="12.75" customHeight="1" x14ac:dyDescent="0.2">
      <c r="B56" s="2291"/>
      <c r="C56" s="2292"/>
      <c r="D56" s="2292"/>
      <c r="E56" s="2292"/>
      <c r="F56" s="2292"/>
      <c r="G56" s="2292"/>
      <c r="H56" s="2292"/>
      <c r="I56" s="2292"/>
      <c r="J56" s="2292"/>
      <c r="K56" s="2292"/>
      <c r="L56" s="2293"/>
      <c r="M56" s="222"/>
    </row>
    <row r="57" spans="1:13" ht="12.75" customHeight="1" x14ac:dyDescent="0.2">
      <c r="B57" s="2291"/>
      <c r="C57" s="2292"/>
      <c r="D57" s="2292"/>
      <c r="E57" s="2292"/>
      <c r="F57" s="2292"/>
      <c r="G57" s="2292"/>
      <c r="H57" s="2292"/>
      <c r="I57" s="2292"/>
      <c r="J57" s="2292"/>
      <c r="K57" s="2292"/>
      <c r="L57" s="2293"/>
      <c r="M57" s="222"/>
    </row>
    <row r="58" spans="1:13" x14ac:dyDescent="0.2">
      <c r="B58" s="2294"/>
      <c r="C58" s="2295"/>
      <c r="D58" s="2295"/>
      <c r="E58" s="2295"/>
      <c r="F58" s="2295"/>
      <c r="G58" s="2295"/>
      <c r="H58" s="2295"/>
      <c r="I58" s="2295"/>
      <c r="J58" s="2295"/>
      <c r="K58" s="2295"/>
      <c r="L58" s="2296"/>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299"/>
      <c r="D61" s="2300"/>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666" t="str">
        <f>'Single Audit Cover'!A7</f>
        <v>Hononegah Community High School District No. 207</v>
      </c>
      <c r="C1" s="2666"/>
      <c r="D1" s="2666"/>
      <c r="E1" s="2666"/>
      <c r="F1" s="2666"/>
      <c r="G1" s="2666"/>
      <c r="H1" s="2666"/>
      <c r="I1" s="2666"/>
      <c r="J1" s="2666"/>
      <c r="K1" s="2666"/>
      <c r="L1" s="1372"/>
      <c r="M1" s="1372"/>
    </row>
    <row r="2" spans="1:13" ht="12" customHeight="1" x14ac:dyDescent="0.2">
      <c r="B2" s="2668" t="str">
        <f>'Single Audit Cover'!E7</f>
        <v>04-101-2070-16</v>
      </c>
      <c r="C2" s="2668"/>
      <c r="D2" s="2668"/>
      <c r="E2" s="2668"/>
      <c r="F2" s="2668"/>
      <c r="G2" s="2668"/>
      <c r="H2" s="2668"/>
      <c r="I2" s="2668"/>
      <c r="J2" s="2668"/>
      <c r="K2" s="2668"/>
      <c r="L2" s="1373"/>
      <c r="M2" s="1374"/>
    </row>
    <row r="3" spans="1:13" ht="10.35" customHeight="1" x14ac:dyDescent="0.2">
      <c r="B3" s="2689" t="s">
        <v>1347</v>
      </c>
      <c r="C3" s="2689"/>
      <c r="D3" s="2689"/>
      <c r="E3" s="2689"/>
      <c r="F3" s="2689"/>
      <c r="G3" s="2689"/>
      <c r="H3" s="2689"/>
      <c r="I3" s="2689"/>
      <c r="J3" s="2689"/>
      <c r="K3" s="2689"/>
      <c r="L3" s="2100"/>
      <c r="M3" s="2100"/>
    </row>
    <row r="4" spans="1:13" ht="14.25" customHeight="1" x14ac:dyDescent="0.2">
      <c r="B4" s="2690" t="str">
        <f>'Single Audit Cover'!A4</f>
        <v>Year Ending June 30, 2018</v>
      </c>
      <c r="C4" s="2690"/>
      <c r="D4" s="2690"/>
      <c r="E4" s="2690"/>
      <c r="F4" s="2690"/>
      <c r="G4" s="2690"/>
      <c r="H4" s="2690"/>
      <c r="I4" s="2690"/>
      <c r="J4" s="2690"/>
      <c r="K4" s="2690"/>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690" t="s">
        <v>1363</v>
      </c>
      <c r="C7" s="2690"/>
      <c r="D7" s="2691"/>
      <c r="E7" s="2691"/>
      <c r="F7" s="2691"/>
      <c r="G7" s="2691"/>
      <c r="H7" s="2691"/>
      <c r="I7" s="2691"/>
      <c r="J7" s="2691"/>
      <c r="K7" s="2691"/>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1842</v>
      </c>
      <c r="C10" s="1383" t="s">
        <v>1950</v>
      </c>
      <c r="D10" s="1384">
        <v>8</v>
      </c>
      <c r="E10" s="322"/>
      <c r="F10" s="1385" t="s">
        <v>1362</v>
      </c>
      <c r="G10" s="1386" t="s">
        <v>2074</v>
      </c>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45.75" customHeight="1" x14ac:dyDescent="0.2">
      <c r="B14" s="2688" t="s">
        <v>2297</v>
      </c>
      <c r="C14" s="2688"/>
      <c r="D14" s="2688"/>
      <c r="E14" s="2688"/>
      <c r="F14" s="2688"/>
      <c r="G14" s="2688"/>
      <c r="H14" s="2688"/>
      <c r="I14" s="2688"/>
      <c r="J14" s="2688"/>
      <c r="K14" s="2688"/>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75" customHeight="1" x14ac:dyDescent="0.2">
      <c r="B17" s="2688" t="s">
        <v>2298</v>
      </c>
      <c r="C17" s="2688"/>
      <c r="D17" s="2688"/>
      <c r="E17" s="2688"/>
      <c r="F17" s="2688"/>
      <c r="G17" s="2688"/>
      <c r="H17" s="2688"/>
      <c r="I17" s="2688"/>
      <c r="J17" s="2688"/>
      <c r="K17" s="2688"/>
      <c r="L17" s="1379"/>
    </row>
    <row r="18" spans="2:12" ht="4.5" customHeight="1" x14ac:dyDescent="0.2">
      <c r="B18" s="1396"/>
      <c r="C18" s="1396"/>
      <c r="L18" s="1379"/>
    </row>
    <row r="19" spans="2:12" s="1280" customFormat="1" ht="13.5" customHeight="1" x14ac:dyDescent="0.2">
      <c r="B19" s="1391" t="s">
        <v>1843</v>
      </c>
      <c r="C19" s="1391"/>
      <c r="D19" s="1392"/>
      <c r="E19" s="1392"/>
      <c r="F19" s="1392"/>
      <c r="G19" s="1393"/>
      <c r="H19" s="1392"/>
      <c r="I19" s="1393"/>
      <c r="J19" s="1392"/>
      <c r="K19" s="1392"/>
      <c r="L19" s="1394"/>
    </row>
    <row r="20" spans="2:12" ht="30.75" customHeight="1" x14ac:dyDescent="0.2">
      <c r="B20" s="2692" t="s">
        <v>2302</v>
      </c>
      <c r="C20" s="2692"/>
      <c r="D20" s="2688"/>
      <c r="E20" s="2688"/>
      <c r="F20" s="2688"/>
      <c r="G20" s="2688"/>
      <c r="H20" s="2688"/>
      <c r="I20" s="2688"/>
      <c r="J20" s="2688"/>
      <c r="K20" s="2688"/>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5" customHeight="1" x14ac:dyDescent="0.2">
      <c r="B23" s="2688" t="s">
        <v>2299</v>
      </c>
      <c r="C23" s="2688"/>
      <c r="D23" s="2688"/>
      <c r="E23" s="2688"/>
      <c r="F23" s="2688"/>
      <c r="G23" s="2688"/>
      <c r="H23" s="2688"/>
      <c r="I23" s="2688"/>
      <c r="J23" s="2688"/>
      <c r="K23" s="2688"/>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688" t="s">
        <v>2300</v>
      </c>
      <c r="C26" s="2688"/>
      <c r="D26" s="2688"/>
      <c r="E26" s="2688"/>
      <c r="F26" s="2688"/>
      <c r="G26" s="2688"/>
      <c r="H26" s="2688"/>
      <c r="I26" s="2688"/>
      <c r="J26" s="2688"/>
      <c r="K26" s="2688"/>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687" t="s">
        <v>2301</v>
      </c>
      <c r="C29" s="2687"/>
      <c r="D29" s="2688"/>
      <c r="E29" s="2688"/>
      <c r="F29" s="2688"/>
      <c r="G29" s="2688"/>
      <c r="H29" s="2688"/>
      <c r="I29" s="2688"/>
      <c r="J29" s="2688"/>
      <c r="K29" s="2688"/>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1844</v>
      </c>
      <c r="C31" s="1401"/>
      <c r="D31" s="1376"/>
      <c r="E31" s="1377"/>
      <c r="F31" s="1377"/>
      <c r="G31" s="1378"/>
      <c r="H31" s="1377"/>
      <c r="I31" s="1378"/>
      <c r="J31" s="1377"/>
      <c r="K31" s="1377"/>
      <c r="L31" s="1379"/>
    </row>
    <row r="32" spans="2:12" s="322" customFormat="1" ht="48" customHeight="1" x14ac:dyDescent="0.2">
      <c r="B32" s="2687" t="s">
        <v>2334</v>
      </c>
      <c r="C32" s="2687"/>
      <c r="D32" s="2688"/>
      <c r="E32" s="2688"/>
      <c r="F32" s="2688"/>
      <c r="G32" s="2688"/>
      <c r="H32" s="2688"/>
      <c r="I32" s="2688"/>
      <c r="J32" s="2688"/>
      <c r="K32" s="2688"/>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1845</v>
      </c>
      <c r="C35" s="1417"/>
      <c r="D35" s="322"/>
      <c r="E35" s="322"/>
      <c r="F35" s="322"/>
      <c r="L35" s="1379"/>
    </row>
    <row r="36" spans="1:13" ht="9.6" customHeight="1" x14ac:dyDescent="0.2">
      <c r="B36" s="1298" t="s">
        <v>1951</v>
      </c>
      <c r="C36" s="1298"/>
      <c r="L36" s="1379"/>
    </row>
    <row r="37" spans="1:13" ht="9.6" customHeight="1" x14ac:dyDescent="0.2">
      <c r="B37" s="1298" t="s">
        <v>1952</v>
      </c>
      <c r="C37" s="1298"/>
    </row>
    <row r="38" spans="1:13" ht="11.85" customHeight="1" x14ac:dyDescent="0.2">
      <c r="B38" s="1418" t="s">
        <v>1846</v>
      </c>
      <c r="C38" s="1418"/>
    </row>
    <row r="39" spans="1:13" ht="9.6" customHeight="1" x14ac:dyDescent="0.2">
      <c r="B39" s="1298" t="s">
        <v>1348</v>
      </c>
      <c r="C39" s="1298"/>
      <c r="M39" s="1419"/>
    </row>
    <row r="40" spans="1:13" ht="12.6" customHeight="1" x14ac:dyDescent="0.2">
      <c r="B40" s="1418" t="s">
        <v>1847</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5.28515625" style="317" customWidth="1"/>
    <col min="4" max="4" width="5.5703125" style="317" customWidth="1"/>
    <col min="5" max="5" width="3.140625" style="317" customWidth="1"/>
    <col min="6" max="6" width="20.140625" style="317" customWidth="1"/>
    <col min="7" max="7" width="3.5703125" style="1256" customWidth="1"/>
    <col min="8" max="8" width="10.5703125" style="317" customWidth="1"/>
    <col min="9" max="9" width="3.42578125" style="1256"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695" t="str">
        <f>'Single Audit Cover'!A7</f>
        <v>Hononegah Community High School District No. 207</v>
      </c>
      <c r="C1" s="2695"/>
      <c r="D1" s="2695"/>
      <c r="E1" s="2695"/>
      <c r="F1" s="2695"/>
      <c r="G1" s="2695"/>
      <c r="H1" s="2695"/>
      <c r="I1" s="2695"/>
      <c r="J1" s="2695"/>
      <c r="K1" s="2695"/>
      <c r="L1" s="1463"/>
    </row>
    <row r="2" spans="1:12" ht="12.75" customHeight="1" x14ac:dyDescent="0.2">
      <c r="B2" s="2696" t="str">
        <f>'Single Audit Cover'!E7</f>
        <v>04-101-2070-16</v>
      </c>
      <c r="C2" s="2696"/>
      <c r="D2" s="2696"/>
      <c r="E2" s="2696"/>
      <c r="F2" s="2696"/>
      <c r="G2" s="2696"/>
      <c r="H2" s="2696"/>
      <c r="I2" s="2696"/>
      <c r="J2" s="2696"/>
      <c r="K2" s="2696"/>
      <c r="L2" s="1464"/>
    </row>
    <row r="3" spans="1:12" ht="12.75" customHeight="1" x14ac:dyDescent="0.2">
      <c r="B3" s="2689" t="s">
        <v>1347</v>
      </c>
      <c r="C3" s="2689"/>
      <c r="D3" s="2689"/>
      <c r="E3" s="2689"/>
      <c r="F3" s="2689"/>
      <c r="G3" s="2689"/>
      <c r="H3" s="2689"/>
      <c r="I3" s="2689"/>
      <c r="J3" s="2689"/>
      <c r="K3" s="2689"/>
      <c r="L3" s="1375"/>
    </row>
    <row r="4" spans="1:12" ht="12.75" customHeight="1" x14ac:dyDescent="0.2">
      <c r="B4" s="2689" t="str">
        <f>'Single Audit Cover'!A4</f>
        <v>Year Ending June 30, 2018</v>
      </c>
      <c r="C4" s="2689"/>
      <c r="D4" s="2689"/>
      <c r="E4" s="2689"/>
      <c r="F4" s="2689"/>
      <c r="G4" s="2689"/>
      <c r="H4" s="2689"/>
      <c r="I4" s="2689"/>
      <c r="J4" s="2689"/>
      <c r="K4" s="2689"/>
      <c r="L4" s="1375"/>
    </row>
    <row r="5" spans="1:12" ht="5.25" customHeight="1" x14ac:dyDescent="0.2">
      <c r="B5" s="1258" t="s">
        <v>1231</v>
      </c>
      <c r="C5" s="1258"/>
      <c r="L5" s="322"/>
    </row>
    <row r="6" spans="1:12" ht="30.75" customHeight="1" x14ac:dyDescent="0.2">
      <c r="A6" s="322"/>
      <c r="B6" s="2697" t="s">
        <v>1375</v>
      </c>
      <c r="C6" s="2697"/>
      <c r="D6" s="2697"/>
      <c r="E6" s="2697"/>
      <c r="F6" s="2697"/>
      <c r="G6" s="2697"/>
      <c r="H6" s="2697"/>
      <c r="I6" s="2697"/>
      <c r="J6" s="2697"/>
      <c r="K6" s="2697"/>
      <c r="L6" s="322"/>
    </row>
    <row r="7" spans="1:12" ht="4.5" customHeight="1" x14ac:dyDescent="0.2">
      <c r="B7" s="1377"/>
      <c r="C7" s="1377"/>
      <c r="D7" s="1377"/>
      <c r="E7" s="1377"/>
      <c r="F7" s="1377"/>
      <c r="G7" s="1378"/>
      <c r="H7" s="1377"/>
      <c r="I7" s="1378"/>
      <c r="J7" s="1377"/>
      <c r="K7" s="1377"/>
      <c r="L7" s="322"/>
    </row>
    <row r="8" spans="1:12" ht="13.5" customHeight="1" x14ac:dyDescent="0.2">
      <c r="B8" s="1385" t="s">
        <v>1856</v>
      </c>
      <c r="C8" s="2111" t="s">
        <v>2280</v>
      </c>
      <c r="D8" s="2101">
        <v>9</v>
      </c>
      <c r="E8" s="322"/>
      <c r="F8" s="1382" t="s">
        <v>1362</v>
      </c>
      <c r="G8" s="1465" t="s">
        <v>2074</v>
      </c>
      <c r="H8" s="1466" t="s">
        <v>1374</v>
      </c>
      <c r="I8" s="1465"/>
      <c r="J8" s="1467" t="s">
        <v>1373</v>
      </c>
      <c r="L8" s="322"/>
    </row>
    <row r="9" spans="1:12" ht="13.5" customHeight="1" x14ac:dyDescent="0.2">
      <c r="D9" s="322"/>
      <c r="E9" s="322"/>
      <c r="F9" s="322"/>
      <c r="G9" s="1381"/>
      <c r="H9" s="322"/>
      <c r="I9" s="1468" t="s">
        <v>1359</v>
      </c>
      <c r="J9" s="322"/>
      <c r="K9" s="1469"/>
      <c r="L9" s="322"/>
    </row>
    <row r="10" spans="1:12" ht="4.5" customHeight="1" x14ac:dyDescent="0.2">
      <c r="B10" s="1470"/>
      <c r="C10" s="1470"/>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1372</v>
      </c>
      <c r="C12" s="1382"/>
      <c r="D12" s="304"/>
      <c r="E12" s="322"/>
      <c r="F12" s="2673" t="s">
        <v>2281</v>
      </c>
      <c r="G12" s="2673"/>
      <c r="H12" s="2673"/>
      <c r="I12" s="2673"/>
      <c r="J12" s="2673"/>
      <c r="K12" s="2673"/>
      <c r="L12" s="322"/>
    </row>
    <row r="13" spans="1:12" ht="9.6" customHeight="1" x14ac:dyDescent="0.2">
      <c r="B13" s="1255"/>
      <c r="C13" s="1255"/>
      <c r="D13" s="304"/>
      <c r="E13" s="322"/>
      <c r="F13" s="322"/>
      <c r="G13" s="1381"/>
      <c r="H13" s="322"/>
      <c r="I13" s="1381"/>
      <c r="J13" s="322"/>
      <c r="K13" s="1430"/>
      <c r="L13" s="322"/>
    </row>
    <row r="14" spans="1:12" ht="13.5" customHeight="1" x14ac:dyDescent="0.2">
      <c r="B14" s="1385" t="s">
        <v>1371</v>
      </c>
      <c r="C14" s="1385"/>
      <c r="D14" s="2698" t="s">
        <v>2225</v>
      </c>
      <c r="E14" s="2698"/>
      <c r="F14" s="2698"/>
      <c r="H14" s="1471" t="s">
        <v>1370</v>
      </c>
      <c r="I14" s="2699">
        <v>84.027000000000001</v>
      </c>
      <c r="J14" s="2699"/>
      <c r="K14" s="2699"/>
      <c r="L14" s="322"/>
    </row>
    <row r="15" spans="1:12" ht="9.4" customHeight="1" x14ac:dyDescent="0.2">
      <c r="B15" s="1385"/>
      <c r="C15" s="1385"/>
      <c r="D15" s="1371"/>
      <c r="E15" s="1258"/>
      <c r="F15" s="1258"/>
      <c r="G15" s="1284"/>
      <c r="H15" s="1258"/>
      <c r="I15" s="1472"/>
      <c r="J15" s="1292"/>
      <c r="K15" s="1289"/>
      <c r="L15" s="322"/>
    </row>
    <row r="16" spans="1:12" ht="13.5" customHeight="1" x14ac:dyDescent="0.2">
      <c r="B16" s="1385" t="s">
        <v>1369</v>
      </c>
      <c r="C16" s="1385"/>
      <c r="D16" s="2699" t="s">
        <v>2282</v>
      </c>
      <c r="E16" s="2699"/>
      <c r="F16" s="2699"/>
      <c r="G16" s="2699"/>
      <c r="H16" s="2699"/>
      <c r="I16" s="2699"/>
      <c r="J16" s="2699"/>
      <c r="K16" s="2699"/>
      <c r="L16" s="322"/>
    </row>
    <row r="17" spans="2:12" ht="13.5" customHeight="1" x14ac:dyDescent="0.2">
      <c r="B17" s="1385" t="s">
        <v>1368</v>
      </c>
      <c r="C17" s="1385"/>
      <c r="D17" s="2700" t="s">
        <v>2283</v>
      </c>
      <c r="E17" s="2700"/>
      <c r="F17" s="2700"/>
      <c r="G17" s="2700"/>
      <c r="H17" s="2700"/>
      <c r="I17" s="2700"/>
      <c r="J17" s="2700"/>
      <c r="K17" s="2700"/>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3" t="s">
        <v>1367</v>
      </c>
      <c r="C19" s="1473"/>
      <c r="D19" s="328"/>
      <c r="E19" s="328"/>
      <c r="F19" s="328"/>
      <c r="G19" s="1474"/>
      <c r="H19" s="328"/>
      <c r="I19" s="1474"/>
      <c r="J19" s="322"/>
      <c r="K19" s="322"/>
      <c r="L19" s="322"/>
    </row>
    <row r="20" spans="2:12" ht="84.75" customHeight="1" x14ac:dyDescent="0.2">
      <c r="B20" s="2688" t="s">
        <v>2284</v>
      </c>
      <c r="C20" s="2688"/>
      <c r="D20" s="2688"/>
      <c r="E20" s="2688"/>
      <c r="F20" s="2688"/>
      <c r="G20" s="2688"/>
      <c r="H20" s="2688"/>
      <c r="I20" s="2688"/>
      <c r="J20" s="2688"/>
      <c r="K20" s="2688"/>
      <c r="L20" s="1430"/>
    </row>
    <row r="21" spans="2:12" ht="4.5" customHeight="1" x14ac:dyDescent="0.2">
      <c r="B21" s="1475"/>
      <c r="C21" s="1475"/>
      <c r="D21" s="1476"/>
      <c r="E21" s="1476"/>
      <c r="F21" s="1476"/>
      <c r="G21" s="1426"/>
      <c r="H21" s="1476"/>
      <c r="I21" s="1426"/>
      <c r="J21" s="1476"/>
      <c r="K21" s="1476"/>
      <c r="L21" s="1430"/>
    </row>
    <row r="22" spans="2:12" ht="13.35" customHeight="1" x14ac:dyDescent="0.2">
      <c r="B22" s="1473" t="s">
        <v>1857</v>
      </c>
      <c r="C22" s="1473"/>
      <c r="D22" s="322"/>
      <c r="E22" s="322"/>
      <c r="F22" s="322"/>
      <c r="G22" s="1381"/>
      <c r="H22" s="322"/>
      <c r="I22" s="1381"/>
      <c r="J22" s="322"/>
      <c r="K22" s="322"/>
      <c r="L22" s="322"/>
    </row>
    <row r="23" spans="2:12" ht="24.75" customHeight="1" x14ac:dyDescent="0.2">
      <c r="B23" s="2688" t="s">
        <v>2285</v>
      </c>
      <c r="C23" s="2688"/>
      <c r="D23" s="2688"/>
      <c r="E23" s="2688"/>
      <c r="F23" s="2688"/>
      <c r="G23" s="2688"/>
      <c r="H23" s="2688"/>
      <c r="I23" s="2688"/>
      <c r="J23" s="2688"/>
      <c r="K23" s="2688"/>
      <c r="L23" s="322"/>
    </row>
    <row r="24" spans="2:12" ht="4.5" customHeight="1" x14ac:dyDescent="0.2">
      <c r="B24" s="1475"/>
      <c r="C24" s="1475"/>
      <c r="D24" s="1425"/>
      <c r="E24" s="1425"/>
      <c r="F24" s="1425"/>
      <c r="G24" s="1426"/>
      <c r="H24" s="1425"/>
      <c r="I24" s="1426"/>
      <c r="J24" s="1425"/>
      <c r="K24" s="1425"/>
      <c r="L24" s="322"/>
    </row>
    <row r="25" spans="2:12" ht="13.5" customHeight="1" x14ac:dyDescent="0.2">
      <c r="B25" s="1473" t="s">
        <v>1858</v>
      </c>
      <c r="C25" s="1473"/>
      <c r="D25" s="322"/>
      <c r="E25" s="322"/>
      <c r="F25" s="322"/>
      <c r="G25" s="1381"/>
      <c r="H25" s="322"/>
      <c r="I25" s="1381"/>
      <c r="J25" s="322"/>
      <c r="K25" s="322"/>
      <c r="L25" s="322"/>
    </row>
    <row r="26" spans="2:12" ht="16.5" customHeight="1" x14ac:dyDescent="0.2">
      <c r="B26" s="2688" t="s">
        <v>2286</v>
      </c>
      <c r="C26" s="2688"/>
      <c r="D26" s="2688"/>
      <c r="E26" s="2688"/>
      <c r="F26" s="2688"/>
      <c r="G26" s="2688"/>
      <c r="H26" s="2688"/>
      <c r="I26" s="2688"/>
      <c r="J26" s="2688"/>
      <c r="K26" s="2688"/>
      <c r="L26" s="322"/>
    </row>
    <row r="27" spans="2:12" ht="4.5" customHeight="1" x14ac:dyDescent="0.2">
      <c r="B27" s="1477"/>
      <c r="C27" s="1477"/>
      <c r="D27" s="1477"/>
      <c r="E27" s="1425"/>
      <c r="F27" s="1425"/>
      <c r="G27" s="1426"/>
      <c r="H27" s="1425"/>
      <c r="I27" s="1426"/>
      <c r="J27" s="1425"/>
      <c r="K27" s="1425"/>
      <c r="L27" s="322"/>
    </row>
    <row r="28" spans="2:12" ht="13.5" customHeight="1" x14ac:dyDescent="0.2">
      <c r="B28" s="1473" t="s">
        <v>1859</v>
      </c>
      <c r="C28" s="1473"/>
      <c r="D28" s="322"/>
      <c r="E28" s="322"/>
      <c r="F28" s="322"/>
      <c r="G28" s="1381"/>
      <c r="H28" s="322"/>
      <c r="I28" s="1381"/>
      <c r="J28" s="322"/>
      <c r="K28" s="322"/>
      <c r="L28" s="322"/>
    </row>
    <row r="29" spans="2:12" ht="33.75" customHeight="1" x14ac:dyDescent="0.2">
      <c r="B29" s="2688" t="s">
        <v>2287</v>
      </c>
      <c r="C29" s="2688"/>
      <c r="D29" s="2688"/>
      <c r="E29" s="2688"/>
      <c r="F29" s="2688"/>
      <c r="G29" s="2688"/>
      <c r="H29" s="2688"/>
      <c r="I29" s="2688"/>
      <c r="J29" s="2688"/>
      <c r="K29" s="2688"/>
      <c r="L29" s="322"/>
    </row>
    <row r="30" spans="2:12" ht="4.5" customHeight="1" x14ac:dyDescent="0.2">
      <c r="B30" s="1475"/>
      <c r="C30" s="1475"/>
      <c r="D30" s="1425"/>
      <c r="E30" s="1425"/>
      <c r="F30" s="1425"/>
      <c r="G30" s="1426"/>
      <c r="H30" s="1425"/>
      <c r="I30" s="1426"/>
      <c r="J30" s="1425"/>
      <c r="K30" s="1425"/>
      <c r="L30" s="322"/>
    </row>
    <row r="31" spans="2:12" ht="13.5" customHeight="1" x14ac:dyDescent="0.2">
      <c r="B31" s="1473" t="s">
        <v>1366</v>
      </c>
      <c r="C31" s="1473"/>
      <c r="D31" s="322"/>
      <c r="E31" s="322"/>
      <c r="F31" s="322"/>
      <c r="G31" s="1381"/>
      <c r="H31" s="322"/>
      <c r="I31" s="1381"/>
      <c r="J31" s="322"/>
      <c r="K31" s="322"/>
      <c r="L31" s="322"/>
    </row>
    <row r="32" spans="2:12" ht="27" customHeight="1" x14ac:dyDescent="0.2">
      <c r="B32" s="2688" t="s">
        <v>2288</v>
      </c>
      <c r="C32" s="2688"/>
      <c r="D32" s="2688"/>
      <c r="E32" s="2688"/>
      <c r="F32" s="2688"/>
      <c r="G32" s="2688"/>
      <c r="H32" s="2688"/>
      <c r="I32" s="2688"/>
      <c r="J32" s="2688"/>
      <c r="K32" s="2688"/>
      <c r="L32" s="322"/>
    </row>
    <row r="33" spans="2:12" ht="4.5" customHeight="1" x14ac:dyDescent="0.2">
      <c r="B33" s="1475"/>
      <c r="C33" s="1475"/>
      <c r="D33" s="1425"/>
      <c r="E33" s="1425"/>
      <c r="F33" s="1425"/>
      <c r="G33" s="1426"/>
      <c r="H33" s="1425"/>
      <c r="I33" s="1426"/>
      <c r="J33" s="1425"/>
      <c r="K33" s="1425"/>
      <c r="L33" s="322"/>
    </row>
    <row r="34" spans="2:12" ht="13.5" customHeight="1" x14ac:dyDescent="0.2">
      <c r="B34" s="1382" t="s">
        <v>1365</v>
      </c>
      <c r="C34" s="1382"/>
      <c r="D34" s="322"/>
      <c r="E34" s="322"/>
      <c r="F34" s="322"/>
      <c r="G34" s="1381"/>
      <c r="H34" s="322"/>
      <c r="I34" s="1381"/>
      <c r="J34" s="322"/>
      <c r="K34" s="322"/>
      <c r="L34" s="322"/>
    </row>
    <row r="35" spans="2:12" ht="33" customHeight="1" x14ac:dyDescent="0.2">
      <c r="B35" s="2688" t="s">
        <v>2289</v>
      </c>
      <c r="C35" s="2688"/>
      <c r="D35" s="2688"/>
      <c r="E35" s="2688"/>
      <c r="F35" s="2688"/>
      <c r="G35" s="2688"/>
      <c r="H35" s="2688"/>
      <c r="I35" s="2688"/>
      <c r="J35" s="2688"/>
      <c r="K35" s="2688"/>
      <c r="L35" s="322"/>
    </row>
    <row r="36" spans="2:12" ht="4.5" customHeight="1" x14ac:dyDescent="0.2">
      <c r="B36" s="1475"/>
      <c r="C36" s="1475"/>
      <c r="D36" s="1425"/>
      <c r="E36" s="1425"/>
      <c r="F36" s="1425"/>
      <c r="G36" s="1426"/>
      <c r="H36" s="1425"/>
      <c r="I36" s="1426"/>
      <c r="J36" s="1425"/>
      <c r="K36" s="1425"/>
      <c r="L36" s="322"/>
    </row>
    <row r="37" spans="2:12" ht="13.5" customHeight="1" x14ac:dyDescent="0.2">
      <c r="B37" s="1382" t="s">
        <v>1364</v>
      </c>
      <c r="C37" s="1382"/>
      <c r="D37" s="322"/>
      <c r="E37" s="322"/>
      <c r="F37" s="322"/>
      <c r="G37" s="1381"/>
      <c r="H37" s="322"/>
      <c r="I37" s="1381"/>
      <c r="J37" s="322"/>
      <c r="K37" s="322"/>
      <c r="L37" s="322"/>
    </row>
    <row r="38" spans="2:12" ht="32.25" customHeight="1" x14ac:dyDescent="0.2">
      <c r="B38" s="2688" t="s">
        <v>2290</v>
      </c>
      <c r="C38" s="2688"/>
      <c r="D38" s="2688"/>
      <c r="E38" s="2688"/>
      <c r="F38" s="2688"/>
      <c r="G38" s="2688"/>
      <c r="H38" s="2688"/>
      <c r="I38" s="2688"/>
      <c r="J38" s="2688"/>
      <c r="K38" s="2688"/>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1860</v>
      </c>
      <c r="C40" s="1401"/>
      <c r="D40" s="1376"/>
      <c r="E40" s="1377"/>
      <c r="F40" s="1377"/>
      <c r="G40" s="1378"/>
      <c r="H40" s="1377"/>
      <c r="I40" s="1378"/>
      <c r="J40" s="1377"/>
      <c r="K40" s="1377"/>
    </row>
    <row r="41" spans="2:12" s="322" customFormat="1" ht="27.75" customHeight="1" x14ac:dyDescent="0.2">
      <c r="B41" s="2688" t="s">
        <v>2335</v>
      </c>
      <c r="C41" s="2688"/>
      <c r="D41" s="2688"/>
      <c r="E41" s="2688"/>
      <c r="F41" s="2688"/>
      <c r="G41" s="2688"/>
      <c r="H41" s="2688"/>
      <c r="I41" s="2688"/>
      <c r="J41" s="2688"/>
      <c r="K41" s="2688"/>
    </row>
    <row r="42" spans="2:12" s="322" customFormat="1" ht="4.5" customHeight="1" x14ac:dyDescent="0.2">
      <c r="B42" s="1400"/>
      <c r="C42" s="1400"/>
      <c r="G42" s="1381"/>
      <c r="I42" s="1381"/>
    </row>
    <row r="43" spans="2:12" s="322" customFormat="1" ht="13.5" customHeight="1" x14ac:dyDescent="0.2">
      <c r="B43" s="1478" t="s">
        <v>1353</v>
      </c>
      <c r="C43" s="1479"/>
      <c r="D43" s="1402"/>
      <c r="E43" s="1402"/>
      <c r="F43" s="1402"/>
      <c r="G43" s="1403"/>
      <c r="H43" s="1402"/>
      <c r="I43" s="1403"/>
      <c r="J43" s="1402"/>
      <c r="K43" s="1404"/>
      <c r="L43" s="1480"/>
    </row>
    <row r="44" spans="2:12" s="322" customFormat="1" ht="13.5" customHeight="1" x14ac:dyDescent="0.2">
      <c r="B44" s="1405" t="s">
        <v>1352</v>
      </c>
      <c r="C44" s="1406"/>
      <c r="D44" s="1481"/>
      <c r="E44" s="1407"/>
      <c r="F44" s="1411" t="s">
        <v>1351</v>
      </c>
      <c r="G44" s="1409"/>
      <c r="H44" s="1408"/>
      <c r="I44" s="1409"/>
      <c r="J44" s="1482"/>
      <c r="K44" s="1483"/>
      <c r="L44" s="1480"/>
    </row>
    <row r="45" spans="2:12" s="322" customFormat="1" ht="13.5" customHeight="1" x14ac:dyDescent="0.2">
      <c r="B45" s="1405" t="s">
        <v>1350</v>
      </c>
      <c r="C45" s="1406"/>
      <c r="D45" s="1482"/>
      <c r="E45" s="1408"/>
      <c r="F45" s="1411" t="s">
        <v>1349</v>
      </c>
      <c r="G45" s="1409"/>
      <c r="H45" s="1408"/>
      <c r="I45" s="1409"/>
      <c r="J45" s="1482"/>
      <c r="K45" s="1483"/>
      <c r="L45" s="1480"/>
    </row>
    <row r="46" spans="2:12" s="322" customFormat="1" ht="13.5" customHeight="1" x14ac:dyDescent="0.2">
      <c r="B46" s="1412"/>
      <c r="C46" s="1410"/>
      <c r="D46" s="1410"/>
      <c r="E46" s="1410"/>
      <c r="F46" s="1410"/>
      <c r="G46" s="1413"/>
      <c r="H46" s="1410"/>
      <c r="I46" s="1413"/>
      <c r="J46" s="1410"/>
      <c r="K46" s="1414"/>
      <c r="L46" s="1480"/>
    </row>
    <row r="47" spans="2:12" ht="7.5" customHeight="1" x14ac:dyDescent="0.25">
      <c r="B47" s="1484"/>
      <c r="C47" s="1484"/>
      <c r="D47" s="1485"/>
      <c r="E47" s="1485"/>
      <c r="F47" s="1485"/>
      <c r="G47" s="1486"/>
      <c r="H47" s="1485"/>
      <c r="I47" s="1486"/>
      <c r="J47" s="1485"/>
      <c r="K47" s="1485"/>
    </row>
    <row r="48" spans="2:12" ht="13.5" customHeight="1" x14ac:dyDescent="0.2">
      <c r="B48" s="1417" t="s">
        <v>1861</v>
      </c>
      <c r="C48" s="1417"/>
      <c r="D48" s="322"/>
      <c r="E48" s="322"/>
      <c r="F48" s="322"/>
    </row>
    <row r="49" spans="2:3" s="317" customFormat="1" ht="10.5" customHeight="1" x14ac:dyDescent="0.2">
      <c r="B49" s="1418" t="s">
        <v>1862</v>
      </c>
      <c r="C49" s="1418"/>
    </row>
    <row r="50" spans="2:3" s="317" customFormat="1" ht="11.1" customHeight="1" x14ac:dyDescent="0.2">
      <c r="B50" s="1418" t="s">
        <v>1863</v>
      </c>
      <c r="C50" s="1418"/>
    </row>
    <row r="51" spans="2:3" s="317" customFormat="1" ht="11.1" customHeight="1" x14ac:dyDescent="0.2">
      <c r="B51" s="1418" t="s">
        <v>1864</v>
      </c>
      <c r="C51" s="1418"/>
    </row>
    <row r="52" spans="2:3" s="317" customFormat="1" ht="11.1" customHeight="1" x14ac:dyDescent="0.2">
      <c r="B52" s="1418" t="s">
        <v>1865</v>
      </c>
      <c r="C52" s="1418"/>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5.28515625" style="317" customWidth="1"/>
    <col min="4" max="4" width="5.5703125" style="317" customWidth="1"/>
    <col min="5" max="5" width="3.140625" style="317" customWidth="1"/>
    <col min="6" max="6" width="20.140625" style="317" customWidth="1"/>
    <col min="7" max="7" width="3.5703125" style="1256" customWidth="1"/>
    <col min="8" max="8" width="10.5703125" style="317" customWidth="1"/>
    <col min="9" max="9" width="3.42578125" style="1256"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695" t="str">
        <f>'Single Audit Cover'!A7</f>
        <v>Hononegah Community High School District No. 207</v>
      </c>
      <c r="C1" s="2695"/>
      <c r="D1" s="2695"/>
      <c r="E1" s="2695"/>
      <c r="F1" s="2695"/>
      <c r="G1" s="2695"/>
      <c r="H1" s="2695"/>
      <c r="I1" s="2695"/>
      <c r="J1" s="2695"/>
      <c r="K1" s="2695"/>
      <c r="L1" s="1463"/>
    </row>
    <row r="2" spans="1:12" ht="12.75" customHeight="1" x14ac:dyDescent="0.2">
      <c r="B2" s="2696" t="str">
        <f>'Single Audit Cover'!E7</f>
        <v>04-101-2070-16</v>
      </c>
      <c r="C2" s="2696"/>
      <c r="D2" s="2696"/>
      <c r="E2" s="2696"/>
      <c r="F2" s="2696"/>
      <c r="G2" s="2696"/>
      <c r="H2" s="2696"/>
      <c r="I2" s="2696"/>
      <c r="J2" s="2696"/>
      <c r="K2" s="2696"/>
      <c r="L2" s="1464"/>
    </row>
    <row r="3" spans="1:12" ht="12.75" customHeight="1" x14ac:dyDescent="0.2">
      <c r="B3" s="2689" t="s">
        <v>1347</v>
      </c>
      <c r="C3" s="2689"/>
      <c r="D3" s="2689"/>
      <c r="E3" s="2689"/>
      <c r="F3" s="2689"/>
      <c r="G3" s="2689"/>
      <c r="H3" s="2689"/>
      <c r="I3" s="2689"/>
      <c r="J3" s="2689"/>
      <c r="K3" s="2689"/>
      <c r="L3" s="2100"/>
    </row>
    <row r="4" spans="1:12" ht="12.75" customHeight="1" x14ac:dyDescent="0.2">
      <c r="B4" s="2689" t="str">
        <f>'Single Audit Cover'!A4</f>
        <v>Year Ending June 30, 2018</v>
      </c>
      <c r="C4" s="2689"/>
      <c r="D4" s="2689"/>
      <c r="E4" s="2689"/>
      <c r="F4" s="2689"/>
      <c r="G4" s="2689"/>
      <c r="H4" s="2689"/>
      <c r="I4" s="2689"/>
      <c r="J4" s="2689"/>
      <c r="K4" s="2689"/>
      <c r="L4" s="2100"/>
    </row>
    <row r="5" spans="1:12" ht="5.25" customHeight="1" x14ac:dyDescent="0.2">
      <c r="B5" s="1258" t="s">
        <v>1231</v>
      </c>
      <c r="C5" s="1258"/>
      <c r="L5" s="322"/>
    </row>
    <row r="6" spans="1:12" ht="30.75" customHeight="1" x14ac:dyDescent="0.2">
      <c r="A6" s="322"/>
      <c r="B6" s="2697" t="s">
        <v>1375</v>
      </c>
      <c r="C6" s="2697"/>
      <c r="D6" s="2697"/>
      <c r="E6" s="2697"/>
      <c r="F6" s="2697"/>
      <c r="G6" s="2697"/>
      <c r="H6" s="2697"/>
      <c r="I6" s="2697"/>
      <c r="J6" s="2697"/>
      <c r="K6" s="2697"/>
      <c r="L6" s="322"/>
    </row>
    <row r="7" spans="1:12" ht="4.5" customHeight="1" x14ac:dyDescent="0.2">
      <c r="B7" s="1377"/>
      <c r="C7" s="1377"/>
      <c r="D7" s="1377"/>
      <c r="E7" s="1377"/>
      <c r="F7" s="1377"/>
      <c r="G7" s="1378"/>
      <c r="H7" s="1377"/>
      <c r="I7" s="1378"/>
      <c r="J7" s="1377"/>
      <c r="K7" s="1377"/>
      <c r="L7" s="322"/>
    </row>
    <row r="8" spans="1:12" ht="13.5" customHeight="1" x14ac:dyDescent="0.2">
      <c r="B8" s="1385" t="s">
        <v>1856</v>
      </c>
      <c r="C8" s="2111" t="s">
        <v>2280</v>
      </c>
      <c r="D8" s="2101">
        <v>10</v>
      </c>
      <c r="E8" s="322"/>
      <c r="F8" s="1382" t="s">
        <v>1362</v>
      </c>
      <c r="G8" s="1465" t="s">
        <v>2074</v>
      </c>
      <c r="H8" s="1466" t="s">
        <v>1374</v>
      </c>
      <c r="I8" s="1465"/>
      <c r="J8" s="1467" t="s">
        <v>1373</v>
      </c>
      <c r="L8" s="322"/>
    </row>
    <row r="9" spans="1:12" ht="13.5" customHeight="1" x14ac:dyDescent="0.2">
      <c r="D9" s="322"/>
      <c r="E9" s="322"/>
      <c r="F9" s="322"/>
      <c r="G9" s="1381"/>
      <c r="H9" s="322"/>
      <c r="I9" s="1468" t="s">
        <v>1359</v>
      </c>
      <c r="J9" s="322"/>
      <c r="K9" s="1469"/>
      <c r="L9" s="322"/>
    </row>
    <row r="10" spans="1:12" ht="4.5" customHeight="1" x14ac:dyDescent="0.2">
      <c r="B10" s="1470"/>
      <c r="C10" s="1470"/>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1372</v>
      </c>
      <c r="C12" s="1382"/>
      <c r="D12" s="304"/>
      <c r="E12" s="322"/>
      <c r="F12" s="2673" t="s">
        <v>974</v>
      </c>
      <c r="G12" s="2673"/>
      <c r="H12" s="2673"/>
      <c r="I12" s="2673"/>
      <c r="J12" s="2673"/>
      <c r="K12" s="2673"/>
      <c r="L12" s="322"/>
    </row>
    <row r="13" spans="1:12" ht="9.6" customHeight="1" x14ac:dyDescent="0.2">
      <c r="B13" s="1255"/>
      <c r="C13" s="1255"/>
      <c r="D13" s="304"/>
      <c r="E13" s="322"/>
      <c r="F13" s="322"/>
      <c r="G13" s="1381"/>
      <c r="H13" s="322"/>
      <c r="I13" s="1381"/>
      <c r="J13" s="322"/>
      <c r="K13" s="1430"/>
      <c r="L13" s="322"/>
    </row>
    <row r="14" spans="1:12" ht="13.5" customHeight="1" x14ac:dyDescent="0.2">
      <c r="B14" s="1385" t="s">
        <v>1371</v>
      </c>
      <c r="C14" s="1385"/>
      <c r="D14" s="2698" t="s">
        <v>2291</v>
      </c>
      <c r="E14" s="2698"/>
      <c r="F14" s="2698"/>
      <c r="H14" s="1471" t="s">
        <v>1370</v>
      </c>
      <c r="I14" s="2701">
        <v>84.01</v>
      </c>
      <c r="J14" s="2702"/>
      <c r="K14" s="2702"/>
      <c r="L14" s="322"/>
    </row>
    <row r="15" spans="1:12" ht="9.4" customHeight="1" x14ac:dyDescent="0.2">
      <c r="B15" s="1385"/>
      <c r="C15" s="1385"/>
      <c r="D15" s="1371"/>
      <c r="E15" s="1258"/>
      <c r="F15" s="1258"/>
      <c r="G15" s="1284"/>
      <c r="H15" s="1258"/>
      <c r="I15" s="1472"/>
      <c r="J15" s="1292"/>
      <c r="K15" s="1289"/>
      <c r="L15" s="322"/>
    </row>
    <row r="16" spans="1:12" ht="13.5" customHeight="1" x14ac:dyDescent="0.2">
      <c r="B16" s="1385" t="s">
        <v>1369</v>
      </c>
      <c r="C16" s="1385"/>
      <c r="D16" s="2699" t="s">
        <v>2282</v>
      </c>
      <c r="E16" s="2699"/>
      <c r="F16" s="2699"/>
      <c r="G16" s="2699"/>
      <c r="H16" s="2699"/>
      <c r="I16" s="2699"/>
      <c r="J16" s="2699"/>
      <c r="K16" s="2699"/>
      <c r="L16" s="322"/>
    </row>
    <row r="17" spans="2:12" ht="13.5" customHeight="1" x14ac:dyDescent="0.2">
      <c r="B17" s="1385" t="s">
        <v>1368</v>
      </c>
      <c r="C17" s="1385"/>
      <c r="D17" s="2700" t="s">
        <v>2283</v>
      </c>
      <c r="E17" s="2700"/>
      <c r="F17" s="2700"/>
      <c r="G17" s="2700"/>
      <c r="H17" s="2700"/>
      <c r="I17" s="2700"/>
      <c r="J17" s="2700"/>
      <c r="K17" s="2700"/>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3" t="s">
        <v>1367</v>
      </c>
      <c r="C19" s="1473"/>
      <c r="D19" s="328"/>
      <c r="E19" s="328"/>
      <c r="F19" s="328"/>
      <c r="G19" s="1474"/>
      <c r="H19" s="328"/>
      <c r="I19" s="1474"/>
      <c r="J19" s="322"/>
      <c r="K19" s="322"/>
      <c r="L19" s="322"/>
    </row>
    <row r="20" spans="2:12" ht="28.5" customHeight="1" x14ac:dyDescent="0.2">
      <c r="B20" s="2688" t="s">
        <v>2292</v>
      </c>
      <c r="C20" s="2688"/>
      <c r="D20" s="2688"/>
      <c r="E20" s="2688"/>
      <c r="F20" s="2688"/>
      <c r="G20" s="2688"/>
      <c r="H20" s="2688"/>
      <c r="I20" s="2688"/>
      <c r="J20" s="2688"/>
      <c r="K20" s="2688"/>
      <c r="L20" s="1430"/>
    </row>
    <row r="21" spans="2:12" ht="4.5" customHeight="1" x14ac:dyDescent="0.2">
      <c r="B21" s="1475"/>
      <c r="C21" s="1475"/>
      <c r="D21" s="1476"/>
      <c r="E21" s="1476"/>
      <c r="F21" s="1476"/>
      <c r="G21" s="1426"/>
      <c r="H21" s="1476"/>
      <c r="I21" s="1426"/>
      <c r="J21" s="1476"/>
      <c r="K21" s="1476"/>
      <c r="L21" s="1430"/>
    </row>
    <row r="22" spans="2:12" ht="13.35" customHeight="1" x14ac:dyDescent="0.2">
      <c r="B22" s="1473" t="s">
        <v>1857</v>
      </c>
      <c r="C22" s="1473"/>
      <c r="D22" s="322"/>
      <c r="E22" s="322"/>
      <c r="F22" s="322"/>
      <c r="G22" s="1381"/>
      <c r="H22" s="322"/>
      <c r="I22" s="1381"/>
      <c r="J22" s="322"/>
      <c r="K22" s="322"/>
      <c r="L22" s="322"/>
    </row>
    <row r="23" spans="2:12" ht="24.75" customHeight="1" x14ac:dyDescent="0.2">
      <c r="B23" s="2688" t="s">
        <v>2293</v>
      </c>
      <c r="C23" s="2688"/>
      <c r="D23" s="2688"/>
      <c r="E23" s="2688"/>
      <c r="F23" s="2688"/>
      <c r="G23" s="2688"/>
      <c r="H23" s="2688"/>
      <c r="I23" s="2688"/>
      <c r="J23" s="2688"/>
      <c r="K23" s="2688"/>
      <c r="L23" s="322"/>
    </row>
    <row r="24" spans="2:12" ht="4.5" customHeight="1" x14ac:dyDescent="0.2">
      <c r="B24" s="1475"/>
      <c r="C24" s="1475"/>
      <c r="D24" s="1425"/>
      <c r="E24" s="1425"/>
      <c r="F24" s="1425"/>
      <c r="G24" s="1426"/>
      <c r="H24" s="1425"/>
      <c r="I24" s="1426"/>
      <c r="J24" s="1425"/>
      <c r="K24" s="1425"/>
      <c r="L24" s="322"/>
    </row>
    <row r="25" spans="2:12" ht="13.5" customHeight="1" x14ac:dyDescent="0.2">
      <c r="B25" s="1473" t="s">
        <v>1858</v>
      </c>
      <c r="C25" s="1473"/>
      <c r="D25" s="322"/>
      <c r="E25" s="322"/>
      <c r="F25" s="322"/>
      <c r="G25" s="1381"/>
      <c r="H25" s="322"/>
      <c r="I25" s="1381"/>
      <c r="J25" s="322"/>
      <c r="K25" s="322"/>
      <c r="L25" s="322"/>
    </row>
    <row r="26" spans="2:12" ht="16.5" customHeight="1" x14ac:dyDescent="0.2">
      <c r="B26" s="2688" t="s">
        <v>2286</v>
      </c>
      <c r="C26" s="2688"/>
      <c r="D26" s="2688"/>
      <c r="E26" s="2688"/>
      <c r="F26" s="2688"/>
      <c r="G26" s="2688"/>
      <c r="H26" s="2688"/>
      <c r="I26" s="2688"/>
      <c r="J26" s="2688"/>
      <c r="K26" s="2688"/>
      <c r="L26" s="322"/>
    </row>
    <row r="27" spans="2:12" ht="4.5" customHeight="1" x14ac:dyDescent="0.2">
      <c r="B27" s="1477"/>
      <c r="C27" s="1477"/>
      <c r="D27" s="1477"/>
      <c r="E27" s="1425"/>
      <c r="F27" s="1425"/>
      <c r="G27" s="1426"/>
      <c r="H27" s="1425"/>
      <c r="I27" s="1426"/>
      <c r="J27" s="1425"/>
      <c r="K27" s="1425"/>
      <c r="L27" s="322"/>
    </row>
    <row r="28" spans="2:12" ht="13.5" customHeight="1" x14ac:dyDescent="0.2">
      <c r="B28" s="1473" t="s">
        <v>1859</v>
      </c>
      <c r="C28" s="1473"/>
      <c r="D28" s="322"/>
      <c r="E28" s="322"/>
      <c r="F28" s="322"/>
      <c r="G28" s="1381"/>
      <c r="H28" s="322"/>
      <c r="I28" s="1381"/>
      <c r="J28" s="322"/>
      <c r="K28" s="322"/>
      <c r="L28" s="322"/>
    </row>
    <row r="29" spans="2:12" ht="33.75" customHeight="1" x14ac:dyDescent="0.2">
      <c r="B29" s="2688" t="s">
        <v>2294</v>
      </c>
      <c r="C29" s="2688"/>
      <c r="D29" s="2688"/>
      <c r="E29" s="2688"/>
      <c r="F29" s="2688"/>
      <c r="G29" s="2688"/>
      <c r="H29" s="2688"/>
      <c r="I29" s="2688"/>
      <c r="J29" s="2688"/>
      <c r="K29" s="2688"/>
      <c r="L29" s="322"/>
    </row>
    <row r="30" spans="2:12" ht="4.5" customHeight="1" x14ac:dyDescent="0.2">
      <c r="B30" s="1475"/>
      <c r="C30" s="1475"/>
      <c r="D30" s="1425"/>
      <c r="E30" s="1425"/>
      <c r="F30" s="1425"/>
      <c r="G30" s="1426"/>
      <c r="H30" s="1425"/>
      <c r="I30" s="1426"/>
      <c r="J30" s="1425"/>
      <c r="K30" s="1425"/>
      <c r="L30" s="322"/>
    </row>
    <row r="31" spans="2:12" ht="13.5" customHeight="1" x14ac:dyDescent="0.2">
      <c r="B31" s="1473" t="s">
        <v>1366</v>
      </c>
      <c r="C31" s="1473"/>
      <c r="D31" s="322"/>
      <c r="E31" s="322"/>
      <c r="F31" s="322"/>
      <c r="G31" s="1381"/>
      <c r="H31" s="322"/>
      <c r="I31" s="1381"/>
      <c r="J31" s="322"/>
      <c r="K31" s="322"/>
      <c r="L31" s="322"/>
    </row>
    <row r="32" spans="2:12" ht="27" customHeight="1" x14ac:dyDescent="0.2">
      <c r="B32" s="2688" t="s">
        <v>2295</v>
      </c>
      <c r="C32" s="2688"/>
      <c r="D32" s="2688"/>
      <c r="E32" s="2688"/>
      <c r="F32" s="2688"/>
      <c r="G32" s="2688"/>
      <c r="H32" s="2688"/>
      <c r="I32" s="2688"/>
      <c r="J32" s="2688"/>
      <c r="K32" s="2688"/>
      <c r="L32" s="322"/>
    </row>
    <row r="33" spans="2:12" ht="4.5" customHeight="1" x14ac:dyDescent="0.2">
      <c r="B33" s="1475"/>
      <c r="C33" s="1475"/>
      <c r="D33" s="1425"/>
      <c r="E33" s="1425"/>
      <c r="F33" s="1425"/>
      <c r="G33" s="1426"/>
      <c r="H33" s="1425"/>
      <c r="I33" s="1426"/>
      <c r="J33" s="1425"/>
      <c r="K33" s="1425"/>
      <c r="L33" s="322"/>
    </row>
    <row r="34" spans="2:12" ht="13.5" customHeight="1" x14ac:dyDescent="0.2">
      <c r="B34" s="1382" t="s">
        <v>1365</v>
      </c>
      <c r="C34" s="1382"/>
      <c r="D34" s="322"/>
      <c r="E34" s="322"/>
      <c r="F34" s="322"/>
      <c r="G34" s="1381"/>
      <c r="H34" s="322"/>
      <c r="I34" s="1381"/>
      <c r="J34" s="322"/>
      <c r="K34" s="322"/>
      <c r="L34" s="322"/>
    </row>
    <row r="35" spans="2:12" ht="33" customHeight="1" x14ac:dyDescent="0.2">
      <c r="B35" s="2688" t="s">
        <v>2305</v>
      </c>
      <c r="C35" s="2688"/>
      <c r="D35" s="2688"/>
      <c r="E35" s="2688"/>
      <c r="F35" s="2688"/>
      <c r="G35" s="2688"/>
      <c r="H35" s="2688"/>
      <c r="I35" s="2688"/>
      <c r="J35" s="2688"/>
      <c r="K35" s="2688"/>
      <c r="L35" s="322"/>
    </row>
    <row r="36" spans="2:12" ht="4.5" customHeight="1" x14ac:dyDescent="0.2">
      <c r="B36" s="1475"/>
      <c r="C36" s="1475"/>
      <c r="D36" s="1425"/>
      <c r="E36" s="1425"/>
      <c r="F36" s="1425"/>
      <c r="G36" s="1426"/>
      <c r="H36" s="1425"/>
      <c r="I36" s="1426"/>
      <c r="J36" s="1425"/>
      <c r="K36" s="1425"/>
      <c r="L36" s="322"/>
    </row>
    <row r="37" spans="2:12" ht="13.5" customHeight="1" x14ac:dyDescent="0.2">
      <c r="B37" s="1382" t="s">
        <v>1364</v>
      </c>
      <c r="C37" s="1382"/>
      <c r="D37" s="322"/>
      <c r="E37" s="322"/>
      <c r="F37" s="322"/>
      <c r="G37" s="1381"/>
      <c r="H37" s="322"/>
      <c r="I37" s="1381"/>
      <c r="J37" s="322"/>
      <c r="K37" s="322"/>
      <c r="L37" s="322"/>
    </row>
    <row r="38" spans="2:12" ht="32.25" customHeight="1" x14ac:dyDescent="0.2">
      <c r="B38" s="2688" t="s">
        <v>2296</v>
      </c>
      <c r="C38" s="2688"/>
      <c r="D38" s="2688"/>
      <c r="E38" s="2688"/>
      <c r="F38" s="2688"/>
      <c r="G38" s="2688"/>
      <c r="H38" s="2688"/>
      <c r="I38" s="2688"/>
      <c r="J38" s="2688"/>
      <c r="K38" s="2688"/>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1860</v>
      </c>
      <c r="C40" s="1401"/>
      <c r="D40" s="1376"/>
      <c r="E40" s="1377"/>
      <c r="F40" s="1377"/>
      <c r="G40" s="1378"/>
      <c r="H40" s="1377"/>
      <c r="I40" s="1378"/>
      <c r="J40" s="1377"/>
      <c r="K40" s="1377"/>
    </row>
    <row r="41" spans="2:12" s="322" customFormat="1" ht="33.75" customHeight="1" x14ac:dyDescent="0.2">
      <c r="B41" s="2688" t="s">
        <v>2336</v>
      </c>
      <c r="C41" s="2688"/>
      <c r="D41" s="2688"/>
      <c r="E41" s="2688"/>
      <c r="F41" s="2688"/>
      <c r="G41" s="2688"/>
      <c r="H41" s="2688"/>
      <c r="I41" s="2688"/>
      <c r="J41" s="2688"/>
      <c r="K41" s="2688"/>
    </row>
    <row r="42" spans="2:12" s="322" customFormat="1" ht="4.5" customHeight="1" x14ac:dyDescent="0.2">
      <c r="B42" s="1400"/>
      <c r="C42" s="1400"/>
      <c r="G42" s="1381"/>
      <c r="I42" s="1381"/>
    </row>
    <row r="43" spans="2:12" s="322" customFormat="1" ht="13.5" customHeight="1" x14ac:dyDescent="0.2">
      <c r="B43" s="1478" t="s">
        <v>1353</v>
      </c>
      <c r="C43" s="1479"/>
      <c r="D43" s="1402"/>
      <c r="E43" s="1402"/>
      <c r="F43" s="1402"/>
      <c r="G43" s="1403"/>
      <c r="H43" s="1402"/>
      <c r="I43" s="1403"/>
      <c r="J43" s="1402"/>
      <c r="K43" s="1404"/>
      <c r="L43" s="1480"/>
    </row>
    <row r="44" spans="2:12" s="322" customFormat="1" ht="13.5" customHeight="1" x14ac:dyDescent="0.2">
      <c r="B44" s="1405" t="s">
        <v>1352</v>
      </c>
      <c r="C44" s="1406"/>
      <c r="D44" s="1481"/>
      <c r="E44" s="1407"/>
      <c r="F44" s="1411" t="s">
        <v>1351</v>
      </c>
      <c r="G44" s="1409"/>
      <c r="H44" s="1408"/>
      <c r="I44" s="1409"/>
      <c r="J44" s="1482"/>
      <c r="K44" s="1483"/>
      <c r="L44" s="1480"/>
    </row>
    <row r="45" spans="2:12" s="322" customFormat="1" ht="13.5" customHeight="1" x14ac:dyDescent="0.2">
      <c r="B45" s="1405" t="s">
        <v>1350</v>
      </c>
      <c r="C45" s="1406"/>
      <c r="D45" s="1482"/>
      <c r="E45" s="1408"/>
      <c r="F45" s="1411" t="s">
        <v>1349</v>
      </c>
      <c r="G45" s="1409"/>
      <c r="H45" s="1408"/>
      <c r="I45" s="1409"/>
      <c r="J45" s="1482"/>
      <c r="K45" s="1483"/>
      <c r="L45" s="1480"/>
    </row>
    <row r="46" spans="2:12" s="322" customFormat="1" ht="13.5" customHeight="1" x14ac:dyDescent="0.2">
      <c r="B46" s="1412"/>
      <c r="C46" s="1410"/>
      <c r="D46" s="1410"/>
      <c r="E46" s="1410"/>
      <c r="F46" s="1410"/>
      <c r="G46" s="1413"/>
      <c r="H46" s="1410"/>
      <c r="I46" s="1413"/>
      <c r="J46" s="1410"/>
      <c r="K46" s="1414"/>
      <c r="L46" s="1480"/>
    </row>
    <row r="47" spans="2:12" ht="7.5" customHeight="1" x14ac:dyDescent="0.25">
      <c r="B47" s="1484"/>
      <c r="C47" s="1484"/>
      <c r="D47" s="1485"/>
      <c r="E47" s="1485"/>
      <c r="F47" s="1485"/>
      <c r="G47" s="1486"/>
      <c r="H47" s="1485"/>
      <c r="I47" s="1486"/>
      <c r="J47" s="1485"/>
      <c r="K47" s="1485"/>
    </row>
    <row r="48" spans="2:12" ht="13.5" customHeight="1" x14ac:dyDescent="0.2">
      <c r="B48" s="1417" t="s">
        <v>1861</v>
      </c>
      <c r="C48" s="1417"/>
      <c r="D48" s="322"/>
      <c r="E48" s="322"/>
      <c r="F48" s="322"/>
    </row>
    <row r="49" spans="2:3" s="317" customFormat="1" ht="10.5" customHeight="1" x14ac:dyDescent="0.2">
      <c r="B49" s="1418" t="s">
        <v>1862</v>
      </c>
      <c r="C49" s="1418"/>
    </row>
    <row r="50" spans="2:3" s="317" customFormat="1" ht="11.1" customHeight="1" x14ac:dyDescent="0.2">
      <c r="B50" s="1418" t="s">
        <v>1863</v>
      </c>
      <c r="C50" s="1418"/>
    </row>
    <row r="51" spans="2:3" s="317" customFormat="1" ht="11.1" customHeight="1" x14ac:dyDescent="0.2">
      <c r="B51" s="1418" t="s">
        <v>1864</v>
      </c>
      <c r="C51" s="1418"/>
    </row>
    <row r="52" spans="2:3" s="317" customFormat="1" ht="11.1" customHeight="1" x14ac:dyDescent="0.2">
      <c r="B52" s="1418" t="s">
        <v>1865</v>
      </c>
      <c r="C52" s="1418"/>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0" customFormat="1" ht="12.75" customHeight="1" x14ac:dyDescent="0.2">
      <c r="B1" s="2666" t="str">
        <f>'Single Audit Cover'!A7</f>
        <v>Hononegah Community High School District No. 207</v>
      </c>
      <c r="C1" s="2666"/>
      <c r="D1" s="2666"/>
      <c r="E1" s="1487"/>
    </row>
    <row r="2" spans="2:5" s="1280" customFormat="1" ht="12.75" customHeight="1" x14ac:dyDescent="0.2">
      <c r="B2" s="2668" t="str">
        <f>'Single Audit Cover'!E7</f>
        <v>04-101-2070-16</v>
      </c>
      <c r="C2" s="2668"/>
      <c r="D2" s="2668"/>
      <c r="E2" s="1488"/>
    </row>
    <row r="3" spans="2:5" ht="12.75" customHeight="1" x14ac:dyDescent="0.2">
      <c r="B3" s="2689" t="s">
        <v>1866</v>
      </c>
      <c r="C3" s="2689"/>
      <c r="D3" s="2689"/>
      <c r="E3" s="1272"/>
    </row>
    <row r="4" spans="2:5" s="1280" customFormat="1" ht="12.75" customHeight="1" x14ac:dyDescent="0.2">
      <c r="B4" s="2703" t="str">
        <f>'Single Audit Cover'!A4</f>
        <v>Year Ending June 30, 2018</v>
      </c>
      <c r="C4" s="2703"/>
      <c r="D4" s="2703"/>
      <c r="E4" s="1489"/>
    </row>
    <row r="5" spans="2:5" s="1280" customFormat="1" ht="40.15" hidden="1" customHeight="1" x14ac:dyDescent="0.2">
      <c r="B5" s="1490" t="s">
        <v>1867</v>
      </c>
      <c r="C5" s="328"/>
      <c r="D5" s="328"/>
      <c r="E5" s="328"/>
    </row>
    <row r="6" spans="2:5" s="1280" customFormat="1" ht="13.5" customHeight="1" x14ac:dyDescent="0.2">
      <c r="B6" s="1491" t="s">
        <v>1382</v>
      </c>
      <c r="C6" s="1491" t="s">
        <v>1381</v>
      </c>
      <c r="D6" s="1491" t="s">
        <v>1868</v>
      </c>
    </row>
    <row r="7" spans="2:5" ht="13.5" customHeight="1" x14ac:dyDescent="0.2">
      <c r="B7" s="1953" t="s">
        <v>2095</v>
      </c>
      <c r="C7" s="1955" t="s">
        <v>2096</v>
      </c>
      <c r="D7" s="1954" t="s">
        <v>2137</v>
      </c>
      <c r="E7" s="324"/>
    </row>
    <row r="8" spans="2:5" ht="13.5" customHeight="1" x14ac:dyDescent="0.2">
      <c r="B8" s="1492"/>
      <c r="C8" s="324"/>
      <c r="D8" s="324"/>
      <c r="E8" s="324"/>
    </row>
    <row r="9" spans="2:5" ht="13.5" customHeight="1" x14ac:dyDescent="0.2">
      <c r="B9" s="1493"/>
      <c r="C9" s="323"/>
      <c r="D9" s="323"/>
      <c r="E9" s="323"/>
    </row>
    <row r="10" spans="2:5" ht="13.5" customHeight="1" x14ac:dyDescent="0.2">
      <c r="B10" s="1492"/>
      <c r="C10" s="323"/>
      <c r="D10" s="323"/>
      <c r="E10" s="323"/>
    </row>
    <row r="11" spans="2:5" ht="13.5" customHeight="1" x14ac:dyDescent="0.2">
      <c r="B11" s="1492"/>
      <c r="C11" s="323"/>
      <c r="D11" s="323"/>
      <c r="E11" s="323"/>
    </row>
    <row r="12" spans="2:5" ht="13.5" customHeight="1" x14ac:dyDescent="0.2">
      <c r="B12" s="1492"/>
      <c r="C12" s="323"/>
      <c r="D12" s="323"/>
      <c r="E12" s="323"/>
    </row>
    <row r="13" spans="2:5" ht="13.5" customHeight="1" x14ac:dyDescent="0.2">
      <c r="B13" s="1492"/>
      <c r="C13" s="323"/>
      <c r="D13" s="323"/>
      <c r="E13" s="323"/>
    </row>
    <row r="14" spans="2:5" ht="13.5" customHeight="1" x14ac:dyDescent="0.2">
      <c r="B14" s="1492"/>
      <c r="C14" s="323"/>
      <c r="D14" s="323"/>
      <c r="E14" s="323"/>
    </row>
    <row r="15" spans="2:5" ht="13.5" customHeight="1" x14ac:dyDescent="0.2">
      <c r="B15" s="1492"/>
      <c r="C15" s="323"/>
      <c r="D15" s="323"/>
      <c r="E15" s="323"/>
    </row>
    <row r="16" spans="2:5" ht="13.5" customHeight="1" x14ac:dyDescent="0.2">
      <c r="B16" s="1492"/>
      <c r="C16" s="323"/>
      <c r="D16" s="323"/>
      <c r="E16" s="323"/>
    </row>
    <row r="17" spans="2:5" ht="13.5" customHeight="1" x14ac:dyDescent="0.2">
      <c r="B17" s="1492"/>
      <c r="C17" s="323"/>
      <c r="D17" s="323"/>
      <c r="E17" s="323"/>
    </row>
    <row r="18" spans="2:5" ht="13.5" customHeight="1" x14ac:dyDescent="0.2">
      <c r="B18" s="1492"/>
      <c r="C18" s="323"/>
      <c r="D18" s="323"/>
      <c r="E18" s="323"/>
    </row>
    <row r="19" spans="2:5" ht="13.5" customHeight="1" x14ac:dyDescent="0.2">
      <c r="B19" s="1492"/>
      <c r="C19" s="323"/>
      <c r="D19" s="323"/>
      <c r="E19" s="323"/>
    </row>
    <row r="20" spans="2:5" ht="13.5" customHeight="1" x14ac:dyDescent="0.2">
      <c r="B20" s="1492"/>
      <c r="C20" s="323"/>
      <c r="D20" s="323"/>
      <c r="E20" s="323"/>
    </row>
    <row r="21" spans="2:5" ht="13.5" customHeight="1" x14ac:dyDescent="0.2">
      <c r="B21" s="1492"/>
      <c r="C21" s="323"/>
      <c r="D21" s="323"/>
      <c r="E21" s="323"/>
    </row>
    <row r="22" spans="2:5" ht="13.5" customHeight="1" x14ac:dyDescent="0.2">
      <c r="B22" s="1492"/>
      <c r="C22" s="323"/>
      <c r="D22" s="323"/>
      <c r="E22" s="323"/>
    </row>
    <row r="23" spans="2:5" ht="13.5" customHeight="1" x14ac:dyDescent="0.2">
      <c r="B23" s="1492"/>
      <c r="C23" s="323"/>
      <c r="D23" s="323"/>
      <c r="E23" s="323"/>
    </row>
    <row r="24" spans="2:5" ht="13.5" customHeight="1" x14ac:dyDescent="0.2">
      <c r="B24" s="1492"/>
      <c r="C24" s="323"/>
      <c r="D24" s="323"/>
      <c r="E24" s="323"/>
    </row>
    <row r="25" spans="2:5" ht="13.5" customHeight="1" x14ac:dyDescent="0.2">
      <c r="B25" s="1492"/>
      <c r="C25" s="323"/>
      <c r="D25" s="323"/>
      <c r="E25" s="323"/>
    </row>
    <row r="26" spans="2:5" ht="13.5" customHeight="1" x14ac:dyDescent="0.2">
      <c r="B26" s="1492"/>
      <c r="C26" s="323"/>
      <c r="D26" s="323"/>
      <c r="E26" s="323"/>
    </row>
    <row r="27" spans="2:5" ht="13.5" customHeight="1" x14ac:dyDescent="0.2">
      <c r="B27" s="1492"/>
      <c r="C27" s="323"/>
      <c r="D27" s="323"/>
      <c r="E27" s="323"/>
    </row>
    <row r="28" spans="2:5" ht="13.5" customHeight="1" x14ac:dyDescent="0.2">
      <c r="B28" s="1492"/>
      <c r="C28" s="323"/>
      <c r="D28" s="323"/>
      <c r="E28" s="323"/>
    </row>
    <row r="29" spans="2:5" ht="13.5" customHeight="1" x14ac:dyDescent="0.2">
      <c r="B29" s="1492"/>
      <c r="C29" s="323"/>
      <c r="D29" s="323"/>
      <c r="E29" s="323"/>
    </row>
    <row r="30" spans="2:5" ht="13.5" customHeight="1" x14ac:dyDescent="0.2">
      <c r="B30" s="1492"/>
      <c r="C30" s="323"/>
      <c r="D30" s="323"/>
      <c r="E30" s="323"/>
    </row>
    <row r="31" spans="2:5" ht="13.5" customHeight="1" x14ac:dyDescent="0.2">
      <c r="B31" s="1492"/>
      <c r="C31" s="323"/>
      <c r="D31" s="323"/>
      <c r="E31" s="323"/>
    </row>
    <row r="32" spans="2:5" ht="13.5" customHeight="1" x14ac:dyDescent="0.2">
      <c r="B32" s="1494"/>
      <c r="C32" s="323"/>
      <c r="D32" s="323"/>
      <c r="E32" s="323"/>
    </row>
    <row r="33" spans="2:5" ht="13.5" customHeight="1" x14ac:dyDescent="0.2">
      <c r="B33" s="1495"/>
      <c r="C33" s="323"/>
      <c r="D33" s="323"/>
      <c r="E33" s="323"/>
    </row>
    <row r="34" spans="2:5" ht="13.5" customHeight="1" x14ac:dyDescent="0.2">
      <c r="B34" s="1496"/>
      <c r="C34" s="323"/>
      <c r="D34" s="323"/>
      <c r="E34" s="323"/>
    </row>
    <row r="35" spans="2:5" ht="13.5" customHeight="1" x14ac:dyDescent="0.2">
      <c r="B35" s="1495"/>
      <c r="C35" s="323"/>
      <c r="D35" s="323"/>
      <c r="E35" s="323"/>
    </row>
    <row r="36" spans="2:5" ht="13.5" customHeight="1" x14ac:dyDescent="0.2">
      <c r="B36" s="1496"/>
      <c r="C36" s="323"/>
      <c r="D36" s="323"/>
      <c r="E36" s="323"/>
    </row>
    <row r="37" spans="2:5" ht="13.5" customHeight="1" x14ac:dyDescent="0.2">
      <c r="B37" s="1496"/>
      <c r="C37" s="323"/>
      <c r="D37" s="323"/>
      <c r="E37" s="323"/>
    </row>
    <row r="38" spans="2:5" ht="13.5" customHeight="1" x14ac:dyDescent="0.2">
      <c r="B38" s="1495"/>
      <c r="C38" s="323"/>
      <c r="D38" s="323"/>
      <c r="E38" s="323"/>
    </row>
    <row r="39" spans="2:5" ht="13.5" customHeight="1" x14ac:dyDescent="0.2">
      <c r="B39" s="1496"/>
      <c r="C39" s="323"/>
      <c r="D39" s="323"/>
      <c r="E39" s="323"/>
    </row>
    <row r="40" spans="2:5" ht="13.5" customHeight="1" x14ac:dyDescent="0.2">
      <c r="B40" s="1495"/>
      <c r="C40" s="323"/>
      <c r="D40" s="323"/>
      <c r="E40" s="323"/>
    </row>
    <row r="41" spans="2:5" ht="13.5" customHeight="1" x14ac:dyDescent="0.2">
      <c r="B41" s="1497"/>
      <c r="C41" s="323"/>
      <c r="D41" s="323"/>
      <c r="E41" s="323"/>
    </row>
    <row r="42" spans="2:5" ht="13.5" customHeight="1" x14ac:dyDescent="0.2">
      <c r="B42" s="1498"/>
      <c r="C42" s="323"/>
      <c r="D42" s="323"/>
      <c r="E42" s="323"/>
    </row>
    <row r="43" spans="2:5" ht="12.75" customHeight="1" x14ac:dyDescent="0.2">
      <c r="B43" s="1499"/>
      <c r="C43" s="1500"/>
      <c r="D43" s="1500"/>
      <c r="E43" s="323"/>
    </row>
    <row r="44" spans="2:5" ht="12.2" customHeight="1" x14ac:dyDescent="0.2">
      <c r="B44" s="1255" t="s">
        <v>1380</v>
      </c>
      <c r="C44" s="322"/>
    </row>
    <row r="45" spans="2:5" ht="12.2" customHeight="1" x14ac:dyDescent="0.2">
      <c r="B45" s="1501" t="s">
        <v>1869</v>
      </c>
    </row>
    <row r="46" spans="2:5" ht="12.2" customHeight="1" x14ac:dyDescent="0.2">
      <c r="B46" s="1501" t="s">
        <v>1870</v>
      </c>
    </row>
    <row r="47" spans="2:5" ht="12.2" customHeight="1" x14ac:dyDescent="0.2">
      <c r="B47" s="1502" t="s">
        <v>1379</v>
      </c>
    </row>
    <row r="48" spans="2:5" ht="12.2" customHeight="1" x14ac:dyDescent="0.2">
      <c r="B48" s="1502" t="s">
        <v>1378</v>
      </c>
    </row>
    <row r="49" spans="2:5" ht="12.2" customHeight="1" x14ac:dyDescent="0.2">
      <c r="B49" s="1502" t="s">
        <v>1377</v>
      </c>
    </row>
    <row r="50" spans="2:5" ht="12.2" customHeight="1" x14ac:dyDescent="0.2">
      <c r="B50" s="1502" t="s">
        <v>1376</v>
      </c>
    </row>
    <row r="53" spans="2:5" ht="12.75" customHeight="1" x14ac:dyDescent="0.2"/>
    <row r="54" spans="2:5" ht="12.75" customHeight="1" x14ac:dyDescent="0.2">
      <c r="B54" s="1265"/>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7"/>
    </row>
    <row r="68" spans="2:2" x14ac:dyDescent="0.2">
      <c r="B68" s="1298"/>
    </row>
    <row r="69" spans="2:2" x14ac:dyDescent="0.2">
      <c r="B69" s="1298"/>
    </row>
    <row r="70" spans="2:2" x14ac:dyDescent="0.2">
      <c r="B70" s="1418"/>
    </row>
    <row r="71" spans="2:2" x14ac:dyDescent="0.2">
      <c r="B71" s="1418"/>
    </row>
    <row r="72" spans="2:2" x14ac:dyDescent="0.2">
      <c r="B72" s="1418"/>
    </row>
    <row r="73" spans="2:2" x14ac:dyDescent="0.2">
      <c r="B73" s="1298"/>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1958"/>
      <c r="C2" s="1958"/>
      <c r="D2" s="1958"/>
      <c r="E2" s="1958"/>
      <c r="F2" s="1956"/>
      <c r="G2" s="1956"/>
      <c r="H2" s="1956"/>
      <c r="I2" s="1956"/>
      <c r="J2" s="1956"/>
      <c r="K2" s="1956"/>
      <c r="L2" s="1956"/>
    </row>
    <row r="3" spans="2:12" ht="13.5" customHeight="1" x14ac:dyDescent="0.2">
      <c r="B3" s="1958"/>
      <c r="C3" s="1958"/>
      <c r="D3" s="1958"/>
      <c r="E3" s="1958"/>
      <c r="F3" s="1956"/>
      <c r="G3" s="1956"/>
      <c r="H3" s="1956"/>
      <c r="I3" s="1956"/>
      <c r="J3" s="1956"/>
      <c r="K3" s="1956"/>
      <c r="L3" s="1956"/>
    </row>
    <row r="4" spans="2:12" ht="13.5" customHeight="1" x14ac:dyDescent="0.2">
      <c r="B4" s="1958"/>
      <c r="C4" s="1958"/>
      <c r="D4" s="1958"/>
      <c r="E4" s="1958"/>
      <c r="F4" s="1956"/>
      <c r="G4" s="1956"/>
      <c r="H4" s="1956"/>
      <c r="I4" s="1956"/>
      <c r="J4" s="1956"/>
      <c r="K4" s="1956"/>
      <c r="L4" s="1956"/>
    </row>
    <row r="5" spans="2:12" ht="13.5" customHeight="1" x14ac:dyDescent="0.2">
      <c r="B5" s="1958"/>
      <c r="C5" s="1958"/>
      <c r="D5" s="1958"/>
      <c r="E5" s="1958"/>
      <c r="F5" s="1956"/>
      <c r="G5" s="1956"/>
      <c r="H5" s="1956"/>
      <c r="I5" s="1956"/>
      <c r="J5" s="1956"/>
      <c r="K5" s="1956"/>
      <c r="L5" s="1956"/>
    </row>
    <row r="6" spans="2:12" ht="13.5" customHeight="1" x14ac:dyDescent="0.2">
      <c r="B6" s="1958"/>
      <c r="C6" s="1958"/>
      <c r="D6" s="1958"/>
      <c r="E6" s="1958"/>
      <c r="F6" s="1956"/>
      <c r="G6" s="1956"/>
      <c r="H6" s="1956"/>
      <c r="I6" s="1956"/>
      <c r="J6" s="1956"/>
      <c r="K6" s="1956"/>
      <c r="L6" s="1956"/>
    </row>
    <row r="7" spans="2:12" ht="13.5" customHeight="1" x14ac:dyDescent="0.2">
      <c r="B7" s="1958"/>
      <c r="C7" s="1958"/>
      <c r="D7" s="1958"/>
      <c r="E7" s="1958"/>
      <c r="F7" s="1956"/>
      <c r="G7" s="1956"/>
      <c r="H7" s="1956"/>
      <c r="I7" s="1956"/>
      <c r="J7" s="1956"/>
      <c r="K7" s="1956"/>
      <c r="L7" s="1956"/>
    </row>
    <row r="8" spans="2:12" ht="13.5" customHeight="1" x14ac:dyDescent="0.2">
      <c r="B8" s="1958"/>
      <c r="C8" s="1958"/>
      <c r="D8" s="1958"/>
      <c r="E8" s="1958"/>
      <c r="F8" s="1956"/>
      <c r="G8" s="1956"/>
      <c r="H8" s="1956"/>
      <c r="I8" s="1956"/>
      <c r="J8" s="1956"/>
      <c r="K8" s="1956"/>
      <c r="L8" s="1956"/>
    </row>
    <row r="9" spans="2:12" ht="13.5" customHeight="1" x14ac:dyDescent="0.2">
      <c r="B9" s="1958"/>
      <c r="C9" s="1958"/>
      <c r="D9" s="1958"/>
      <c r="E9" s="1958"/>
      <c r="F9" s="1956"/>
      <c r="G9" s="1956"/>
      <c r="H9" s="1956"/>
      <c r="I9" s="1956"/>
      <c r="J9" s="1956"/>
      <c r="K9" s="1956"/>
      <c r="L9" s="1956"/>
    </row>
    <row r="10" spans="2:12" ht="13.5" customHeight="1" x14ac:dyDescent="0.2">
      <c r="B10" s="1958"/>
      <c r="C10" s="1958"/>
      <c r="D10" s="1958"/>
      <c r="E10" s="1958"/>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1</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2104</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2143</v>
      </c>
      <c r="C24" s="2704"/>
      <c r="D24" s="2705"/>
      <c r="E24" s="2705"/>
    </row>
    <row r="25" spans="2:9" ht="13.5" customHeight="1" x14ac:dyDescent="0.2">
      <c r="B25" s="1962"/>
      <c r="C25" s="1962"/>
      <c r="D25" s="1962"/>
    </row>
    <row r="26" spans="2:9" ht="13.5" customHeight="1" x14ac:dyDescent="0.2">
      <c r="B26" s="1967" t="s">
        <v>2144</v>
      </c>
      <c r="C26" s="1967"/>
      <c r="D26" s="1962"/>
      <c r="E26" s="1971">
        <v>43769</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2327</v>
      </c>
      <c r="F30" s="2704"/>
      <c r="G30" s="2704"/>
    </row>
    <row r="31" spans="2:9" ht="13.5" customHeight="1" x14ac:dyDescent="0.2">
      <c r="B31" s="1962"/>
      <c r="C31" s="1962"/>
      <c r="D31" s="1962"/>
      <c r="E31" s="2704"/>
      <c r="F31" s="2704"/>
      <c r="G31" s="2704"/>
    </row>
    <row r="32" spans="2:9" ht="13.5" customHeight="1" x14ac:dyDescent="0.2">
      <c r="B32" s="1962"/>
      <c r="C32" s="1962"/>
      <c r="D32" s="1962"/>
      <c r="E32" s="2704"/>
      <c r="F32" s="2704"/>
      <c r="G32" s="2704"/>
    </row>
    <row r="33" spans="2:7" ht="13.5" customHeight="1" x14ac:dyDescent="0.2">
      <c r="B33" s="1962"/>
      <c r="C33" s="1962"/>
      <c r="D33" s="1962"/>
      <c r="E33" s="2704"/>
      <c r="F33" s="2704"/>
      <c r="G33" s="2704"/>
    </row>
    <row r="34" spans="2:7" ht="13.5" customHeight="1" x14ac:dyDescent="0.2">
      <c r="B34" s="1962"/>
      <c r="C34" s="1962"/>
      <c r="D34" s="1962"/>
    </row>
    <row r="35" spans="2:7" ht="13.5" customHeight="1" x14ac:dyDescent="0.2">
      <c r="B35" s="1973"/>
      <c r="C35" s="1973"/>
      <c r="D35" s="1973"/>
    </row>
    <row r="36" spans="2:7" ht="13.5" customHeight="1" x14ac:dyDescent="0.2"/>
    <row r="37" spans="2:7" ht="13.5" customHeight="1" x14ac:dyDescent="0.2"/>
    <row r="38" spans="2:7" ht="13.5" customHeight="1" x14ac:dyDescent="0.2"/>
    <row r="39" spans="2:7" ht="13.5" customHeight="1" x14ac:dyDescent="0.2">
      <c r="B39" s="1974"/>
      <c r="C39" s="1974"/>
      <c r="D39" s="1974"/>
    </row>
    <row r="40" spans="2:7" ht="13.5" customHeight="1" x14ac:dyDescent="0.2">
      <c r="B40" s="1974"/>
      <c r="C40" s="1974"/>
      <c r="D40" s="1974"/>
    </row>
    <row r="41" spans="2:7" ht="13.5" customHeight="1" x14ac:dyDescent="0.2">
      <c r="B41" s="1974"/>
      <c r="C41" s="1974"/>
      <c r="D41" s="1974"/>
    </row>
    <row r="42" spans="2:7" ht="13.5" customHeight="1" x14ac:dyDescent="0.2">
      <c r="B42" s="1974"/>
      <c r="C42" s="1974"/>
      <c r="D42" s="1974"/>
    </row>
    <row r="43" spans="2:7" ht="13.5" customHeight="1" x14ac:dyDescent="0.2">
      <c r="B43" s="1975"/>
      <c r="C43" s="1975"/>
      <c r="D43" s="1975"/>
      <c r="E43" s="1976"/>
    </row>
    <row r="44" spans="2:7" ht="12.2" customHeight="1" x14ac:dyDescent="0.2">
      <c r="B44" s="1977" t="s">
        <v>2147</v>
      </c>
      <c r="C44" s="1977"/>
      <c r="D44" s="1977"/>
    </row>
    <row r="45" spans="2:7" ht="12.2" customHeight="1" x14ac:dyDescent="0.2">
      <c r="B45" s="1978"/>
      <c r="C45" s="1978"/>
      <c r="D45" s="1978"/>
    </row>
    <row r="46" spans="2:7" ht="12.75" customHeight="1" x14ac:dyDescent="0.2">
      <c r="B46" s="1979"/>
      <c r="C46" s="1979"/>
      <c r="D46" s="1979"/>
    </row>
    <row r="47" spans="2:7" ht="12.75" customHeight="1" x14ac:dyDescent="0.2">
      <c r="B47" s="1979"/>
      <c r="C47" s="1979"/>
      <c r="D47" s="1979"/>
    </row>
    <row r="48" spans="2:7"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G33"/>
    <mergeCell ref="B24:E24"/>
    <mergeCell ref="B1:E1"/>
    <mergeCell ref="B12:E12"/>
    <mergeCell ref="B13:E13"/>
    <mergeCell ref="B14:E14"/>
    <mergeCell ref="B21:E21"/>
  </mergeCells>
  <pageMargins left="0.25" right="0.27" top="0.68" bottom="0.53" header="0.26" footer="0.27"/>
  <pageSetup firstPageNumber="44" orientation="portrait" useFirstPageNumber="1"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1958"/>
      <c r="C2" s="1958"/>
      <c r="D2" s="1958"/>
      <c r="E2" s="1958"/>
      <c r="F2" s="1956"/>
      <c r="G2" s="1956"/>
      <c r="H2" s="1956"/>
      <c r="I2" s="1956"/>
      <c r="J2" s="1956"/>
      <c r="K2" s="1956"/>
      <c r="L2" s="1956"/>
    </row>
    <row r="3" spans="2:12" ht="13.5" customHeight="1" x14ac:dyDescent="0.2">
      <c r="B3" s="1958"/>
      <c r="C3" s="1958"/>
      <c r="D3" s="1958"/>
      <c r="E3" s="1958"/>
      <c r="F3" s="1956"/>
      <c r="G3" s="1956"/>
      <c r="H3" s="1956"/>
      <c r="I3" s="1956"/>
      <c r="J3" s="1956"/>
      <c r="K3" s="1956"/>
      <c r="L3" s="1956"/>
    </row>
    <row r="4" spans="2:12" ht="13.5" customHeight="1" x14ac:dyDescent="0.2">
      <c r="B4" s="1958"/>
      <c r="C4" s="1958"/>
      <c r="D4" s="1958"/>
      <c r="E4" s="1958"/>
      <c r="F4" s="1956"/>
      <c r="G4" s="1956"/>
      <c r="H4" s="1956"/>
      <c r="I4" s="1956"/>
      <c r="J4" s="1956"/>
      <c r="K4" s="1956"/>
      <c r="L4" s="1956"/>
    </row>
    <row r="5" spans="2:12" ht="13.5" customHeight="1" x14ac:dyDescent="0.2">
      <c r="B5" s="1958"/>
      <c r="C5" s="1958"/>
      <c r="D5" s="1958"/>
      <c r="E5" s="1958"/>
      <c r="F5" s="1956"/>
      <c r="G5" s="1956"/>
      <c r="H5" s="1956"/>
      <c r="I5" s="1956"/>
      <c r="J5" s="1956"/>
      <c r="K5" s="1956"/>
      <c r="L5" s="1956"/>
    </row>
    <row r="6" spans="2:12" ht="13.5" customHeight="1" x14ac:dyDescent="0.2">
      <c r="B6" s="1958"/>
      <c r="C6" s="1958"/>
      <c r="D6" s="1958"/>
      <c r="E6" s="1958"/>
      <c r="F6" s="1956"/>
      <c r="G6" s="1956"/>
      <c r="H6" s="1956"/>
      <c r="I6" s="1956"/>
      <c r="J6" s="1956"/>
      <c r="K6" s="1956"/>
      <c r="L6" s="1956"/>
    </row>
    <row r="7" spans="2:12" ht="13.5" customHeight="1" x14ac:dyDescent="0.2">
      <c r="B7" s="1958"/>
      <c r="C7" s="1958"/>
      <c r="D7" s="1958"/>
      <c r="E7" s="1958"/>
      <c r="F7" s="1956"/>
      <c r="G7" s="1956"/>
      <c r="H7" s="1956"/>
      <c r="I7" s="1956"/>
      <c r="J7" s="1956"/>
      <c r="K7" s="1956"/>
      <c r="L7" s="1956"/>
    </row>
    <row r="8" spans="2:12" ht="13.5" customHeight="1" x14ac:dyDescent="0.2">
      <c r="B8" s="1958"/>
      <c r="C8" s="1958"/>
      <c r="D8" s="1958"/>
      <c r="E8" s="1958"/>
      <c r="F8" s="1956"/>
      <c r="G8" s="1956"/>
      <c r="H8" s="1956"/>
      <c r="I8" s="1956"/>
      <c r="J8" s="1956"/>
      <c r="K8" s="1956"/>
      <c r="L8" s="1956"/>
    </row>
    <row r="9" spans="2:12" ht="13.5" customHeight="1" x14ac:dyDescent="0.2">
      <c r="B9" s="1958"/>
      <c r="C9" s="1958"/>
      <c r="D9" s="1958"/>
      <c r="E9" s="1958"/>
      <c r="F9" s="1956"/>
      <c r="G9" s="1956"/>
      <c r="H9" s="1956"/>
      <c r="I9" s="1956"/>
      <c r="J9" s="1956"/>
      <c r="K9" s="1956"/>
      <c r="L9" s="1956"/>
    </row>
    <row r="10" spans="2:12" ht="13.5" customHeight="1" x14ac:dyDescent="0.2">
      <c r="B10" s="1958"/>
      <c r="C10" s="1958"/>
      <c r="D10" s="1958"/>
      <c r="E10" s="1958"/>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2</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2115</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2149</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2328</v>
      </c>
    </row>
    <row r="31" spans="2:9" ht="13.5" customHeight="1" x14ac:dyDescent="0.2">
      <c r="B31" s="1962"/>
      <c r="C31" s="1962"/>
      <c r="D31" s="1962"/>
      <c r="E31" s="2704"/>
    </row>
    <row r="32" spans="2:9" ht="28.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c r="B35" s="1973"/>
      <c r="C35" s="1973"/>
      <c r="D35" s="1973"/>
    </row>
    <row r="36" spans="2:5" ht="13.5" customHeight="1" x14ac:dyDescent="0.2"/>
    <row r="37" spans="2:5" ht="13.5" customHeight="1" x14ac:dyDescent="0.2"/>
    <row r="38" spans="2:5" ht="13.5" customHeight="1" x14ac:dyDescent="0.2"/>
    <row r="39" spans="2:5" ht="13.5" customHeight="1" x14ac:dyDescent="0.2">
      <c r="B39" s="1974"/>
      <c r="C39" s="1974"/>
      <c r="D39" s="1974"/>
    </row>
    <row r="40" spans="2:5" ht="13.5" customHeight="1" x14ac:dyDescent="0.2">
      <c r="B40" s="1974"/>
      <c r="C40" s="1974"/>
      <c r="D40" s="1974"/>
    </row>
    <row r="41" spans="2:5" ht="13.5" customHeight="1" x14ac:dyDescent="0.2">
      <c r="B41" s="1974"/>
      <c r="C41" s="1974"/>
      <c r="D41" s="1974"/>
    </row>
    <row r="42" spans="2:5" ht="13.5" customHeight="1" x14ac:dyDescent="0.2">
      <c r="B42" s="1977"/>
      <c r="C42" s="1974"/>
      <c r="D42" s="1974"/>
    </row>
    <row r="43" spans="2:5" ht="13.5" customHeight="1" x14ac:dyDescent="0.2">
      <c r="B43" s="1975"/>
      <c r="C43" s="1975"/>
      <c r="D43" s="1975"/>
      <c r="E43" s="1976"/>
    </row>
    <row r="44" spans="2:5" ht="12.2" customHeight="1" x14ac:dyDescent="0.2">
      <c r="B44" s="1977" t="s">
        <v>2147</v>
      </c>
      <c r="C44" s="1977"/>
      <c r="D44" s="1977"/>
    </row>
    <row r="45" spans="2:5" ht="12.2" customHeight="1" x14ac:dyDescent="0.2">
      <c r="B45" s="1978"/>
      <c r="C45" s="1978"/>
      <c r="D45" s="1978"/>
    </row>
    <row r="46" spans="2:5" ht="12.75" customHeight="1" x14ac:dyDescent="0.2">
      <c r="B46" s="1979"/>
      <c r="C46" s="1979"/>
      <c r="D46" s="1979"/>
    </row>
    <row r="47" spans="2:5" ht="12.75" customHeight="1" x14ac:dyDescent="0.2">
      <c r="B47" s="1979"/>
      <c r="C47" s="1979"/>
      <c r="D47" s="1979"/>
    </row>
    <row r="48" spans="2:5"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E32"/>
    <mergeCell ref="B1:E1"/>
    <mergeCell ref="B12:E12"/>
    <mergeCell ref="B13:E13"/>
    <mergeCell ref="B14:E14"/>
    <mergeCell ref="B21:E21"/>
    <mergeCell ref="B24:E24"/>
  </mergeCells>
  <pageMargins left="0.25" right="0.27" top="0.68" bottom="0.53" header="0.26" footer="0.27"/>
  <pageSetup scale="98" firstPageNumber="44" orientation="portrait" useFirstPageNumber="1"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1958"/>
      <c r="C2" s="1958"/>
      <c r="D2" s="1958"/>
      <c r="E2" s="1958"/>
      <c r="F2" s="1956"/>
      <c r="G2" s="1956"/>
      <c r="H2" s="1956"/>
      <c r="I2" s="1956"/>
      <c r="J2" s="1956"/>
      <c r="K2" s="1956"/>
      <c r="L2" s="1956"/>
    </row>
    <row r="3" spans="2:12" ht="13.5" customHeight="1" x14ac:dyDescent="0.2">
      <c r="B3" s="1958"/>
      <c r="C3" s="1958"/>
      <c r="D3" s="1958"/>
      <c r="E3" s="1958"/>
      <c r="F3" s="1956"/>
      <c r="G3" s="1956"/>
      <c r="H3" s="1956"/>
      <c r="I3" s="1956"/>
      <c r="J3" s="1956"/>
      <c r="K3" s="1956"/>
      <c r="L3" s="1956"/>
    </row>
    <row r="4" spans="2:12" ht="13.5" customHeight="1" x14ac:dyDescent="0.2">
      <c r="B4" s="1958"/>
      <c r="C4" s="1958"/>
      <c r="D4" s="1958"/>
      <c r="E4" s="1958"/>
      <c r="F4" s="1956"/>
      <c r="G4" s="1956"/>
      <c r="H4" s="1956"/>
      <c r="I4" s="1956"/>
      <c r="J4" s="1956"/>
      <c r="K4" s="1956"/>
      <c r="L4" s="1956"/>
    </row>
    <row r="5" spans="2:12" ht="13.5" customHeight="1" x14ac:dyDescent="0.2">
      <c r="B5" s="1958"/>
      <c r="C5" s="1958"/>
      <c r="D5" s="1958"/>
      <c r="E5" s="1958"/>
      <c r="F5" s="1956"/>
      <c r="G5" s="1956"/>
      <c r="H5" s="1956"/>
      <c r="I5" s="1956"/>
      <c r="J5" s="1956"/>
      <c r="K5" s="1956"/>
      <c r="L5" s="1956"/>
    </row>
    <row r="6" spans="2:12" ht="13.5" customHeight="1" x14ac:dyDescent="0.2">
      <c r="B6" s="1958"/>
      <c r="C6" s="1958"/>
      <c r="D6" s="1958"/>
      <c r="E6" s="1958"/>
      <c r="F6" s="1956"/>
      <c r="G6" s="1956"/>
      <c r="H6" s="1956"/>
      <c r="I6" s="1956"/>
      <c r="J6" s="1956"/>
      <c r="K6" s="1956"/>
      <c r="L6" s="1956"/>
    </row>
    <row r="7" spans="2:12" ht="13.5" customHeight="1" x14ac:dyDescent="0.2">
      <c r="B7" s="1958"/>
      <c r="C7" s="1958"/>
      <c r="D7" s="1958"/>
      <c r="E7" s="1958"/>
      <c r="F7" s="1956"/>
      <c r="G7" s="1956"/>
      <c r="H7" s="1956"/>
      <c r="I7" s="1956"/>
      <c r="J7" s="1956"/>
      <c r="K7" s="1956"/>
      <c r="L7" s="1956"/>
    </row>
    <row r="8" spans="2:12" ht="13.5" customHeight="1" x14ac:dyDescent="0.2">
      <c r="B8" s="1958"/>
      <c r="C8" s="1958"/>
      <c r="D8" s="1958"/>
      <c r="E8" s="1958"/>
      <c r="F8" s="1956"/>
      <c r="G8" s="1956"/>
      <c r="H8" s="1956"/>
      <c r="I8" s="1956"/>
      <c r="J8" s="1956"/>
      <c r="K8" s="1956"/>
      <c r="L8" s="1956"/>
    </row>
    <row r="9" spans="2:12" ht="13.5" customHeight="1" x14ac:dyDescent="0.2">
      <c r="B9" s="1958"/>
      <c r="C9" s="1958"/>
      <c r="D9" s="1958"/>
      <c r="E9" s="1958"/>
      <c r="F9" s="1956"/>
      <c r="G9" s="1956"/>
      <c r="H9" s="1956"/>
      <c r="I9" s="1956"/>
      <c r="J9" s="1956"/>
      <c r="K9" s="1956"/>
      <c r="L9" s="1956"/>
    </row>
    <row r="10" spans="2:12" ht="13.5" customHeight="1" x14ac:dyDescent="0.2">
      <c r="B10" s="1958"/>
      <c r="C10" s="1958"/>
      <c r="D10" s="1958"/>
      <c r="E10" s="1958"/>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3</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2107</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2150</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2329</v>
      </c>
    </row>
    <row r="31" spans="2:9" ht="13.5" customHeight="1" x14ac:dyDescent="0.2">
      <c r="B31" s="1962"/>
      <c r="C31" s="1962"/>
      <c r="D31" s="1962"/>
      <c r="E31" s="2704"/>
    </row>
    <row r="32" spans="2:9" ht="28.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c r="B35" s="1973"/>
      <c r="C35" s="1973"/>
      <c r="D35" s="1973"/>
    </row>
    <row r="36" spans="2:5" ht="13.5" customHeight="1" x14ac:dyDescent="0.2"/>
    <row r="37" spans="2:5" ht="13.5" customHeight="1" x14ac:dyDescent="0.2"/>
    <row r="38" spans="2:5" ht="13.5" customHeight="1" x14ac:dyDescent="0.2"/>
    <row r="39" spans="2:5" ht="13.5" customHeight="1" x14ac:dyDescent="0.2">
      <c r="B39" s="1974"/>
      <c r="C39" s="1974"/>
      <c r="D39" s="1974"/>
    </row>
    <row r="40" spans="2:5" ht="13.5" customHeight="1" x14ac:dyDescent="0.2">
      <c r="B40" s="1974"/>
      <c r="C40" s="1974"/>
      <c r="D40" s="1974"/>
    </row>
    <row r="41" spans="2:5" ht="13.5" customHeight="1" x14ac:dyDescent="0.2">
      <c r="B41" s="1974"/>
      <c r="C41" s="1974"/>
      <c r="D41" s="1974"/>
    </row>
    <row r="42" spans="2:5" ht="13.5" customHeight="1" x14ac:dyDescent="0.2">
      <c r="B42" s="1974"/>
      <c r="C42" s="1974"/>
      <c r="D42" s="1974"/>
    </row>
    <row r="43" spans="2:5" ht="13.5" customHeight="1" x14ac:dyDescent="0.2">
      <c r="B43" s="1975"/>
      <c r="C43" s="1975"/>
      <c r="D43" s="1975"/>
      <c r="E43" s="1976"/>
    </row>
    <row r="44" spans="2:5" ht="12.2" customHeight="1" x14ac:dyDescent="0.2">
      <c r="B44" s="1977" t="s">
        <v>2147</v>
      </c>
      <c r="C44" s="1977"/>
      <c r="D44" s="1977"/>
    </row>
    <row r="45" spans="2:5" ht="12.2" customHeight="1" x14ac:dyDescent="0.2">
      <c r="B45" s="1978"/>
      <c r="C45" s="1978"/>
      <c r="D45" s="1978"/>
    </row>
    <row r="46" spans="2:5" ht="12.75" customHeight="1" x14ac:dyDescent="0.2">
      <c r="B46" s="1979"/>
      <c r="C46" s="1979"/>
      <c r="D46" s="1979"/>
    </row>
    <row r="47" spans="2:5" ht="12.75" customHeight="1" x14ac:dyDescent="0.2">
      <c r="B47" s="1979"/>
      <c r="C47" s="1979"/>
      <c r="D47" s="1979"/>
    </row>
    <row r="48" spans="2:5"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E32"/>
    <mergeCell ref="B1:E1"/>
    <mergeCell ref="B12:E12"/>
    <mergeCell ref="B13:E13"/>
    <mergeCell ref="B14:E14"/>
    <mergeCell ref="B21:E21"/>
    <mergeCell ref="B24:E24"/>
  </mergeCells>
  <pageMargins left="0.25" right="0.27" top="0.68" bottom="0.53" header="0.26" footer="0.27"/>
  <pageSetup scale="98" firstPageNumber="44" orientation="portrait" useFirstPageNumber="1"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9"/>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1958"/>
      <c r="C2" s="1958"/>
      <c r="D2" s="1958"/>
      <c r="E2" s="1958"/>
      <c r="F2" s="1956"/>
      <c r="G2" s="1956"/>
      <c r="H2" s="1956"/>
      <c r="I2" s="1956"/>
      <c r="J2" s="1956"/>
      <c r="K2" s="1956"/>
      <c r="L2" s="1956"/>
    </row>
    <row r="3" spans="2:12" ht="13.5" customHeight="1" x14ac:dyDescent="0.2">
      <c r="B3" s="1958"/>
      <c r="C3" s="1958"/>
      <c r="D3" s="1958"/>
      <c r="E3" s="1958"/>
      <c r="F3" s="1956"/>
      <c r="G3" s="1956"/>
      <c r="H3" s="1956"/>
      <c r="I3" s="1956"/>
      <c r="J3" s="1956"/>
      <c r="K3" s="1956"/>
      <c r="L3" s="1956"/>
    </row>
    <row r="4" spans="2:12" ht="13.5" customHeight="1" x14ac:dyDescent="0.2">
      <c r="B4" s="1958"/>
      <c r="C4" s="1958"/>
      <c r="D4" s="1958"/>
      <c r="E4" s="1958"/>
      <c r="F4" s="1956"/>
      <c r="G4" s="1956"/>
      <c r="H4" s="1956"/>
      <c r="I4" s="1956"/>
      <c r="J4" s="1956"/>
      <c r="K4" s="1956"/>
      <c r="L4" s="1956"/>
    </row>
    <row r="5" spans="2:12" ht="13.5" customHeight="1" x14ac:dyDescent="0.2">
      <c r="B5" s="1958"/>
      <c r="C5" s="1958"/>
      <c r="D5" s="1958"/>
      <c r="E5" s="1958"/>
      <c r="F5" s="1956"/>
      <c r="G5" s="1956"/>
      <c r="H5" s="1956"/>
      <c r="I5" s="1956"/>
      <c r="J5" s="1956"/>
      <c r="K5" s="1956"/>
      <c r="L5" s="1956"/>
    </row>
    <row r="6" spans="2:12" ht="13.5" customHeight="1" x14ac:dyDescent="0.2">
      <c r="B6" s="1958"/>
      <c r="C6" s="1958"/>
      <c r="D6" s="1958"/>
      <c r="E6" s="1958"/>
      <c r="F6" s="1956"/>
      <c r="G6" s="1956"/>
      <c r="H6" s="1956"/>
      <c r="I6" s="1956"/>
      <c r="J6" s="1956"/>
      <c r="K6" s="1956"/>
      <c r="L6" s="1956"/>
    </row>
    <row r="7" spans="2:12" ht="13.5" customHeight="1" x14ac:dyDescent="0.2">
      <c r="B7" s="1958"/>
      <c r="C7" s="1958"/>
      <c r="D7" s="1958"/>
      <c r="E7" s="1958"/>
      <c r="F7" s="1956"/>
      <c r="G7" s="1956"/>
      <c r="H7" s="1956"/>
      <c r="I7" s="1956"/>
      <c r="J7" s="1956"/>
      <c r="K7" s="1956"/>
      <c r="L7" s="1956"/>
    </row>
    <row r="8" spans="2:12" ht="13.5" customHeight="1" x14ac:dyDescent="0.2">
      <c r="B8" s="1958"/>
      <c r="C8" s="1958"/>
      <c r="D8" s="1958"/>
      <c r="E8" s="1958"/>
      <c r="F8" s="1956"/>
      <c r="G8" s="1956"/>
      <c r="H8" s="1956"/>
      <c r="I8" s="1956"/>
      <c r="J8" s="1956"/>
      <c r="K8" s="1956"/>
      <c r="L8" s="1956"/>
    </row>
    <row r="9" spans="2:12" ht="13.5" customHeight="1" x14ac:dyDescent="0.2">
      <c r="B9" s="1958"/>
      <c r="C9" s="1958"/>
      <c r="D9" s="1958"/>
      <c r="E9" s="1958"/>
      <c r="F9" s="1956"/>
      <c r="G9" s="1956"/>
      <c r="H9" s="1956"/>
      <c r="I9" s="1956"/>
      <c r="J9" s="1956"/>
      <c r="K9" s="1956"/>
      <c r="L9" s="1956"/>
    </row>
    <row r="10" spans="2:12" ht="13.5" customHeight="1" x14ac:dyDescent="0.2">
      <c r="B10" s="1958"/>
      <c r="C10" s="1958"/>
      <c r="D10" s="1958"/>
      <c r="E10" s="1958"/>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4</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2109</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2151</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2330</v>
      </c>
    </row>
    <row r="31" spans="2:9" ht="13.5" customHeight="1" x14ac:dyDescent="0.2">
      <c r="B31" s="1962"/>
      <c r="C31" s="1962"/>
      <c r="D31" s="1962"/>
      <c r="E31" s="2704"/>
    </row>
    <row r="32" spans="2:9" ht="43.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row r="36" spans="2:5" ht="13.5" customHeight="1" x14ac:dyDescent="0.2">
      <c r="B36" s="1974"/>
      <c r="C36" s="1974"/>
      <c r="D36" s="1974"/>
    </row>
    <row r="37" spans="2:5" ht="13.5" customHeight="1" x14ac:dyDescent="0.2">
      <c r="B37" s="1974"/>
      <c r="C37" s="1974"/>
      <c r="D37" s="1974"/>
    </row>
    <row r="38" spans="2:5" ht="13.5" customHeight="1" x14ac:dyDescent="0.2">
      <c r="B38" s="1974"/>
      <c r="C38" s="1974"/>
      <c r="D38" s="1974"/>
    </row>
    <row r="39" spans="2:5" ht="13.5" customHeight="1" x14ac:dyDescent="0.2">
      <c r="B39" s="1974"/>
      <c r="C39" s="1974"/>
      <c r="D39" s="1974"/>
    </row>
    <row r="40" spans="2:5" ht="13.5" customHeight="1" x14ac:dyDescent="0.2">
      <c r="B40" s="1975"/>
      <c r="C40" s="1975"/>
      <c r="D40" s="1975"/>
      <c r="E40" s="1976"/>
    </row>
    <row r="41" spans="2:5" ht="12.2" customHeight="1" x14ac:dyDescent="0.2">
      <c r="B41" s="1977" t="s">
        <v>2147</v>
      </c>
      <c r="C41" s="1977"/>
      <c r="D41" s="1977"/>
    </row>
    <row r="42" spans="2:5" ht="12.2" customHeight="1" x14ac:dyDescent="0.2">
      <c r="B42" s="1978"/>
      <c r="C42" s="1978"/>
      <c r="D42" s="1978"/>
    </row>
    <row r="43" spans="2:5" ht="12.75" customHeight="1" x14ac:dyDescent="0.2">
      <c r="B43" s="1979"/>
      <c r="C43" s="1979"/>
      <c r="D43" s="1979"/>
    </row>
    <row r="44" spans="2:5" ht="12.75" customHeight="1" x14ac:dyDescent="0.2">
      <c r="B44" s="1979"/>
      <c r="C44" s="1979"/>
      <c r="D44" s="1979"/>
    </row>
    <row r="45" spans="2:5" x14ac:dyDescent="0.2">
      <c r="B45" s="1979"/>
      <c r="C45" s="1979"/>
      <c r="D45" s="1979"/>
    </row>
    <row r="46" spans="2:5" x14ac:dyDescent="0.2">
      <c r="B46" s="1979"/>
      <c r="C46" s="1979"/>
      <c r="D46" s="1979"/>
    </row>
    <row r="50" spans="2:9" x14ac:dyDescent="0.2">
      <c r="B50" s="1980"/>
      <c r="C50" s="1980"/>
      <c r="D50" s="1980"/>
    </row>
    <row r="51" spans="2:9" ht="12.75" customHeight="1" x14ac:dyDescent="0.2"/>
    <row r="52" spans="2:9" ht="12.75" customHeight="1" x14ac:dyDescent="0.2">
      <c r="B52" s="1962"/>
      <c r="C52" s="1962"/>
      <c r="D52" s="1962"/>
      <c r="E52" s="1962"/>
      <c r="F52" s="1962"/>
      <c r="G52" s="1962"/>
      <c r="H52" s="1962"/>
      <c r="I52" s="1962"/>
    </row>
    <row r="53" spans="2:9" ht="12.75" customHeight="1" x14ac:dyDescent="0.2">
      <c r="B53" s="1962"/>
      <c r="C53" s="1962"/>
      <c r="D53" s="1962"/>
      <c r="E53" s="1962"/>
      <c r="F53" s="1962"/>
      <c r="G53" s="1962"/>
      <c r="H53" s="1962"/>
      <c r="I53" s="1962"/>
    </row>
    <row r="54" spans="2:9" ht="12.75" customHeight="1" x14ac:dyDescent="0.2">
      <c r="B54" s="1962"/>
      <c r="C54" s="1962"/>
      <c r="D54" s="1962"/>
      <c r="E54" s="1962"/>
      <c r="F54" s="1962"/>
      <c r="G54" s="1962"/>
      <c r="H54" s="1962"/>
      <c r="I54" s="1962"/>
    </row>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row>
    <row r="59" spans="2:9" ht="12.75" customHeight="1" x14ac:dyDescent="0.2">
      <c r="B59" s="1962"/>
      <c r="C59" s="1962"/>
      <c r="D59" s="1962"/>
      <c r="E59" s="1962"/>
      <c r="F59" s="1962"/>
      <c r="G59" s="1962"/>
      <c r="H59" s="1962"/>
      <c r="I59" s="1962"/>
    </row>
    <row r="63" spans="2:9" x14ac:dyDescent="0.2">
      <c r="B63" s="1981"/>
      <c r="C63" s="1981"/>
      <c r="D63" s="1981"/>
    </row>
    <row r="64" spans="2:9" x14ac:dyDescent="0.2">
      <c r="B64" s="1979"/>
      <c r="C64" s="1979"/>
      <c r="D64" s="1979"/>
    </row>
    <row r="65" spans="2:4" x14ac:dyDescent="0.2">
      <c r="B65" s="1979"/>
      <c r="C65" s="1979"/>
      <c r="D65" s="1979"/>
    </row>
    <row r="66" spans="2:4" x14ac:dyDescent="0.2">
      <c r="B66" s="1982"/>
      <c r="C66" s="1982"/>
      <c r="D66" s="1982"/>
    </row>
    <row r="67" spans="2:4" x14ac:dyDescent="0.2">
      <c r="B67" s="1982"/>
      <c r="C67" s="1982"/>
      <c r="D67" s="1982"/>
    </row>
    <row r="68" spans="2:4" x14ac:dyDescent="0.2">
      <c r="B68" s="1982"/>
      <c r="C68" s="1982"/>
      <c r="D68" s="1982"/>
    </row>
    <row r="69" spans="2:4" x14ac:dyDescent="0.2">
      <c r="B69" s="1979"/>
      <c r="C69" s="1979"/>
      <c r="D69" s="1979"/>
    </row>
  </sheetData>
  <mergeCells count="7">
    <mergeCell ref="E30:E32"/>
    <mergeCell ref="B1:E1"/>
    <mergeCell ref="B12:E12"/>
    <mergeCell ref="B13:E13"/>
    <mergeCell ref="B14:E14"/>
    <mergeCell ref="B21:E21"/>
    <mergeCell ref="B24:E24"/>
  </mergeCells>
  <pageMargins left="0.25" right="0.27" top="0.68" bottom="0.53" header="0.26" footer="0.27"/>
  <pageSetup firstPageNumber="44" orientation="portrait" useFirstPageNumber="1"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1958"/>
      <c r="C2" s="1958"/>
      <c r="D2" s="1958"/>
      <c r="E2" s="1958"/>
      <c r="F2" s="1956"/>
      <c r="G2" s="1956"/>
      <c r="H2" s="1956"/>
      <c r="I2" s="1956"/>
      <c r="J2" s="1956"/>
      <c r="K2" s="1956"/>
      <c r="L2" s="1956"/>
    </row>
    <row r="3" spans="2:12" ht="13.5" customHeight="1" x14ac:dyDescent="0.2">
      <c r="B3" s="1958"/>
      <c r="C3" s="1958"/>
      <c r="D3" s="1958"/>
      <c r="E3" s="1958"/>
      <c r="F3" s="1956"/>
      <c r="G3" s="1956"/>
      <c r="H3" s="1956"/>
      <c r="I3" s="1956"/>
      <c r="J3" s="1956"/>
      <c r="K3" s="1956"/>
      <c r="L3" s="1956"/>
    </row>
    <row r="4" spans="2:12" ht="13.5" customHeight="1" x14ac:dyDescent="0.2">
      <c r="B4" s="1958"/>
      <c r="C4" s="1958"/>
      <c r="D4" s="1958"/>
      <c r="E4" s="1958"/>
      <c r="F4" s="1956"/>
      <c r="G4" s="1956"/>
      <c r="H4" s="1956"/>
      <c r="I4" s="1956"/>
      <c r="J4" s="1956"/>
      <c r="K4" s="1956"/>
      <c r="L4" s="1956"/>
    </row>
    <row r="5" spans="2:12" ht="13.5" customHeight="1" x14ac:dyDescent="0.2">
      <c r="B5" s="1958"/>
      <c r="C5" s="1958"/>
      <c r="D5" s="1958"/>
      <c r="E5" s="1958"/>
      <c r="F5" s="1956"/>
      <c r="G5" s="1956"/>
      <c r="H5" s="1956"/>
      <c r="I5" s="1956"/>
      <c r="J5" s="1956"/>
      <c r="K5" s="1956"/>
      <c r="L5" s="1956"/>
    </row>
    <row r="6" spans="2:12" ht="13.5" customHeight="1" x14ac:dyDescent="0.2">
      <c r="B6" s="1958"/>
      <c r="C6" s="1958"/>
      <c r="D6" s="1958"/>
      <c r="E6" s="1958"/>
      <c r="F6" s="1956"/>
      <c r="G6" s="1956"/>
      <c r="H6" s="1956"/>
      <c r="I6" s="1956"/>
      <c r="J6" s="1956"/>
      <c r="K6" s="1956"/>
      <c r="L6" s="1956"/>
    </row>
    <row r="7" spans="2:12" ht="13.5" customHeight="1" x14ac:dyDescent="0.2">
      <c r="B7" s="1958"/>
      <c r="C7" s="1958"/>
      <c r="D7" s="1958"/>
      <c r="E7" s="1958"/>
      <c r="F7" s="1956"/>
      <c r="G7" s="1956"/>
      <c r="H7" s="1956"/>
      <c r="I7" s="1956"/>
      <c r="J7" s="1956"/>
      <c r="K7" s="1956"/>
      <c r="L7" s="1956"/>
    </row>
    <row r="8" spans="2:12" ht="13.5" customHeight="1" x14ac:dyDescent="0.2">
      <c r="B8" s="1958"/>
      <c r="C8" s="1958"/>
      <c r="D8" s="1958"/>
      <c r="E8" s="1958"/>
      <c r="F8" s="1956"/>
      <c r="G8" s="1956"/>
      <c r="H8" s="1956"/>
      <c r="I8" s="1956"/>
      <c r="J8" s="1956"/>
      <c r="K8" s="1956"/>
      <c r="L8" s="1956"/>
    </row>
    <row r="9" spans="2:12" ht="13.5" customHeight="1" x14ac:dyDescent="0.2">
      <c r="B9" s="1958"/>
      <c r="C9" s="1958"/>
      <c r="D9" s="1958"/>
      <c r="E9" s="1958"/>
      <c r="F9" s="1956"/>
      <c r="G9" s="1956"/>
      <c r="H9" s="1956"/>
      <c r="I9" s="1956"/>
      <c r="J9" s="1956"/>
      <c r="K9" s="1956"/>
      <c r="L9" s="1956"/>
    </row>
    <row r="10" spans="2:12" ht="13.5" customHeight="1" x14ac:dyDescent="0.2">
      <c r="B10" s="1958"/>
      <c r="C10" s="1958"/>
      <c r="D10" s="1958"/>
      <c r="E10" s="1958"/>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5</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2111</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2152</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2331</v>
      </c>
    </row>
    <row r="31" spans="2:9" ht="13.5" customHeight="1" x14ac:dyDescent="0.2">
      <c r="B31" s="1962"/>
      <c r="C31" s="1962"/>
      <c r="D31" s="1962"/>
      <c r="E31" s="2704"/>
    </row>
    <row r="32" spans="2:9" ht="28.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c r="B35" s="1973"/>
      <c r="C35" s="1973"/>
      <c r="D35" s="1973"/>
    </row>
    <row r="36" spans="2:5" ht="13.5" customHeight="1" x14ac:dyDescent="0.2"/>
    <row r="37" spans="2:5" ht="13.5" customHeight="1" x14ac:dyDescent="0.2"/>
    <row r="38" spans="2:5" ht="13.5" customHeight="1" x14ac:dyDescent="0.2"/>
    <row r="39" spans="2:5" ht="13.5" customHeight="1" x14ac:dyDescent="0.2">
      <c r="B39" s="1974"/>
      <c r="C39" s="1974"/>
      <c r="D39" s="1974"/>
    </row>
    <row r="40" spans="2:5" ht="13.5" customHeight="1" x14ac:dyDescent="0.2">
      <c r="B40" s="1974"/>
      <c r="C40" s="1974"/>
      <c r="D40" s="1974"/>
    </row>
    <row r="41" spans="2:5" ht="13.5" customHeight="1" x14ac:dyDescent="0.2">
      <c r="B41" s="1974"/>
      <c r="C41" s="1974"/>
      <c r="D41" s="1974"/>
    </row>
    <row r="42" spans="2:5" ht="13.5" customHeight="1" x14ac:dyDescent="0.2">
      <c r="B42" s="1974"/>
      <c r="C42" s="1974"/>
      <c r="D42" s="1974"/>
    </row>
    <row r="43" spans="2:5" ht="13.5" customHeight="1" x14ac:dyDescent="0.2">
      <c r="B43" s="1975"/>
      <c r="C43" s="1975"/>
      <c r="D43" s="1975"/>
      <c r="E43" s="1976"/>
    </row>
    <row r="44" spans="2:5" ht="12.2" customHeight="1" x14ac:dyDescent="0.2">
      <c r="B44" s="1977" t="s">
        <v>2147</v>
      </c>
      <c r="C44" s="1977"/>
      <c r="D44" s="1977"/>
    </row>
    <row r="45" spans="2:5" ht="12.2" customHeight="1" x14ac:dyDescent="0.2">
      <c r="B45" s="1978"/>
      <c r="C45" s="1978"/>
      <c r="D45" s="1978"/>
    </row>
    <row r="46" spans="2:5" ht="12.75" customHeight="1" x14ac:dyDescent="0.2">
      <c r="B46" s="1979"/>
      <c r="C46" s="1979"/>
      <c r="D46" s="1979"/>
    </row>
    <row r="47" spans="2:5" ht="12.75" customHeight="1" x14ac:dyDescent="0.2">
      <c r="B47" s="1979"/>
      <c r="C47" s="1979"/>
      <c r="D47" s="1979"/>
    </row>
    <row r="48" spans="2:5"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E32"/>
    <mergeCell ref="B1:E1"/>
    <mergeCell ref="B12:E12"/>
    <mergeCell ref="B13:E13"/>
    <mergeCell ref="B14:E14"/>
    <mergeCell ref="B21:E21"/>
    <mergeCell ref="B24:E24"/>
  </mergeCells>
  <pageMargins left="0.25" right="0.27" top="0.68" bottom="0.53" header="0.26" footer="0.27"/>
  <pageSetup scale="96" firstPageNumber="44" orientation="portrait" useFirstPageNumber="1"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1958"/>
      <c r="C2" s="1958"/>
      <c r="D2" s="1958"/>
      <c r="E2" s="1958"/>
      <c r="F2" s="1956"/>
      <c r="G2" s="1956"/>
      <c r="H2" s="1956"/>
      <c r="I2" s="1956"/>
      <c r="J2" s="1956"/>
      <c r="K2" s="1956"/>
      <c r="L2" s="1956"/>
    </row>
    <row r="3" spans="2:12" ht="13.5" customHeight="1" x14ac:dyDescent="0.2">
      <c r="B3" s="1958"/>
      <c r="C3" s="1958"/>
      <c r="D3" s="1958"/>
      <c r="E3" s="1958"/>
      <c r="F3" s="1956"/>
      <c r="G3" s="1956"/>
      <c r="H3" s="1956"/>
      <c r="I3" s="1956"/>
      <c r="J3" s="1956"/>
      <c r="K3" s="1956"/>
      <c r="L3" s="1956"/>
    </row>
    <row r="4" spans="2:12" ht="13.5" customHeight="1" x14ac:dyDescent="0.2">
      <c r="B4" s="1958"/>
      <c r="C4" s="1958"/>
      <c r="D4" s="1958"/>
      <c r="E4" s="1958"/>
      <c r="F4" s="1956"/>
      <c r="G4" s="1956"/>
      <c r="H4" s="1956"/>
      <c r="I4" s="1956"/>
      <c r="J4" s="1956"/>
      <c r="K4" s="1956"/>
      <c r="L4" s="1956"/>
    </row>
    <row r="5" spans="2:12" ht="13.5" customHeight="1" x14ac:dyDescent="0.2">
      <c r="B5" s="1958"/>
      <c r="C5" s="1958"/>
      <c r="D5" s="1958"/>
      <c r="E5" s="1958"/>
      <c r="F5" s="1956"/>
      <c r="G5" s="1956"/>
      <c r="H5" s="1956"/>
      <c r="I5" s="1956"/>
      <c r="J5" s="1956"/>
      <c r="K5" s="1956"/>
      <c r="L5" s="1956"/>
    </row>
    <row r="6" spans="2:12" ht="13.5" customHeight="1" x14ac:dyDescent="0.2">
      <c r="B6" s="1958"/>
      <c r="C6" s="1958"/>
      <c r="D6" s="1958"/>
      <c r="E6" s="1958"/>
      <c r="F6" s="1956"/>
      <c r="G6" s="1956"/>
      <c r="H6" s="1956"/>
      <c r="I6" s="1956"/>
      <c r="J6" s="1956"/>
      <c r="K6" s="1956"/>
      <c r="L6" s="1956"/>
    </row>
    <row r="7" spans="2:12" ht="13.5" customHeight="1" x14ac:dyDescent="0.2">
      <c r="B7" s="1958"/>
      <c r="C7" s="1958"/>
      <c r="D7" s="1958"/>
      <c r="E7" s="1958"/>
      <c r="F7" s="1956"/>
      <c r="G7" s="1956"/>
      <c r="H7" s="1956"/>
      <c r="I7" s="1956"/>
      <c r="J7" s="1956"/>
      <c r="K7" s="1956"/>
      <c r="L7" s="1956"/>
    </row>
    <row r="8" spans="2:12" ht="13.5" customHeight="1" x14ac:dyDescent="0.2">
      <c r="B8" s="1958"/>
      <c r="C8" s="1958"/>
      <c r="D8" s="1958"/>
      <c r="E8" s="1958"/>
      <c r="F8" s="1956"/>
      <c r="G8" s="1956"/>
      <c r="H8" s="1956"/>
      <c r="I8" s="1956"/>
      <c r="J8" s="1956"/>
      <c r="K8" s="1956"/>
      <c r="L8" s="1956"/>
    </row>
    <row r="9" spans="2:12" ht="13.5" customHeight="1" x14ac:dyDescent="0.2">
      <c r="B9" s="1958"/>
      <c r="C9" s="1958"/>
      <c r="D9" s="1958"/>
      <c r="E9" s="1958"/>
      <c r="F9" s="1956"/>
      <c r="G9" s="1956"/>
      <c r="H9" s="1956"/>
      <c r="I9" s="1956"/>
      <c r="J9" s="1956"/>
      <c r="K9" s="1956"/>
      <c r="L9" s="1956"/>
    </row>
    <row r="10" spans="2:12" ht="13.5" customHeight="1" x14ac:dyDescent="0.2">
      <c r="B10" s="1958"/>
      <c r="C10" s="1958"/>
      <c r="D10" s="1958"/>
      <c r="E10" s="1958"/>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6</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2121</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2153</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2332</v>
      </c>
    </row>
    <row r="31" spans="2:9" ht="13.5" customHeight="1" x14ac:dyDescent="0.2">
      <c r="B31" s="1962"/>
      <c r="C31" s="1962"/>
      <c r="D31" s="1962"/>
      <c r="E31" s="2704"/>
    </row>
    <row r="32" spans="2:9" ht="28.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c r="B35" s="1973"/>
      <c r="C35" s="1973"/>
      <c r="D35" s="1973"/>
    </row>
    <row r="36" spans="2:5" ht="13.5" customHeight="1" x14ac:dyDescent="0.2"/>
    <row r="37" spans="2:5" ht="13.5" customHeight="1" x14ac:dyDescent="0.2"/>
    <row r="38" spans="2:5" ht="13.5" customHeight="1" x14ac:dyDescent="0.2"/>
    <row r="39" spans="2:5" ht="13.5" customHeight="1" x14ac:dyDescent="0.2">
      <c r="B39" s="1974"/>
      <c r="C39" s="1974"/>
      <c r="D39" s="1974"/>
    </row>
    <row r="40" spans="2:5" ht="13.5" customHeight="1" x14ac:dyDescent="0.2">
      <c r="B40" s="1974"/>
      <c r="C40" s="1974"/>
      <c r="D40" s="1974"/>
    </row>
    <row r="41" spans="2:5" ht="13.5" customHeight="1" x14ac:dyDescent="0.2">
      <c r="B41" s="1974"/>
      <c r="C41" s="1974"/>
      <c r="D41" s="1974"/>
    </row>
    <row r="42" spans="2:5" ht="13.5" customHeight="1" x14ac:dyDescent="0.2">
      <c r="B42" s="1974"/>
      <c r="C42" s="1974"/>
      <c r="D42" s="1974"/>
    </row>
    <row r="43" spans="2:5" ht="13.5" customHeight="1" x14ac:dyDescent="0.2">
      <c r="B43" s="1975"/>
      <c r="C43" s="1975"/>
      <c r="D43" s="1975"/>
      <c r="E43" s="1976"/>
    </row>
    <row r="44" spans="2:5" ht="12.2" customHeight="1" x14ac:dyDescent="0.2">
      <c r="B44" s="1977" t="s">
        <v>2147</v>
      </c>
      <c r="C44" s="1977"/>
      <c r="D44" s="1977"/>
    </row>
    <row r="45" spans="2:5" ht="12.2" customHeight="1" x14ac:dyDescent="0.2">
      <c r="B45" s="1978"/>
      <c r="C45" s="1978"/>
      <c r="D45" s="1978"/>
    </row>
    <row r="46" spans="2:5" ht="12.75" customHeight="1" x14ac:dyDescent="0.2">
      <c r="B46" s="1979"/>
      <c r="C46" s="1979"/>
      <c r="D46" s="1979"/>
    </row>
    <row r="47" spans="2:5" ht="12.75" customHeight="1" x14ac:dyDescent="0.2">
      <c r="B47" s="1979"/>
      <c r="C47" s="1979"/>
      <c r="D47" s="1979"/>
    </row>
    <row r="48" spans="2:5"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E32"/>
    <mergeCell ref="B1:E1"/>
    <mergeCell ref="B12:E12"/>
    <mergeCell ref="B13:E13"/>
    <mergeCell ref="B14:E14"/>
    <mergeCell ref="B21:E21"/>
    <mergeCell ref="B24:E24"/>
  </mergeCells>
  <pageMargins left="0.25" right="0.27" top="0.68" bottom="0.53" header="0.26" footer="0.27"/>
  <pageSetup scale="96" firstPageNumber="44"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302"/>
      <c r="B1" s="2303"/>
      <c r="C1" s="2303"/>
      <c r="D1" s="384"/>
      <c r="E1" s="384"/>
      <c r="F1" s="384"/>
      <c r="G1" s="384"/>
      <c r="H1" s="384"/>
      <c r="I1" s="384"/>
      <c r="J1" s="384"/>
      <c r="K1" s="384"/>
      <c r="L1" s="384"/>
      <c r="M1" s="384"/>
      <c r="N1" s="384"/>
      <c r="O1" s="2302"/>
      <c r="P1" s="2303"/>
      <c r="Q1" s="2303"/>
    </row>
    <row r="2" spans="1:18" ht="15" x14ac:dyDescent="0.2">
      <c r="A2" s="2306" t="s">
        <v>577</v>
      </c>
      <c r="B2" s="2306"/>
      <c r="C2" s="2306"/>
      <c r="D2" s="2306"/>
      <c r="E2" s="2306"/>
      <c r="F2" s="2306"/>
      <c r="G2" s="2306"/>
      <c r="H2" s="2306"/>
      <c r="I2" s="2306"/>
      <c r="J2" s="2306"/>
      <c r="K2" s="2306"/>
      <c r="L2" s="2306"/>
      <c r="M2" s="2306"/>
      <c r="N2" s="2306"/>
      <c r="O2" s="2306"/>
      <c r="P2" s="2306"/>
      <c r="Q2" s="2306"/>
      <c r="R2" s="2306"/>
    </row>
    <row r="3" spans="1:18" ht="12.75" x14ac:dyDescent="0.2">
      <c r="A3" s="2307" t="s">
        <v>1480</v>
      </c>
      <c r="B3" s="2307"/>
      <c r="C3" s="2307"/>
      <c r="D3" s="2307"/>
      <c r="E3" s="2307"/>
      <c r="F3" s="2307"/>
      <c r="G3" s="2307"/>
      <c r="H3" s="2307"/>
      <c r="I3" s="2307"/>
      <c r="J3" s="2307"/>
      <c r="K3" s="2307"/>
      <c r="L3" s="2307"/>
      <c r="M3" s="2307"/>
      <c r="N3" s="2307"/>
      <c r="O3" s="2307"/>
      <c r="P3" s="2307"/>
      <c r="Q3" s="2307"/>
      <c r="R3" s="2307"/>
    </row>
    <row r="4" spans="1:18" x14ac:dyDescent="0.2">
      <c r="A4" s="2308" t="s">
        <v>1635</v>
      </c>
      <c r="B4" s="2308"/>
      <c r="C4" s="2308"/>
      <c r="D4" s="2308"/>
      <c r="E4" s="2308"/>
      <c r="F4" s="2308"/>
      <c r="G4" s="2308"/>
      <c r="H4" s="2308"/>
      <c r="I4" s="2308"/>
      <c r="J4" s="2308"/>
      <c r="K4" s="2308"/>
      <c r="L4" s="2308"/>
      <c r="M4" s="2308"/>
      <c r="N4" s="2308"/>
      <c r="O4" s="2308"/>
      <c r="P4" s="2308"/>
      <c r="Q4" s="2308"/>
      <c r="R4" s="2308"/>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Hononegah Community High School District No. 207</v>
      </c>
      <c r="E7" s="391"/>
      <c r="G7" s="252"/>
      <c r="H7" s="387"/>
      <c r="I7" s="387"/>
      <c r="J7" s="387"/>
      <c r="K7" s="387"/>
      <c r="L7" s="329"/>
      <c r="M7" s="329"/>
      <c r="N7" s="329"/>
      <c r="O7" s="329"/>
      <c r="P7" s="329"/>
    </row>
    <row r="8" spans="1:18" ht="12.75" x14ac:dyDescent="0.2">
      <c r="A8" s="329"/>
      <c r="B8" s="329"/>
      <c r="C8" s="389" t="s">
        <v>1187</v>
      </c>
      <c r="D8" s="392" t="str">
        <f>COVER!A13</f>
        <v>04-101-2070-16</v>
      </c>
      <c r="E8" s="393"/>
      <c r="G8" s="329"/>
      <c r="H8" s="329"/>
      <c r="I8" s="329"/>
      <c r="J8" s="329"/>
      <c r="K8" s="329"/>
      <c r="L8" s="329"/>
      <c r="M8" s="329"/>
      <c r="N8" s="329"/>
      <c r="O8" s="329"/>
      <c r="P8" s="329"/>
    </row>
    <row r="9" spans="1:18" ht="12.75" x14ac:dyDescent="0.2">
      <c r="A9" s="329"/>
      <c r="B9" s="329"/>
      <c r="C9" s="389" t="s">
        <v>737</v>
      </c>
      <c r="D9" s="394" t="str">
        <f>COVER!A15</f>
        <v>Winnebago</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10883434</v>
      </c>
      <c r="I12" s="404"/>
      <c r="J12" s="404"/>
      <c r="K12" s="405">
        <f>TRUNC((H12/H13*100000),5)/100000</f>
        <v>0.42368093150000002</v>
      </c>
      <c r="L12" s="406"/>
      <c r="M12" s="360" t="s">
        <v>1206</v>
      </c>
      <c r="N12" s="360"/>
      <c r="O12" s="407">
        <v>0.35</v>
      </c>
      <c r="P12" s="218"/>
      <c r="Q12" s="218"/>
    </row>
    <row r="13" spans="1:18" s="408" customFormat="1" ht="12.75" x14ac:dyDescent="0.2">
      <c r="A13" s="218"/>
      <c r="B13" s="401"/>
      <c r="C13" s="2304" t="s">
        <v>1391</v>
      </c>
      <c r="D13" s="2305"/>
      <c r="E13" s="218"/>
      <c r="F13" s="409" t="s">
        <v>826</v>
      </c>
      <c r="G13" s="402"/>
      <c r="H13" s="403">
        <f>SUM('Acct Summary 7-8'!C8+'Acct Summary 7-8'!D8+'Acct Summary 7-8'!F8+'Acct Summary 7-8'!I8)+H14</f>
        <v>25687807</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25156683</v>
      </c>
      <c r="I17" s="404"/>
      <c r="J17" s="416"/>
      <c r="K17" s="405">
        <f>TRUNC((H17/H18*100000),5)/100000</f>
        <v>0.97932388699999995</v>
      </c>
      <c r="L17" s="406"/>
      <c r="M17" s="417" t="s">
        <v>1233</v>
      </c>
      <c r="O17" s="418" t="str">
        <f>IF(AND(O16="2", J20 &gt; 2),"1",IF(AND(O16 = "1", J20 &gt; 2),"2",IF(AND(O16="1", J20 &gt;1),"1","0")))</f>
        <v>0</v>
      </c>
      <c r="P17" s="218"/>
    </row>
    <row r="18" spans="1:18" s="408" customFormat="1" ht="11.25" x14ac:dyDescent="0.2">
      <c r="A18" s="218"/>
      <c r="B18" s="401"/>
      <c r="C18" s="2304" t="s">
        <v>1384</v>
      </c>
      <c r="D18" s="2305"/>
      <c r="E18" s="218"/>
      <c r="F18" s="419" t="s">
        <v>827</v>
      </c>
      <c r="G18" s="402"/>
      <c r="H18" s="403">
        <f>SUM('Acct Summary 7-8'!C8+'Acct Summary 7-8'!D8+'Acct Summary 7-8'!F8+'Acct Summary 7-8'!I8)+H19</f>
        <v>25687807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301" t="s">
        <v>1479</v>
      </c>
      <c r="D24" s="2301"/>
      <c r="E24" s="218"/>
      <c r="F24" s="218" t="s">
        <v>465</v>
      </c>
      <c r="G24" s="402"/>
      <c r="H24" s="403">
        <f>SUM('Assets-Liab 5-6'!C4+'Assets-Liab 5-6'!D4+'Assets-Liab 5-6'!F4+'Assets-Liab 5-6'!I4+'Assets-Liab 5-6'!C5+'Assets-Liab 5-6'!D5+'Assets-Liab 5-6'!F5+'Assets-Liab 5-6'!I5)</f>
        <v>11273847</v>
      </c>
      <c r="I24" s="422"/>
      <c r="J24" s="422"/>
      <c r="K24" s="423">
        <f>TRUNC(((H24/H25*100000)/100000),2)</f>
        <v>161.33000000000001</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69879.675000000003</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2069</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12794912.709899999</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2</v>
      </c>
      <c r="P31" s="216"/>
    </row>
    <row r="32" spans="1:18" s="408" customFormat="1" ht="11.25" x14ac:dyDescent="0.2">
      <c r="A32" s="218"/>
      <c r="B32" s="401"/>
      <c r="C32" s="218" t="s">
        <v>902</v>
      </c>
      <c r="D32" s="218"/>
      <c r="E32" s="218"/>
      <c r="F32" s="218"/>
      <c r="G32" s="402"/>
      <c r="H32" s="403">
        <f>'FP Info 3'!H37</f>
        <v>24405000</v>
      </c>
      <c r="I32" s="420"/>
      <c r="J32" s="420"/>
      <c r="K32" s="423">
        <f>TRUNC(100-((((H32/H33*100))*100)/100),2)</f>
        <v>47.9</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46849159.011000007</v>
      </c>
      <c r="I33" s="420"/>
      <c r="J33" s="420"/>
      <c r="K33" s="403"/>
      <c r="L33" s="218"/>
      <c r="M33" s="435" t="s">
        <v>1207</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3.6999999999999997</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1958"/>
      <c r="C2" s="1958"/>
      <c r="D2" s="1958"/>
      <c r="E2" s="1958"/>
      <c r="F2" s="1956"/>
      <c r="G2" s="1956"/>
      <c r="H2" s="1956"/>
      <c r="I2" s="1956"/>
      <c r="J2" s="1956"/>
      <c r="K2" s="1956"/>
      <c r="L2" s="1956"/>
    </row>
    <row r="3" spans="2:12" ht="13.5" customHeight="1" x14ac:dyDescent="0.2">
      <c r="B3" s="1958"/>
      <c r="C3" s="1958"/>
      <c r="D3" s="1958"/>
      <c r="E3" s="1958"/>
      <c r="F3" s="1956"/>
      <c r="G3" s="1956"/>
      <c r="H3" s="1956"/>
      <c r="I3" s="1956"/>
      <c r="J3" s="1956"/>
      <c r="K3" s="1956"/>
      <c r="L3" s="1956"/>
    </row>
    <row r="4" spans="2:12" ht="13.5" customHeight="1" x14ac:dyDescent="0.2">
      <c r="B4" s="1958"/>
      <c r="C4" s="1958"/>
      <c r="D4" s="1958"/>
      <c r="E4" s="1958"/>
      <c r="F4" s="1956"/>
      <c r="G4" s="1956"/>
      <c r="H4" s="1956"/>
      <c r="I4" s="1956"/>
      <c r="J4" s="1956"/>
      <c r="K4" s="1956"/>
      <c r="L4" s="1956"/>
    </row>
    <row r="5" spans="2:12" ht="13.5" customHeight="1" x14ac:dyDescent="0.2">
      <c r="B5" s="1958"/>
      <c r="C5" s="1958"/>
      <c r="D5" s="1958"/>
      <c r="E5" s="1958"/>
      <c r="F5" s="1956"/>
      <c r="G5" s="1956"/>
      <c r="H5" s="1956"/>
      <c r="I5" s="1956"/>
      <c r="J5" s="1956"/>
      <c r="K5" s="1956"/>
      <c r="L5" s="1956"/>
    </row>
    <row r="6" spans="2:12" ht="13.5" customHeight="1" x14ac:dyDescent="0.2">
      <c r="B6" s="1958"/>
      <c r="C6" s="1958"/>
      <c r="D6" s="1958"/>
      <c r="E6" s="1958"/>
      <c r="F6" s="1956"/>
      <c r="G6" s="1956"/>
      <c r="H6" s="1956"/>
      <c r="I6" s="1956"/>
      <c r="J6" s="1956"/>
      <c r="K6" s="1956"/>
      <c r="L6" s="1956"/>
    </row>
    <row r="7" spans="2:12" ht="13.5" customHeight="1" x14ac:dyDescent="0.2">
      <c r="B7" s="1958"/>
      <c r="C7" s="1958"/>
      <c r="D7" s="1958"/>
      <c r="E7" s="1958"/>
      <c r="F7" s="1956"/>
      <c r="G7" s="1956"/>
      <c r="H7" s="1956"/>
      <c r="I7" s="1956"/>
      <c r="J7" s="1956"/>
      <c r="K7" s="1956"/>
      <c r="L7" s="1956"/>
    </row>
    <row r="8" spans="2:12" ht="13.5" customHeight="1" x14ac:dyDescent="0.2">
      <c r="B8" s="1958"/>
      <c r="C8" s="1958"/>
      <c r="D8" s="1958"/>
      <c r="E8" s="1958"/>
      <c r="F8" s="1956"/>
      <c r="G8" s="1956"/>
      <c r="H8" s="1956"/>
      <c r="I8" s="1956"/>
      <c r="J8" s="1956"/>
      <c r="K8" s="1956"/>
      <c r="L8" s="1956"/>
    </row>
    <row r="9" spans="2:12" ht="13.5" customHeight="1" x14ac:dyDescent="0.2">
      <c r="B9" s="1958"/>
      <c r="C9" s="1958"/>
      <c r="D9" s="1958"/>
      <c r="E9" s="1958"/>
      <c r="F9" s="1956"/>
      <c r="G9" s="1956"/>
      <c r="H9" s="1956"/>
      <c r="I9" s="1956"/>
      <c r="J9" s="1956"/>
      <c r="K9" s="1956"/>
      <c r="L9" s="1956"/>
    </row>
    <row r="10" spans="2:12" ht="13.5" customHeight="1" x14ac:dyDescent="0.2">
      <c r="B10" s="1958"/>
      <c r="C10" s="1958"/>
      <c r="D10" s="1958"/>
      <c r="E10" s="1958"/>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7</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2125</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2130</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2337</v>
      </c>
    </row>
    <row r="31" spans="2:9" ht="13.5" customHeight="1" x14ac:dyDescent="0.2">
      <c r="B31" s="1962"/>
      <c r="C31" s="1962"/>
      <c r="D31" s="1962"/>
      <c r="E31" s="2704"/>
    </row>
    <row r="32" spans="2:9" ht="28.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c r="B35" s="1973"/>
      <c r="C35" s="1973"/>
      <c r="D35" s="1973"/>
    </row>
    <row r="36" spans="2:5" ht="13.5" customHeight="1" x14ac:dyDescent="0.2"/>
    <row r="37" spans="2:5" ht="13.5" customHeight="1" x14ac:dyDescent="0.2"/>
    <row r="38" spans="2:5" ht="13.5" customHeight="1" x14ac:dyDescent="0.2"/>
    <row r="39" spans="2:5" ht="13.5" customHeight="1" x14ac:dyDescent="0.2">
      <c r="B39" s="1974"/>
      <c r="C39" s="1974"/>
      <c r="D39" s="1974"/>
    </row>
    <row r="40" spans="2:5" ht="13.5" customHeight="1" x14ac:dyDescent="0.2">
      <c r="B40" s="1974"/>
      <c r="C40" s="1974"/>
      <c r="D40" s="1974"/>
    </row>
    <row r="41" spans="2:5" ht="13.5" customHeight="1" x14ac:dyDescent="0.2">
      <c r="B41" s="1974"/>
      <c r="C41" s="1974"/>
      <c r="D41" s="1974"/>
    </row>
    <row r="42" spans="2:5" ht="13.5" customHeight="1" x14ac:dyDescent="0.2">
      <c r="B42" s="1974"/>
      <c r="C42" s="1974"/>
      <c r="D42" s="1974"/>
    </row>
    <row r="43" spans="2:5" ht="13.5" customHeight="1" x14ac:dyDescent="0.2">
      <c r="B43" s="1975"/>
      <c r="C43" s="1975"/>
      <c r="D43" s="1975"/>
      <c r="E43" s="1976"/>
    </row>
    <row r="44" spans="2:5" ht="12.2" customHeight="1" x14ac:dyDescent="0.2">
      <c r="B44" s="1977" t="s">
        <v>2147</v>
      </c>
      <c r="C44" s="1977"/>
      <c r="D44" s="1977"/>
    </row>
    <row r="45" spans="2:5" ht="12.2" customHeight="1" x14ac:dyDescent="0.2">
      <c r="B45" s="1978"/>
      <c r="C45" s="1978"/>
      <c r="D45" s="1978"/>
    </row>
    <row r="46" spans="2:5" ht="12.75" customHeight="1" x14ac:dyDescent="0.2">
      <c r="B46" s="1979"/>
      <c r="C46" s="1979"/>
      <c r="D46" s="1979"/>
    </row>
    <row r="47" spans="2:5" ht="12.75" customHeight="1" x14ac:dyDescent="0.2">
      <c r="B47" s="1979"/>
      <c r="C47" s="1979"/>
      <c r="D47" s="1979"/>
    </row>
    <row r="48" spans="2:5"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E32"/>
    <mergeCell ref="B1:E1"/>
    <mergeCell ref="B12:E12"/>
    <mergeCell ref="B13:E13"/>
    <mergeCell ref="B14:E14"/>
    <mergeCell ref="B21:E21"/>
    <mergeCell ref="B24:E24"/>
  </mergeCells>
  <pageMargins left="0.25" right="0.27" top="0.68" bottom="0.53" header="0.26" footer="0.27"/>
  <pageSetup scale="96" firstPageNumber="44" orientation="portrait" useFirstPageNumber="1"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2102"/>
      <c r="C2" s="2102"/>
      <c r="D2" s="2102"/>
      <c r="E2" s="2102"/>
      <c r="F2" s="1956"/>
      <c r="G2" s="1956"/>
      <c r="H2" s="1956"/>
      <c r="I2" s="1956"/>
      <c r="J2" s="1956"/>
      <c r="K2" s="1956"/>
      <c r="L2" s="1956"/>
    </row>
    <row r="3" spans="2:12" ht="13.5" customHeight="1" x14ac:dyDescent="0.2">
      <c r="B3" s="2102"/>
      <c r="C3" s="2102"/>
      <c r="D3" s="2102"/>
      <c r="E3" s="2102"/>
      <c r="F3" s="1956"/>
      <c r="G3" s="1956"/>
      <c r="H3" s="1956"/>
      <c r="I3" s="1956"/>
      <c r="J3" s="1956"/>
      <c r="K3" s="1956"/>
      <c r="L3" s="1956"/>
    </row>
    <row r="4" spans="2:12" ht="13.5" customHeight="1" x14ac:dyDescent="0.2">
      <c r="B4" s="2102"/>
      <c r="C4" s="2102"/>
      <c r="D4" s="2102"/>
      <c r="E4" s="2102"/>
      <c r="F4" s="1956"/>
      <c r="G4" s="1956"/>
      <c r="H4" s="1956"/>
      <c r="I4" s="1956"/>
      <c r="J4" s="1956"/>
      <c r="K4" s="1956"/>
      <c r="L4" s="1956"/>
    </row>
    <row r="5" spans="2:12" ht="13.5" customHeight="1" x14ac:dyDescent="0.2">
      <c r="B5" s="2102"/>
      <c r="C5" s="2102"/>
      <c r="D5" s="2102"/>
      <c r="E5" s="2102"/>
      <c r="F5" s="1956"/>
      <c r="G5" s="1956"/>
      <c r="H5" s="1956"/>
      <c r="I5" s="1956"/>
      <c r="J5" s="1956"/>
      <c r="K5" s="1956"/>
      <c r="L5" s="1956"/>
    </row>
    <row r="6" spans="2:12" ht="13.5" customHeight="1" x14ac:dyDescent="0.2">
      <c r="B6" s="2102"/>
      <c r="C6" s="2102"/>
      <c r="D6" s="2102"/>
      <c r="E6" s="2102"/>
      <c r="F6" s="1956"/>
      <c r="G6" s="1956"/>
      <c r="H6" s="1956"/>
      <c r="I6" s="1956"/>
      <c r="J6" s="1956"/>
      <c r="K6" s="1956"/>
      <c r="L6" s="1956"/>
    </row>
    <row r="7" spans="2:12" ht="13.5" customHeight="1" x14ac:dyDescent="0.2">
      <c r="B7" s="2102"/>
      <c r="C7" s="2102"/>
      <c r="D7" s="2102"/>
      <c r="E7" s="2102"/>
      <c r="F7" s="1956"/>
      <c r="G7" s="1956"/>
      <c r="H7" s="1956"/>
      <c r="I7" s="1956"/>
      <c r="J7" s="1956"/>
      <c r="K7" s="1956"/>
      <c r="L7" s="1956"/>
    </row>
    <row r="8" spans="2:12" ht="13.5" customHeight="1" x14ac:dyDescent="0.2">
      <c r="B8" s="2102"/>
      <c r="C8" s="2102"/>
      <c r="D8" s="2102"/>
      <c r="E8" s="2102"/>
      <c r="F8" s="1956"/>
      <c r="G8" s="1956"/>
      <c r="H8" s="1956"/>
      <c r="I8" s="1956"/>
      <c r="J8" s="1956"/>
      <c r="K8" s="1956"/>
      <c r="L8" s="1956"/>
    </row>
    <row r="9" spans="2:12" ht="13.5" customHeight="1" x14ac:dyDescent="0.2">
      <c r="B9" s="2102"/>
      <c r="C9" s="2102"/>
      <c r="D9" s="2102"/>
      <c r="E9" s="2102"/>
      <c r="F9" s="1956"/>
      <c r="G9" s="1956"/>
      <c r="H9" s="1956"/>
      <c r="I9" s="1956"/>
      <c r="J9" s="1956"/>
      <c r="K9" s="1956"/>
      <c r="L9" s="1956"/>
    </row>
    <row r="10" spans="2:12" ht="13.5" customHeight="1" x14ac:dyDescent="0.2">
      <c r="B10" s="2102"/>
      <c r="C10" s="2102"/>
      <c r="D10" s="2102"/>
      <c r="E10" s="2102"/>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8</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2298</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2322</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2334</v>
      </c>
    </row>
    <row r="31" spans="2:9" ht="13.5" customHeight="1" x14ac:dyDescent="0.2">
      <c r="B31" s="1962"/>
      <c r="C31" s="1962"/>
      <c r="D31" s="1962"/>
      <c r="E31" s="2704"/>
    </row>
    <row r="32" spans="2:9" ht="28.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c r="B35" s="1973"/>
      <c r="C35" s="1973"/>
      <c r="D35" s="1973"/>
    </row>
    <row r="36" spans="2:5" ht="13.5" customHeight="1" x14ac:dyDescent="0.2"/>
    <row r="37" spans="2:5" ht="13.5" customHeight="1" x14ac:dyDescent="0.2"/>
    <row r="38" spans="2:5" ht="13.5" customHeight="1" x14ac:dyDescent="0.2"/>
    <row r="39" spans="2:5" ht="13.5" customHeight="1" x14ac:dyDescent="0.2">
      <c r="B39" s="1974"/>
      <c r="C39" s="1974"/>
      <c r="D39" s="1974"/>
    </row>
    <row r="40" spans="2:5" ht="13.5" customHeight="1" x14ac:dyDescent="0.2">
      <c r="B40" s="1974"/>
      <c r="C40" s="1974"/>
      <c r="D40" s="1974"/>
    </row>
    <row r="41" spans="2:5" ht="13.5" customHeight="1" x14ac:dyDescent="0.2">
      <c r="B41" s="1974"/>
      <c r="C41" s="1974"/>
      <c r="D41" s="1974"/>
    </row>
    <row r="42" spans="2:5" ht="13.5" customHeight="1" x14ac:dyDescent="0.2">
      <c r="B42" s="1974"/>
      <c r="C42" s="1974"/>
      <c r="D42" s="1974"/>
    </row>
    <row r="43" spans="2:5" ht="13.5" customHeight="1" x14ac:dyDescent="0.2">
      <c r="B43" s="1975"/>
      <c r="C43" s="1975"/>
      <c r="D43" s="1975"/>
      <c r="E43" s="1976"/>
    </row>
    <row r="44" spans="2:5" ht="12.2" customHeight="1" x14ac:dyDescent="0.2">
      <c r="B44" s="1977" t="s">
        <v>2147</v>
      </c>
      <c r="C44" s="1977"/>
      <c r="D44" s="1977"/>
    </row>
    <row r="45" spans="2:5" ht="12.2" customHeight="1" x14ac:dyDescent="0.2">
      <c r="B45" s="1978"/>
      <c r="C45" s="1978"/>
      <c r="D45" s="1978"/>
    </row>
    <row r="46" spans="2:5" ht="12.75" customHeight="1" x14ac:dyDescent="0.2">
      <c r="B46" s="1979"/>
      <c r="C46" s="1979"/>
      <c r="D46" s="1979"/>
    </row>
    <row r="47" spans="2:5" ht="12.75" customHeight="1" x14ac:dyDescent="0.2">
      <c r="B47" s="1979"/>
      <c r="C47" s="1979"/>
      <c r="D47" s="1979"/>
    </row>
    <row r="48" spans="2:5"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E32"/>
    <mergeCell ref="B1:E1"/>
    <mergeCell ref="B12:E12"/>
    <mergeCell ref="B13:E13"/>
    <mergeCell ref="B14:E14"/>
    <mergeCell ref="B21:E21"/>
    <mergeCell ref="B24:E24"/>
  </mergeCells>
  <pageMargins left="0.25" right="0.27" top="0.68" bottom="0.53" header="0.26" footer="0.27"/>
  <pageSetup scale="96" firstPageNumber="44" orientation="portrait" useFirstPageNumber="1"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2102"/>
      <c r="C2" s="2102"/>
      <c r="D2" s="2102"/>
      <c r="E2" s="2102"/>
      <c r="F2" s="1956"/>
      <c r="G2" s="1956"/>
      <c r="H2" s="1956"/>
      <c r="I2" s="1956"/>
      <c r="J2" s="1956"/>
      <c r="K2" s="1956"/>
      <c r="L2" s="1956"/>
    </row>
    <row r="3" spans="2:12" ht="13.5" customHeight="1" x14ac:dyDescent="0.2">
      <c r="B3" s="2102"/>
      <c r="C3" s="2102"/>
      <c r="D3" s="2102"/>
      <c r="E3" s="2102"/>
      <c r="F3" s="1956"/>
      <c r="G3" s="1956"/>
      <c r="H3" s="1956"/>
      <c r="I3" s="1956"/>
      <c r="J3" s="1956"/>
      <c r="K3" s="1956"/>
      <c r="L3" s="1956"/>
    </row>
    <row r="4" spans="2:12" ht="13.5" customHeight="1" x14ac:dyDescent="0.2">
      <c r="B4" s="2102"/>
      <c r="C4" s="2102"/>
      <c r="D4" s="2102"/>
      <c r="E4" s="2102"/>
      <c r="F4" s="1956"/>
      <c r="G4" s="1956"/>
      <c r="H4" s="1956"/>
      <c r="I4" s="1956"/>
      <c r="J4" s="1956"/>
      <c r="K4" s="1956"/>
      <c r="L4" s="1956"/>
    </row>
    <row r="5" spans="2:12" ht="13.5" customHeight="1" x14ac:dyDescent="0.2">
      <c r="B5" s="2102"/>
      <c r="C5" s="2102"/>
      <c r="D5" s="2102"/>
      <c r="E5" s="2102"/>
      <c r="F5" s="1956"/>
      <c r="G5" s="1956"/>
      <c r="H5" s="1956"/>
      <c r="I5" s="1956"/>
      <c r="J5" s="1956"/>
      <c r="K5" s="1956"/>
      <c r="L5" s="1956"/>
    </row>
    <row r="6" spans="2:12" ht="13.5" customHeight="1" x14ac:dyDescent="0.2">
      <c r="B6" s="2102"/>
      <c r="C6" s="2102"/>
      <c r="D6" s="2102"/>
      <c r="E6" s="2102"/>
      <c r="F6" s="1956"/>
      <c r="G6" s="1956"/>
      <c r="H6" s="1956"/>
      <c r="I6" s="1956"/>
      <c r="J6" s="1956"/>
      <c r="K6" s="1956"/>
      <c r="L6" s="1956"/>
    </row>
    <row r="7" spans="2:12" ht="13.5" customHeight="1" x14ac:dyDescent="0.2">
      <c r="B7" s="2102"/>
      <c r="C7" s="2102"/>
      <c r="D7" s="2102"/>
      <c r="E7" s="2102"/>
      <c r="F7" s="1956"/>
      <c r="G7" s="1956"/>
      <c r="H7" s="1956"/>
      <c r="I7" s="1956"/>
      <c r="J7" s="1956"/>
      <c r="K7" s="1956"/>
      <c r="L7" s="1956"/>
    </row>
    <row r="8" spans="2:12" ht="13.5" customHeight="1" x14ac:dyDescent="0.2">
      <c r="B8" s="2102"/>
      <c r="C8" s="2102"/>
      <c r="D8" s="2102"/>
      <c r="E8" s="2102"/>
      <c r="F8" s="1956"/>
      <c r="G8" s="1956"/>
      <c r="H8" s="1956"/>
      <c r="I8" s="1956"/>
      <c r="J8" s="1956"/>
      <c r="K8" s="1956"/>
      <c r="L8" s="1956"/>
    </row>
    <row r="9" spans="2:12" ht="13.5" customHeight="1" x14ac:dyDescent="0.2">
      <c r="B9" s="2102"/>
      <c r="C9" s="2102"/>
      <c r="D9" s="2102"/>
      <c r="E9" s="2102"/>
      <c r="F9" s="1956"/>
      <c r="G9" s="1956"/>
      <c r="H9" s="1956"/>
      <c r="I9" s="1956"/>
      <c r="J9" s="1956"/>
      <c r="K9" s="1956"/>
      <c r="L9" s="1956"/>
    </row>
    <row r="10" spans="2:12" ht="13.5" customHeight="1" x14ac:dyDescent="0.2">
      <c r="B10" s="2102"/>
      <c r="C10" s="2102"/>
      <c r="D10" s="2102"/>
      <c r="E10" s="2102"/>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9</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2285</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2303</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2335</v>
      </c>
    </row>
    <row r="31" spans="2:9" ht="13.5" customHeight="1" x14ac:dyDescent="0.2">
      <c r="B31" s="1962"/>
      <c r="C31" s="1962"/>
      <c r="D31" s="1962"/>
      <c r="E31" s="2704"/>
    </row>
    <row r="32" spans="2:9" ht="28.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c r="B35" s="1973"/>
      <c r="C35" s="1973"/>
      <c r="D35" s="1973"/>
    </row>
    <row r="36" spans="2:5" ht="13.5" customHeight="1" x14ac:dyDescent="0.2"/>
    <row r="37" spans="2:5" ht="13.5" customHeight="1" x14ac:dyDescent="0.2"/>
    <row r="38" spans="2:5" ht="13.5" customHeight="1" x14ac:dyDescent="0.2"/>
    <row r="39" spans="2:5" ht="13.5" customHeight="1" x14ac:dyDescent="0.2">
      <c r="B39" s="1974"/>
      <c r="C39" s="1974"/>
      <c r="D39" s="1974"/>
    </row>
    <row r="40" spans="2:5" ht="13.5" customHeight="1" x14ac:dyDescent="0.2">
      <c r="B40" s="1974"/>
      <c r="C40" s="1974"/>
      <c r="D40" s="1974"/>
    </row>
    <row r="41" spans="2:5" ht="13.5" customHeight="1" x14ac:dyDescent="0.2">
      <c r="B41" s="1974"/>
      <c r="C41" s="1974"/>
      <c r="D41" s="1974"/>
    </row>
    <row r="42" spans="2:5" ht="13.5" customHeight="1" x14ac:dyDescent="0.2">
      <c r="B42" s="1974"/>
      <c r="C42" s="1974"/>
      <c r="D42" s="1974"/>
    </row>
    <row r="43" spans="2:5" ht="13.5" customHeight="1" x14ac:dyDescent="0.2">
      <c r="B43" s="1975"/>
      <c r="C43" s="1975"/>
      <c r="D43" s="1975"/>
      <c r="E43" s="1976"/>
    </row>
    <row r="44" spans="2:5" ht="12.2" customHeight="1" x14ac:dyDescent="0.2">
      <c r="B44" s="1977" t="s">
        <v>2147</v>
      </c>
      <c r="C44" s="1977"/>
      <c r="D44" s="1977"/>
    </row>
    <row r="45" spans="2:5" ht="12.2" customHeight="1" x14ac:dyDescent="0.2">
      <c r="B45" s="1978"/>
      <c r="C45" s="1978"/>
      <c r="D45" s="1978"/>
    </row>
    <row r="46" spans="2:5" ht="12.75" customHeight="1" x14ac:dyDescent="0.2">
      <c r="B46" s="1979"/>
      <c r="C46" s="1979"/>
      <c r="D46" s="1979"/>
    </row>
    <row r="47" spans="2:5" ht="12.75" customHeight="1" x14ac:dyDescent="0.2">
      <c r="B47" s="1979"/>
      <c r="C47" s="1979"/>
      <c r="D47" s="1979"/>
    </row>
    <row r="48" spans="2:5"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E32"/>
    <mergeCell ref="B1:E1"/>
    <mergeCell ref="B12:E12"/>
    <mergeCell ref="B13:E13"/>
    <mergeCell ref="B14:E14"/>
    <mergeCell ref="B21:E21"/>
    <mergeCell ref="B24:E24"/>
  </mergeCells>
  <pageMargins left="0.25" right="0.27" top="0.68" bottom="0.53" header="0.26" footer="0.27"/>
  <pageSetup scale="96" firstPageNumber="44" orientation="portrait" useFirstPageNumber="1"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showGridLines="0" zoomScale="110" zoomScaleNormal="110" zoomScaleSheetLayoutView="100" workbookViewId="0"/>
  </sheetViews>
  <sheetFormatPr defaultColWidth="9.140625" defaultRowHeight="12.75" x14ac:dyDescent="0.2"/>
  <cols>
    <col min="1" max="1" width="1.5703125" style="1957" customWidth="1"/>
    <col min="2" max="2" width="11.28515625" style="1957" customWidth="1"/>
    <col min="3" max="3" width="6.42578125" style="1957" customWidth="1"/>
    <col min="4" max="4" width="5.42578125" style="1957" customWidth="1"/>
    <col min="5" max="5" width="74.7109375" style="1957" customWidth="1"/>
    <col min="6" max="6" width="1.5703125" style="1957" customWidth="1"/>
    <col min="7" max="8" width="2.42578125" style="1957" customWidth="1"/>
    <col min="9" max="9" width="9.28515625" style="1957" customWidth="1"/>
    <col min="10" max="10" width="14.42578125" style="1957" customWidth="1"/>
    <col min="11" max="11" width="7.28515625" style="1957" customWidth="1"/>
    <col min="12" max="12" width="3.140625" style="1957" customWidth="1"/>
    <col min="13" max="16384" width="9.140625" style="1957"/>
  </cols>
  <sheetData>
    <row r="1" spans="2:12" ht="13.5" customHeight="1" x14ac:dyDescent="0.2">
      <c r="B1" s="2706"/>
      <c r="C1" s="2706"/>
      <c r="D1" s="2706"/>
      <c r="E1" s="2706"/>
      <c r="F1" s="1956"/>
      <c r="G1" s="1956"/>
      <c r="H1" s="1956"/>
      <c r="I1" s="1956"/>
      <c r="J1" s="1956"/>
      <c r="K1" s="1956"/>
      <c r="L1" s="1956"/>
    </row>
    <row r="2" spans="2:12" ht="13.5" customHeight="1" x14ac:dyDescent="0.2">
      <c r="B2" s="2102"/>
      <c r="C2" s="2102"/>
      <c r="D2" s="2102"/>
      <c r="E2" s="2102"/>
      <c r="F2" s="1956"/>
      <c r="G2" s="1956"/>
      <c r="H2" s="1956"/>
      <c r="I2" s="1956"/>
      <c r="J2" s="1956"/>
      <c r="K2" s="1956"/>
      <c r="L2" s="1956"/>
    </row>
    <row r="3" spans="2:12" ht="13.5" customHeight="1" x14ac:dyDescent="0.2">
      <c r="B3" s="2102"/>
      <c r="C3" s="2102"/>
      <c r="D3" s="2102"/>
      <c r="E3" s="2102"/>
      <c r="F3" s="1956"/>
      <c r="G3" s="1956"/>
      <c r="H3" s="1956"/>
      <c r="I3" s="1956"/>
      <c r="J3" s="1956"/>
      <c r="K3" s="1956"/>
      <c r="L3" s="1956"/>
    </row>
    <row r="4" spans="2:12" ht="13.5" customHeight="1" x14ac:dyDescent="0.2">
      <c r="B4" s="2102"/>
      <c r="C4" s="2102"/>
      <c r="D4" s="2102"/>
      <c r="E4" s="2102"/>
      <c r="F4" s="1956"/>
      <c r="G4" s="1956"/>
      <c r="H4" s="1956"/>
      <c r="I4" s="1956"/>
      <c r="J4" s="1956"/>
      <c r="K4" s="1956"/>
      <c r="L4" s="1956"/>
    </row>
    <row r="5" spans="2:12" ht="13.5" customHeight="1" x14ac:dyDescent="0.2">
      <c r="B5" s="2102"/>
      <c r="C5" s="2102"/>
      <c r="D5" s="2102"/>
      <c r="E5" s="2102"/>
      <c r="F5" s="1956"/>
      <c r="G5" s="1956"/>
      <c r="H5" s="1956"/>
      <c r="I5" s="1956"/>
      <c r="J5" s="1956"/>
      <c r="K5" s="1956"/>
      <c r="L5" s="1956"/>
    </row>
    <row r="6" spans="2:12" ht="13.5" customHeight="1" x14ac:dyDescent="0.2">
      <c r="B6" s="2102"/>
      <c r="C6" s="2102"/>
      <c r="D6" s="2102"/>
      <c r="E6" s="2102"/>
      <c r="F6" s="1956"/>
      <c r="G6" s="1956"/>
      <c r="H6" s="1956"/>
      <c r="I6" s="1956"/>
      <c r="J6" s="1956"/>
      <c r="K6" s="1956"/>
      <c r="L6" s="1956"/>
    </row>
    <row r="7" spans="2:12" ht="13.5" customHeight="1" x14ac:dyDescent="0.2">
      <c r="B7" s="2102"/>
      <c r="C7" s="2102"/>
      <c r="D7" s="2102"/>
      <c r="E7" s="2102"/>
      <c r="F7" s="1956"/>
      <c r="G7" s="1956"/>
      <c r="H7" s="1956"/>
      <c r="I7" s="1956"/>
      <c r="J7" s="1956"/>
      <c r="K7" s="1956"/>
      <c r="L7" s="1956"/>
    </row>
    <row r="8" spans="2:12" ht="13.5" customHeight="1" x14ac:dyDescent="0.2">
      <c r="B8" s="2102"/>
      <c r="C8" s="2102"/>
      <c r="D8" s="2102"/>
      <c r="E8" s="2102"/>
      <c r="F8" s="1956"/>
      <c r="G8" s="1956"/>
      <c r="H8" s="1956"/>
      <c r="I8" s="1956"/>
      <c r="J8" s="1956"/>
      <c r="K8" s="1956"/>
      <c r="L8" s="1956"/>
    </row>
    <row r="9" spans="2:12" ht="13.5" customHeight="1" x14ac:dyDescent="0.2">
      <c r="B9" s="2102"/>
      <c r="C9" s="2102"/>
      <c r="D9" s="2102"/>
      <c r="E9" s="2102"/>
      <c r="F9" s="1956"/>
      <c r="G9" s="1956"/>
      <c r="H9" s="1956"/>
      <c r="I9" s="1956"/>
      <c r="J9" s="1956"/>
      <c r="K9" s="1956"/>
      <c r="L9" s="1956"/>
    </row>
    <row r="10" spans="2:12" ht="13.5" customHeight="1" x14ac:dyDescent="0.2">
      <c r="B10" s="2102"/>
      <c r="C10" s="2102"/>
      <c r="D10" s="2102"/>
      <c r="E10" s="2102"/>
      <c r="F10" s="1956"/>
      <c r="G10" s="1956"/>
      <c r="H10" s="1956"/>
      <c r="I10" s="1956"/>
      <c r="J10" s="1956"/>
      <c r="K10" s="1956"/>
      <c r="L10" s="1956"/>
    </row>
    <row r="11" spans="2:12" ht="13.5" customHeight="1" x14ac:dyDescent="0.2">
      <c r="F11" s="1959"/>
      <c r="G11" s="1959"/>
      <c r="H11" s="1959"/>
      <c r="I11" s="1959"/>
      <c r="J11" s="1959"/>
      <c r="K11" s="1959"/>
      <c r="L11" s="1959"/>
    </row>
    <row r="12" spans="2:12" ht="13.5" customHeight="1" x14ac:dyDescent="0.2">
      <c r="B12" s="2707" t="s">
        <v>2138</v>
      </c>
      <c r="C12" s="2707"/>
      <c r="D12" s="2707"/>
      <c r="E12" s="2707"/>
      <c r="F12" s="1960"/>
      <c r="G12" s="1960"/>
      <c r="H12" s="1960"/>
      <c r="I12" s="1960"/>
      <c r="J12" s="1960"/>
      <c r="K12" s="1960"/>
      <c r="L12" s="1960"/>
    </row>
    <row r="13" spans="2:12" ht="13.5" customHeight="1" x14ac:dyDescent="0.2">
      <c r="B13" s="2708" t="str">
        <f>'Single Audit Cover'!E7</f>
        <v>04-101-2070-16</v>
      </c>
      <c r="C13" s="2708"/>
      <c r="D13" s="2708"/>
      <c r="E13" s="2708"/>
      <c r="F13" s="1960"/>
      <c r="G13" s="1960"/>
      <c r="H13" s="1960"/>
      <c r="I13" s="1960"/>
      <c r="J13" s="1960"/>
      <c r="K13" s="1960"/>
      <c r="L13" s="1960"/>
    </row>
    <row r="14" spans="2:12" ht="13.5" customHeight="1" x14ac:dyDescent="0.2">
      <c r="B14" s="2709" t="str">
        <f>'Single Audit Cover'!A4</f>
        <v>Year Ending June 30, 2018</v>
      </c>
      <c r="C14" s="2709"/>
      <c r="D14" s="2709"/>
      <c r="E14" s="2709"/>
      <c r="F14" s="1961"/>
      <c r="G14" s="1961"/>
      <c r="H14" s="1961"/>
      <c r="I14" s="1961"/>
      <c r="J14" s="1961"/>
      <c r="K14" s="1961"/>
      <c r="L14" s="1961"/>
    </row>
    <row r="15" spans="2:12" ht="29.85" customHeight="1" x14ac:dyDescent="0.2">
      <c r="B15" s="1962"/>
      <c r="C15" s="1962"/>
      <c r="D15" s="1962"/>
      <c r="E15" s="1962"/>
      <c r="F15" s="1962"/>
      <c r="G15" s="1962"/>
      <c r="H15" s="1962"/>
      <c r="I15" s="1962"/>
    </row>
    <row r="16" spans="2:12" ht="13.5" customHeight="1" x14ac:dyDescent="0.2">
      <c r="B16" s="1963" t="s">
        <v>2139</v>
      </c>
      <c r="C16" s="1963"/>
      <c r="D16" s="1964"/>
      <c r="E16" s="1965"/>
      <c r="F16" s="1965"/>
      <c r="G16" s="1966"/>
      <c r="H16" s="1966"/>
      <c r="I16" s="1966"/>
    </row>
    <row r="17" spans="2:9" ht="13.5" customHeight="1" x14ac:dyDescent="0.2">
      <c r="B17" s="1962" t="s">
        <v>1231</v>
      </c>
      <c r="C17" s="1962"/>
      <c r="D17" s="1962"/>
      <c r="E17" s="1962"/>
      <c r="F17" s="1962"/>
      <c r="G17" s="1962"/>
      <c r="H17" s="1962"/>
      <c r="I17" s="1962"/>
    </row>
    <row r="18" spans="2:9" ht="13.5" customHeight="1" x14ac:dyDescent="0.2">
      <c r="B18" s="1967" t="s">
        <v>2140</v>
      </c>
      <c r="C18" s="1968" t="s">
        <v>1950</v>
      </c>
      <c r="D18" s="1969">
        <v>10</v>
      </c>
      <c r="E18" s="1962"/>
      <c r="F18" s="1962"/>
      <c r="G18" s="1962"/>
      <c r="H18" s="1962"/>
      <c r="I18" s="1962"/>
    </row>
    <row r="19" spans="2:9" ht="13.5" customHeight="1" x14ac:dyDescent="0.2">
      <c r="B19" s="1970"/>
      <c r="C19" s="1970"/>
      <c r="D19" s="1970"/>
    </row>
    <row r="20" spans="2:9" ht="13.5" customHeight="1" x14ac:dyDescent="0.2">
      <c r="B20" s="1967" t="s">
        <v>2141</v>
      </c>
      <c r="C20" s="1967"/>
      <c r="D20" s="1962"/>
    </row>
    <row r="21" spans="2:9" ht="66.75" customHeight="1" x14ac:dyDescent="0.2">
      <c r="B21" s="2704" t="s">
        <v>2293</v>
      </c>
      <c r="C21" s="2704"/>
      <c r="D21" s="2705"/>
      <c r="E21" s="2705"/>
    </row>
    <row r="22" spans="2:9" ht="13.5" customHeight="1" x14ac:dyDescent="0.2">
      <c r="B22" s="1962"/>
      <c r="C22" s="1962"/>
      <c r="D22" s="1962"/>
    </row>
    <row r="23" spans="2:9" ht="13.5" customHeight="1" x14ac:dyDescent="0.2">
      <c r="B23" s="1967" t="s">
        <v>2142</v>
      </c>
      <c r="C23" s="1967"/>
      <c r="D23" s="1962"/>
    </row>
    <row r="24" spans="2:9" ht="76.5" customHeight="1" x14ac:dyDescent="0.2">
      <c r="B24" s="2704" t="s">
        <v>2304</v>
      </c>
      <c r="C24" s="2704"/>
      <c r="D24" s="2705"/>
      <c r="E24" s="2705"/>
    </row>
    <row r="25" spans="2:9" ht="13.5" customHeight="1" x14ac:dyDescent="0.2">
      <c r="B25" s="1962"/>
      <c r="C25" s="1962"/>
      <c r="D25" s="1962"/>
    </row>
    <row r="26" spans="2:9" ht="13.5" customHeight="1" x14ac:dyDescent="0.2">
      <c r="B26" s="1967" t="s">
        <v>2144</v>
      </c>
      <c r="C26" s="1967"/>
      <c r="D26" s="1962"/>
      <c r="E26" s="1971">
        <v>43646</v>
      </c>
    </row>
    <row r="27" spans="2:9" ht="13.5" customHeight="1" x14ac:dyDescent="0.2">
      <c r="B27" s="1962"/>
      <c r="C27" s="1962"/>
      <c r="D27" s="1962"/>
    </row>
    <row r="28" spans="2:9" ht="13.5" customHeight="1" x14ac:dyDescent="0.2">
      <c r="B28" s="1967" t="s">
        <v>2145</v>
      </c>
      <c r="C28" s="1967"/>
      <c r="D28" s="1962"/>
      <c r="E28" s="1972" t="s">
        <v>2148</v>
      </c>
    </row>
    <row r="29" spans="2:9" ht="13.5" customHeight="1" x14ac:dyDescent="0.2">
      <c r="B29" s="1962"/>
      <c r="C29" s="1962"/>
      <c r="D29" s="1962"/>
    </row>
    <row r="30" spans="2:9" ht="13.5" customHeight="1" x14ac:dyDescent="0.2">
      <c r="B30" s="1967" t="s">
        <v>2146</v>
      </c>
      <c r="C30" s="1967"/>
      <c r="D30" s="1962"/>
      <c r="E30" s="2704" t="s">
        <v>2336</v>
      </c>
    </row>
    <row r="31" spans="2:9" ht="13.5" customHeight="1" x14ac:dyDescent="0.2">
      <c r="B31" s="1962"/>
      <c r="C31" s="1962"/>
      <c r="D31" s="1962"/>
      <c r="E31" s="2704"/>
    </row>
    <row r="32" spans="2:9" ht="28.5" customHeight="1" x14ac:dyDescent="0.2">
      <c r="B32" s="1962"/>
      <c r="C32" s="1962"/>
      <c r="D32" s="1962"/>
      <c r="E32" s="2704"/>
    </row>
    <row r="33" spans="2:5" ht="13.5" customHeight="1" x14ac:dyDescent="0.2">
      <c r="B33" s="1962"/>
      <c r="C33" s="1962"/>
      <c r="D33" s="1962"/>
    </row>
    <row r="34" spans="2:5" ht="13.5" customHeight="1" x14ac:dyDescent="0.2">
      <c r="B34" s="1962"/>
      <c r="C34" s="1962"/>
      <c r="D34" s="1962"/>
    </row>
    <row r="35" spans="2:5" ht="13.5" customHeight="1" x14ac:dyDescent="0.2">
      <c r="B35" s="1973"/>
      <c r="C35" s="1973"/>
      <c r="D35" s="1973"/>
    </row>
    <row r="36" spans="2:5" ht="13.5" customHeight="1" x14ac:dyDescent="0.2"/>
    <row r="37" spans="2:5" ht="13.5" customHeight="1" x14ac:dyDescent="0.2"/>
    <row r="38" spans="2:5" ht="13.5" customHeight="1" x14ac:dyDescent="0.2"/>
    <row r="39" spans="2:5" ht="13.5" customHeight="1" x14ac:dyDescent="0.2">
      <c r="B39" s="1974"/>
      <c r="C39" s="1974"/>
      <c r="D39" s="1974"/>
    </row>
    <row r="40" spans="2:5" ht="13.5" customHeight="1" x14ac:dyDescent="0.2">
      <c r="B40" s="1974"/>
      <c r="C40" s="1974"/>
      <c r="D40" s="1974"/>
    </row>
    <row r="41" spans="2:5" ht="13.5" customHeight="1" x14ac:dyDescent="0.2">
      <c r="B41" s="1974"/>
      <c r="C41" s="1974"/>
      <c r="D41" s="1974"/>
    </row>
    <row r="42" spans="2:5" ht="13.5" customHeight="1" x14ac:dyDescent="0.2">
      <c r="B42" s="1974"/>
      <c r="C42" s="1974"/>
      <c r="D42" s="1974"/>
    </row>
    <row r="43" spans="2:5" ht="13.5" customHeight="1" x14ac:dyDescent="0.2">
      <c r="B43" s="1975"/>
      <c r="C43" s="1975"/>
      <c r="D43" s="1975"/>
      <c r="E43" s="1976"/>
    </row>
    <row r="44" spans="2:5" ht="12.2" customHeight="1" x14ac:dyDescent="0.2">
      <c r="B44" s="1977" t="s">
        <v>2147</v>
      </c>
      <c r="C44" s="1977"/>
      <c r="D44" s="1977"/>
    </row>
    <row r="45" spans="2:5" ht="12.2" customHeight="1" x14ac:dyDescent="0.2">
      <c r="B45" s="1978"/>
      <c r="C45" s="1978"/>
      <c r="D45" s="1978"/>
    </row>
    <row r="46" spans="2:5" ht="12.75" customHeight="1" x14ac:dyDescent="0.2">
      <c r="B46" s="1979"/>
      <c r="C46" s="1979"/>
      <c r="D46" s="1979"/>
    </row>
    <row r="47" spans="2:5" ht="12.75" customHeight="1" x14ac:dyDescent="0.2">
      <c r="B47" s="1979"/>
      <c r="C47" s="1979"/>
      <c r="D47" s="1979"/>
    </row>
    <row r="48" spans="2:5" x14ac:dyDescent="0.2">
      <c r="B48" s="1979"/>
      <c r="C48" s="1979"/>
      <c r="D48" s="1979"/>
    </row>
    <row r="49" spans="2:9" x14ac:dyDescent="0.2">
      <c r="B49" s="1979"/>
      <c r="C49" s="1979"/>
      <c r="D49" s="1979"/>
    </row>
    <row r="53" spans="2:9" x14ac:dyDescent="0.2">
      <c r="B53" s="1980"/>
      <c r="C53" s="1980"/>
      <c r="D53" s="1980"/>
    </row>
    <row r="54" spans="2:9" ht="12.75" customHeight="1" x14ac:dyDescent="0.2"/>
    <row r="55" spans="2:9" ht="12.75" customHeight="1" x14ac:dyDescent="0.2">
      <c r="B55" s="1962"/>
      <c r="C55" s="1962"/>
      <c r="D55" s="1962"/>
      <c r="E55" s="1962"/>
      <c r="F55" s="1962"/>
      <c r="G55" s="1962"/>
      <c r="H55" s="1962"/>
      <c r="I55" s="1962"/>
    </row>
    <row r="56" spans="2:9" ht="12.75" customHeight="1" x14ac:dyDescent="0.2">
      <c r="B56" s="1962"/>
      <c r="C56" s="1962"/>
      <c r="D56" s="1962"/>
      <c r="E56" s="1962"/>
      <c r="F56" s="1962"/>
      <c r="G56" s="1962"/>
      <c r="H56" s="1962"/>
      <c r="I56" s="1962"/>
    </row>
    <row r="57" spans="2:9" ht="12.75" customHeight="1" x14ac:dyDescent="0.2">
      <c r="B57" s="1962"/>
      <c r="C57" s="1962"/>
      <c r="D57" s="1962"/>
      <c r="E57" s="1962"/>
      <c r="F57" s="1962"/>
      <c r="G57" s="1962"/>
      <c r="H57" s="1962"/>
      <c r="I57" s="1962"/>
    </row>
    <row r="58" spans="2:9" ht="12.75" customHeight="1" x14ac:dyDescent="0.2">
      <c r="B58" s="1962"/>
      <c r="C58" s="1962"/>
      <c r="D58" s="1962"/>
      <c r="E58" s="1962"/>
      <c r="F58" s="1962"/>
      <c r="G58" s="1962"/>
      <c r="H58" s="1962"/>
      <c r="I58" s="1962"/>
    </row>
    <row r="59" spans="2:9" ht="12.75" customHeight="1" x14ac:dyDescent="0.2">
      <c r="B59" s="1962"/>
      <c r="C59" s="1962"/>
      <c r="D59" s="1962"/>
      <c r="E59" s="1962"/>
      <c r="F59" s="1962"/>
      <c r="G59" s="1962"/>
      <c r="H59" s="1962"/>
      <c r="I59" s="1962"/>
    </row>
    <row r="60" spans="2:9" ht="12.75" customHeight="1" x14ac:dyDescent="0.2">
      <c r="B60" s="1962"/>
      <c r="C60" s="1962"/>
      <c r="D60" s="1962"/>
      <c r="E60" s="1962"/>
      <c r="F60" s="1962"/>
      <c r="G60" s="1962"/>
      <c r="H60" s="1962"/>
      <c r="I60" s="1962"/>
    </row>
    <row r="61" spans="2:9" ht="12.75" customHeight="1" x14ac:dyDescent="0.2">
      <c r="B61" s="1962"/>
      <c r="C61" s="1962"/>
      <c r="D61" s="1962"/>
      <c r="E61" s="1962"/>
      <c r="F61" s="1962"/>
    </row>
    <row r="62" spans="2:9" ht="12.75" customHeight="1" x14ac:dyDescent="0.2">
      <c r="B62" s="1962"/>
      <c r="C62" s="1962"/>
      <c r="D62" s="1962"/>
      <c r="E62" s="1962"/>
      <c r="F62" s="1962"/>
      <c r="G62" s="1962"/>
      <c r="H62" s="1962"/>
      <c r="I62" s="1962"/>
    </row>
    <row r="66" spans="2:4" x14ac:dyDescent="0.2">
      <c r="B66" s="1981"/>
      <c r="C66" s="1981"/>
      <c r="D66" s="1981"/>
    </row>
    <row r="67" spans="2:4" x14ac:dyDescent="0.2">
      <c r="B67" s="1979"/>
      <c r="C67" s="1979"/>
      <c r="D67" s="1979"/>
    </row>
    <row r="68" spans="2:4" x14ac:dyDescent="0.2">
      <c r="B68" s="1979"/>
      <c r="C68" s="1979"/>
      <c r="D68" s="1979"/>
    </row>
    <row r="69" spans="2:4" x14ac:dyDescent="0.2">
      <c r="B69" s="1982"/>
      <c r="C69" s="1982"/>
      <c r="D69" s="1982"/>
    </row>
    <row r="70" spans="2:4" x14ac:dyDescent="0.2">
      <c r="B70" s="1982"/>
      <c r="C70" s="1982"/>
      <c r="D70" s="1982"/>
    </row>
    <row r="71" spans="2:4" x14ac:dyDescent="0.2">
      <c r="B71" s="1982"/>
      <c r="C71" s="1982"/>
      <c r="D71" s="1982"/>
    </row>
    <row r="72" spans="2:4" x14ac:dyDescent="0.2">
      <c r="B72" s="1979"/>
      <c r="C72" s="1979"/>
      <c r="D72" s="1979"/>
    </row>
  </sheetData>
  <mergeCells count="7">
    <mergeCell ref="E30:E32"/>
    <mergeCell ref="B1:E1"/>
    <mergeCell ref="B12:E12"/>
    <mergeCell ref="B13:E13"/>
    <mergeCell ref="B14:E14"/>
    <mergeCell ref="B21:E21"/>
    <mergeCell ref="B24:E24"/>
  </mergeCells>
  <pageMargins left="0.25" right="0.27" top="0.68" bottom="0.53" header="0.26" footer="0.27"/>
  <pageSetup scale="96" firstPageNumber="44"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selection sqref="A1:A2"/>
    </sheetView>
  </sheetViews>
  <sheetFormatPr defaultColWidth="9.140625" defaultRowHeight="12.75" x14ac:dyDescent="0.2"/>
  <cols>
    <col min="1" max="1" width="47.28515625" style="499" customWidth="1"/>
    <col min="2" max="2" width="4.5703125" style="500" customWidth="1"/>
    <col min="3" max="14" width="13.7109375" style="457" customWidth="1"/>
    <col min="15" max="16384" width="9.140625" style="457"/>
  </cols>
  <sheetData>
    <row r="1" spans="1:14" x14ac:dyDescent="0.2">
      <c r="A1" s="2309"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310"/>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311" t="s">
        <v>1030</v>
      </c>
      <c r="B3" s="2312"/>
      <c r="C3" s="1577"/>
      <c r="D3" s="1578"/>
      <c r="E3" s="1578"/>
      <c r="F3" s="1578"/>
      <c r="G3" s="1578"/>
      <c r="H3" s="1578"/>
      <c r="I3" s="1578"/>
      <c r="J3" s="1578"/>
      <c r="K3" s="1578"/>
      <c r="L3" s="1578"/>
      <c r="M3" s="1579"/>
      <c r="N3" s="1580"/>
    </row>
    <row r="4" spans="1:14" ht="13.5" customHeight="1" x14ac:dyDescent="0.2">
      <c r="A4" s="463" t="s">
        <v>1750</v>
      </c>
      <c r="B4" s="464"/>
      <c r="C4" s="465">
        <v>1762121</v>
      </c>
      <c r="D4" s="465">
        <v>33934</v>
      </c>
      <c r="E4" s="466">
        <v>254135</v>
      </c>
      <c r="F4" s="466">
        <v>4864</v>
      </c>
      <c r="G4" s="466">
        <v>3886</v>
      </c>
      <c r="H4" s="466">
        <v>23974</v>
      </c>
      <c r="I4" s="466">
        <v>1185</v>
      </c>
      <c r="J4" s="467">
        <v>0</v>
      </c>
      <c r="K4" s="466">
        <v>753</v>
      </c>
      <c r="L4" s="466">
        <v>1675145</v>
      </c>
      <c r="M4" s="468"/>
      <c r="N4" s="469"/>
    </row>
    <row r="5" spans="1:14" x14ac:dyDescent="0.2">
      <c r="A5" s="463" t="s">
        <v>1049</v>
      </c>
      <c r="B5" s="470">
        <v>120</v>
      </c>
      <c r="C5" s="465">
        <v>2888508</v>
      </c>
      <c r="D5" s="466">
        <v>2464208</v>
      </c>
      <c r="E5" s="466">
        <v>60719</v>
      </c>
      <c r="F5" s="466">
        <v>813802</v>
      </c>
      <c r="G5" s="466">
        <v>1410658</v>
      </c>
      <c r="H5" s="466">
        <v>14655056</v>
      </c>
      <c r="I5" s="466">
        <v>3305225</v>
      </c>
      <c r="J5" s="467">
        <v>0</v>
      </c>
      <c r="K5" s="471">
        <v>84609</v>
      </c>
      <c r="L5" s="472">
        <v>0</v>
      </c>
      <c r="M5" s="468"/>
      <c r="N5" s="469"/>
    </row>
    <row r="6" spans="1:14" ht="13.5" customHeight="1" x14ac:dyDescent="0.2">
      <c r="A6" s="473" t="s">
        <v>437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438</v>
      </c>
      <c r="B7" s="470">
        <v>140</v>
      </c>
      <c r="C7" s="465">
        <v>0</v>
      </c>
      <c r="D7" s="467">
        <v>0</v>
      </c>
      <c r="E7" s="467"/>
      <c r="F7" s="467">
        <v>0</v>
      </c>
      <c r="G7" s="467"/>
      <c r="H7" s="467"/>
      <c r="I7" s="467">
        <v>0</v>
      </c>
      <c r="J7" s="467"/>
      <c r="K7" s="467"/>
      <c r="L7" s="476"/>
      <c r="M7" s="468"/>
      <c r="N7" s="469"/>
    </row>
    <row r="8" spans="1:14" ht="13.5" customHeight="1" x14ac:dyDescent="0.2">
      <c r="A8" s="473" t="s">
        <v>287</v>
      </c>
      <c r="B8" s="470">
        <v>150</v>
      </c>
      <c r="C8" s="465">
        <v>0</v>
      </c>
      <c r="D8" s="467">
        <v>0</v>
      </c>
      <c r="E8" s="467"/>
      <c r="F8" s="467">
        <v>0</v>
      </c>
      <c r="G8" s="477">
        <v>0</v>
      </c>
      <c r="H8" s="467">
        <v>0</v>
      </c>
      <c r="I8" s="474"/>
      <c r="J8" s="474"/>
      <c r="K8" s="478"/>
      <c r="L8" s="479"/>
      <c r="M8" s="468"/>
      <c r="N8" s="469"/>
    </row>
    <row r="9" spans="1:14" ht="13.5" customHeight="1" x14ac:dyDescent="0.2">
      <c r="A9" s="473" t="s">
        <v>288</v>
      </c>
      <c r="B9" s="470">
        <v>160</v>
      </c>
      <c r="C9" s="465">
        <v>0</v>
      </c>
      <c r="D9" s="467">
        <v>0</v>
      </c>
      <c r="E9" s="467">
        <v>0</v>
      </c>
      <c r="F9" s="467">
        <v>0</v>
      </c>
      <c r="G9" s="467">
        <v>0</v>
      </c>
      <c r="H9" s="477">
        <v>0</v>
      </c>
      <c r="I9" s="467">
        <v>0</v>
      </c>
      <c r="J9" s="467">
        <v>0</v>
      </c>
      <c r="K9" s="467">
        <v>0</v>
      </c>
      <c r="L9" s="467">
        <v>7048</v>
      </c>
      <c r="M9" s="468"/>
      <c r="N9" s="469"/>
    </row>
    <row r="10" spans="1:14" ht="13.5" customHeight="1" x14ac:dyDescent="0.2">
      <c r="A10" s="473" t="s">
        <v>1048</v>
      </c>
      <c r="B10" s="470">
        <v>170</v>
      </c>
      <c r="C10" s="465">
        <v>0</v>
      </c>
      <c r="D10" s="466">
        <v>0</v>
      </c>
      <c r="E10" s="467"/>
      <c r="F10" s="466">
        <v>0</v>
      </c>
      <c r="G10" s="477"/>
      <c r="H10" s="480">
        <v>0</v>
      </c>
      <c r="I10" s="467"/>
      <c r="J10" s="467"/>
      <c r="K10" s="480">
        <v>0</v>
      </c>
      <c r="L10" s="480">
        <v>0</v>
      </c>
      <c r="M10" s="469"/>
      <c r="N10" s="469"/>
    </row>
    <row r="11" spans="1:14" ht="13.5" customHeight="1" x14ac:dyDescent="0.2">
      <c r="A11" s="473" t="s">
        <v>289</v>
      </c>
      <c r="B11" s="470">
        <v>180</v>
      </c>
      <c r="C11" s="465">
        <v>0</v>
      </c>
      <c r="D11" s="467">
        <v>0</v>
      </c>
      <c r="E11" s="467"/>
      <c r="F11" s="467">
        <v>0</v>
      </c>
      <c r="G11" s="467">
        <v>0</v>
      </c>
      <c r="H11" s="467">
        <v>0</v>
      </c>
      <c r="I11" s="477">
        <v>0</v>
      </c>
      <c r="J11" s="477"/>
      <c r="K11" s="467">
        <v>0</v>
      </c>
      <c r="L11" s="467">
        <v>0</v>
      </c>
      <c r="M11" s="469"/>
      <c r="N11" s="469"/>
    </row>
    <row r="12" spans="1:14" ht="13.5" customHeight="1" x14ac:dyDescent="0.2">
      <c r="A12" s="473" t="s">
        <v>439</v>
      </c>
      <c r="B12" s="470">
        <v>190</v>
      </c>
      <c r="C12" s="465">
        <v>0</v>
      </c>
      <c r="D12" s="466">
        <v>0</v>
      </c>
      <c r="E12" s="466">
        <v>0</v>
      </c>
      <c r="F12" s="466">
        <v>0</v>
      </c>
      <c r="G12" s="466">
        <v>0</v>
      </c>
      <c r="H12" s="466">
        <v>0</v>
      </c>
      <c r="I12" s="466">
        <v>0</v>
      </c>
      <c r="J12" s="467">
        <v>0</v>
      </c>
      <c r="K12" s="466">
        <v>0</v>
      </c>
      <c r="L12" s="466">
        <v>0</v>
      </c>
      <c r="M12" s="469"/>
      <c r="N12" s="469"/>
    </row>
    <row r="13" spans="1:14" ht="13.5" customHeight="1" thickBot="1" x14ac:dyDescent="0.25">
      <c r="A13" s="1754" t="s">
        <v>665</v>
      </c>
      <c r="B13" s="1727"/>
      <c r="C13" s="1755">
        <f>SUM(C4:C12)</f>
        <v>4650629</v>
      </c>
      <c r="D13" s="1755">
        <f t="shared" ref="D13:L13" si="0">SUM(D4:D12)</f>
        <v>2498142</v>
      </c>
      <c r="E13" s="1755">
        <f t="shared" si="0"/>
        <v>314854</v>
      </c>
      <c r="F13" s="1755">
        <f t="shared" si="0"/>
        <v>818666</v>
      </c>
      <c r="G13" s="1755">
        <f t="shared" si="0"/>
        <v>1414544</v>
      </c>
      <c r="H13" s="1755">
        <f t="shared" si="0"/>
        <v>14679030</v>
      </c>
      <c r="I13" s="1755">
        <f t="shared" si="0"/>
        <v>3306410</v>
      </c>
      <c r="J13" s="1755">
        <f t="shared" si="0"/>
        <v>0</v>
      </c>
      <c r="K13" s="1755">
        <f t="shared" si="0"/>
        <v>85362</v>
      </c>
      <c r="L13" s="1755">
        <f t="shared" si="0"/>
        <v>1682193</v>
      </c>
      <c r="M13" s="468"/>
      <c r="N13" s="469"/>
    </row>
    <row r="14" spans="1:14" ht="18" customHeight="1" thickTop="1" x14ac:dyDescent="0.2">
      <c r="A14" s="2313" t="s">
        <v>149</v>
      </c>
      <c r="B14" s="2314"/>
      <c r="C14" s="1581"/>
      <c r="D14" s="1582"/>
      <c r="E14" s="1582"/>
      <c r="F14" s="1582"/>
      <c r="G14" s="1582"/>
      <c r="H14" s="1582"/>
      <c r="I14" s="1582"/>
      <c r="J14" s="1582"/>
      <c r="K14" s="1582"/>
      <c r="L14" s="1582"/>
      <c r="M14" s="1583"/>
      <c r="N14" s="1584"/>
    </row>
    <row r="15" spans="1:14" s="484" customFormat="1" ht="12.75" customHeight="1" x14ac:dyDescent="0.2">
      <c r="A15" s="481" t="s">
        <v>1468</v>
      </c>
      <c r="B15" s="482">
        <v>210</v>
      </c>
      <c r="C15" s="476"/>
      <c r="D15" s="476"/>
      <c r="E15" s="476"/>
      <c r="F15" s="476"/>
      <c r="G15" s="476"/>
      <c r="H15" s="476"/>
      <c r="I15" s="476"/>
      <c r="J15" s="476"/>
      <c r="K15" s="476"/>
      <c r="L15" s="476"/>
      <c r="M15" s="477">
        <v>0</v>
      </c>
      <c r="N15" s="483"/>
    </row>
    <row r="16" spans="1:14" s="484" customFormat="1" ht="12.75" customHeight="1" x14ac:dyDescent="0.2">
      <c r="A16" s="481" t="s">
        <v>1469</v>
      </c>
      <c r="B16" s="482">
        <v>220</v>
      </c>
      <c r="C16" s="476"/>
      <c r="D16" s="476"/>
      <c r="E16" s="476"/>
      <c r="F16" s="476"/>
      <c r="G16" s="476"/>
      <c r="H16" s="476"/>
      <c r="I16" s="476"/>
      <c r="J16" s="476"/>
      <c r="K16" s="476"/>
      <c r="L16" s="476"/>
      <c r="M16" s="467">
        <v>3731918</v>
      </c>
      <c r="N16" s="483"/>
    </row>
    <row r="17" spans="1:14" s="484" customFormat="1" ht="12.75" customHeight="1" x14ac:dyDescent="0.2">
      <c r="A17" s="481" t="s">
        <v>1470</v>
      </c>
      <c r="B17" s="482">
        <v>230</v>
      </c>
      <c r="C17" s="476"/>
      <c r="D17" s="476"/>
      <c r="E17" s="476"/>
      <c r="F17" s="476"/>
      <c r="G17" s="476"/>
      <c r="H17" s="476"/>
      <c r="I17" s="476"/>
      <c r="J17" s="476"/>
      <c r="K17" s="476"/>
      <c r="L17" s="476"/>
      <c r="M17" s="467">
        <v>33972817</v>
      </c>
      <c r="N17" s="483"/>
    </row>
    <row r="18" spans="1:14" s="484" customFormat="1" ht="12.75" customHeight="1" x14ac:dyDescent="0.2">
      <c r="A18" s="481" t="s">
        <v>1471</v>
      </c>
      <c r="B18" s="482">
        <v>240</v>
      </c>
      <c r="C18" s="476"/>
      <c r="D18" s="476"/>
      <c r="E18" s="476"/>
      <c r="F18" s="476"/>
      <c r="G18" s="476"/>
      <c r="H18" s="476"/>
      <c r="I18" s="476"/>
      <c r="J18" s="476"/>
      <c r="K18" s="476"/>
      <c r="L18" s="476"/>
      <c r="M18" s="467">
        <v>3388536</v>
      </c>
      <c r="N18" s="483"/>
    </row>
    <row r="19" spans="1:14" s="484" customFormat="1" ht="12.75" customHeight="1" x14ac:dyDescent="0.2">
      <c r="A19" s="481" t="s">
        <v>1472</v>
      </c>
      <c r="B19" s="482">
        <v>250</v>
      </c>
      <c r="C19" s="476"/>
      <c r="D19" s="476"/>
      <c r="E19" s="476"/>
      <c r="F19" s="476"/>
      <c r="G19" s="476"/>
      <c r="H19" s="476"/>
      <c r="I19" s="476"/>
      <c r="J19" s="476"/>
      <c r="K19" s="476"/>
      <c r="L19" s="476"/>
      <c r="M19" s="467">
        <v>2367076</v>
      </c>
      <c r="N19" s="483"/>
    </row>
    <row r="20" spans="1:14" s="484" customFormat="1" ht="12.75" customHeight="1" x14ac:dyDescent="0.2">
      <c r="A20" s="481" t="s">
        <v>1473</v>
      </c>
      <c r="B20" s="482">
        <v>260</v>
      </c>
      <c r="C20" s="476"/>
      <c r="D20" s="476"/>
      <c r="E20" s="476"/>
      <c r="F20" s="476"/>
      <c r="G20" s="476"/>
      <c r="H20" s="476"/>
      <c r="I20" s="476"/>
      <c r="J20" s="476"/>
      <c r="K20" s="476"/>
      <c r="L20" s="476"/>
      <c r="M20" s="467">
        <v>7712401</v>
      </c>
      <c r="N20" s="483"/>
    </row>
    <row r="21" spans="1:14" s="484" customFormat="1" ht="12.75" customHeight="1" x14ac:dyDescent="0.2">
      <c r="A21" s="481" t="s">
        <v>1474</v>
      </c>
      <c r="B21" s="482">
        <v>340</v>
      </c>
      <c r="C21" s="476"/>
      <c r="D21" s="476"/>
      <c r="E21" s="476"/>
      <c r="F21" s="476"/>
      <c r="G21" s="476"/>
      <c r="H21" s="476"/>
      <c r="I21" s="476"/>
      <c r="J21" s="476"/>
      <c r="K21" s="476"/>
      <c r="L21" s="476"/>
      <c r="M21" s="485"/>
      <c r="N21" s="467">
        <v>314854</v>
      </c>
    </row>
    <row r="22" spans="1:14" s="484" customFormat="1" ht="12.75" customHeight="1" x14ac:dyDescent="0.2">
      <c r="A22" s="481" t="s">
        <v>1475</v>
      </c>
      <c r="B22" s="482">
        <v>350</v>
      </c>
      <c r="C22" s="476"/>
      <c r="D22" s="476"/>
      <c r="E22" s="476"/>
      <c r="F22" s="476"/>
      <c r="G22" s="476"/>
      <c r="H22" s="476"/>
      <c r="I22" s="476"/>
      <c r="J22" s="476"/>
      <c r="K22" s="476"/>
      <c r="L22" s="476"/>
      <c r="M22" s="485"/>
      <c r="N22" s="486">
        <f>'Short-Term Long-Term Debt 24'!J49</f>
        <v>24090146</v>
      </c>
    </row>
    <row r="23" spans="1:14" ht="13.5" customHeight="1" thickBot="1" x14ac:dyDescent="0.25">
      <c r="A23" s="1754" t="s">
        <v>664</v>
      </c>
      <c r="B23" s="1759"/>
      <c r="C23" s="468"/>
      <c r="D23" s="468"/>
      <c r="E23" s="468"/>
      <c r="F23" s="468"/>
      <c r="G23" s="468"/>
      <c r="H23" s="468"/>
      <c r="I23" s="468"/>
      <c r="J23" s="468"/>
      <c r="K23" s="468"/>
      <c r="L23" s="468"/>
      <c r="M23" s="1706">
        <f>SUM(M15:M22)</f>
        <v>51172748</v>
      </c>
      <c r="N23" s="1706">
        <f>SUM(N21:N22)</f>
        <v>24405000</v>
      </c>
    </row>
    <row r="24" spans="1:14" ht="18" customHeight="1" thickTop="1" x14ac:dyDescent="0.2">
      <c r="A24" s="2315" t="s">
        <v>619</v>
      </c>
      <c r="B24" s="2316"/>
      <c r="C24" s="1586"/>
      <c r="D24" s="1583"/>
      <c r="E24" s="1583"/>
      <c r="F24" s="1583"/>
      <c r="G24" s="1583"/>
      <c r="H24" s="1583"/>
      <c r="I24" s="1583"/>
      <c r="J24" s="1583"/>
      <c r="K24" s="1583"/>
      <c r="L24" s="1583"/>
      <c r="M24" s="1582"/>
      <c r="N24" s="1587"/>
    </row>
    <row r="25" spans="1:14" x14ac:dyDescent="0.2">
      <c r="A25" s="473" t="s">
        <v>666</v>
      </c>
      <c r="B25" s="470">
        <v>410</v>
      </c>
      <c r="C25" s="465">
        <v>0</v>
      </c>
      <c r="D25" s="477">
        <v>0</v>
      </c>
      <c r="E25" s="477">
        <v>0</v>
      </c>
      <c r="F25" s="477">
        <v>0</v>
      </c>
      <c r="G25" s="477">
        <v>0</v>
      </c>
      <c r="H25" s="478">
        <v>0</v>
      </c>
      <c r="I25" s="468"/>
      <c r="J25" s="477">
        <v>0</v>
      </c>
      <c r="K25" s="477">
        <v>0</v>
      </c>
      <c r="L25" s="468"/>
      <c r="M25" s="468"/>
      <c r="N25" s="468"/>
    </row>
    <row r="26" spans="1:14" x14ac:dyDescent="0.2">
      <c r="A26" s="473" t="s">
        <v>667</v>
      </c>
      <c r="B26" s="470">
        <v>420</v>
      </c>
      <c r="C26" s="465">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5">
        <v>337572</v>
      </c>
      <c r="D27" s="467">
        <v>28654</v>
      </c>
      <c r="E27" s="467">
        <v>0</v>
      </c>
      <c r="F27" s="467">
        <v>24042</v>
      </c>
      <c r="G27" s="467">
        <v>0</v>
      </c>
      <c r="H27" s="467">
        <v>1041876</v>
      </c>
      <c r="I27" s="467">
        <v>0</v>
      </c>
      <c r="J27" s="467">
        <v>0</v>
      </c>
      <c r="K27" s="467">
        <v>0</v>
      </c>
      <c r="L27" s="468"/>
      <c r="M27" s="468"/>
      <c r="N27" s="468"/>
    </row>
    <row r="28" spans="1:14" ht="13.5" customHeight="1" x14ac:dyDescent="0.2">
      <c r="A28" s="473" t="s">
        <v>669</v>
      </c>
      <c r="B28" s="470">
        <v>440</v>
      </c>
      <c r="C28" s="465">
        <v>0</v>
      </c>
      <c r="D28" s="467">
        <v>0</v>
      </c>
      <c r="E28" s="474">
        <v>0</v>
      </c>
      <c r="F28" s="467">
        <v>0</v>
      </c>
      <c r="G28" s="474">
        <v>0</v>
      </c>
      <c r="H28" s="474">
        <v>0</v>
      </c>
      <c r="I28" s="467">
        <v>0</v>
      </c>
      <c r="J28" s="467">
        <v>0</v>
      </c>
      <c r="K28" s="478">
        <v>0</v>
      </c>
      <c r="L28" s="468"/>
      <c r="M28" s="468"/>
      <c r="N28" s="468"/>
    </row>
    <row r="29" spans="1:14" ht="13.5" customHeight="1" x14ac:dyDescent="0.2">
      <c r="A29" s="473" t="s">
        <v>670</v>
      </c>
      <c r="B29" s="470">
        <v>460</v>
      </c>
      <c r="C29" s="465">
        <v>0</v>
      </c>
      <c r="D29" s="487">
        <v>0</v>
      </c>
      <c r="E29" s="474">
        <v>0</v>
      </c>
      <c r="F29" s="467">
        <v>0</v>
      </c>
      <c r="G29" s="474">
        <v>0</v>
      </c>
      <c r="H29" s="474">
        <v>0</v>
      </c>
      <c r="I29" s="474">
        <v>0</v>
      </c>
      <c r="J29" s="474">
        <v>0</v>
      </c>
      <c r="K29" s="467">
        <v>0</v>
      </c>
      <c r="L29" s="468"/>
      <c r="M29" s="468"/>
      <c r="N29" s="468"/>
    </row>
    <row r="30" spans="1:14" ht="13.5" customHeight="1" x14ac:dyDescent="0.2">
      <c r="A30" s="473" t="s">
        <v>671</v>
      </c>
      <c r="B30" s="470">
        <v>470</v>
      </c>
      <c r="C30" s="465">
        <v>0</v>
      </c>
      <c r="D30" s="474">
        <v>0</v>
      </c>
      <c r="E30" s="467"/>
      <c r="F30" s="467">
        <v>0</v>
      </c>
      <c r="G30" s="467">
        <v>0</v>
      </c>
      <c r="H30" s="467">
        <v>0</v>
      </c>
      <c r="I30" s="467"/>
      <c r="J30" s="467">
        <v>0</v>
      </c>
      <c r="K30" s="477">
        <v>0</v>
      </c>
      <c r="L30" s="468"/>
      <c r="M30" s="468"/>
      <c r="N30" s="468"/>
    </row>
    <row r="31" spans="1:14" ht="13.5" customHeight="1" x14ac:dyDescent="0.2">
      <c r="A31" s="473" t="s">
        <v>672</v>
      </c>
      <c r="B31" s="470">
        <v>480</v>
      </c>
      <c r="C31" s="465">
        <v>145</v>
      </c>
      <c r="D31" s="467">
        <v>0</v>
      </c>
      <c r="E31" s="467"/>
      <c r="F31" s="466">
        <v>0</v>
      </c>
      <c r="G31" s="467">
        <v>0</v>
      </c>
      <c r="H31" s="467">
        <v>0</v>
      </c>
      <c r="I31" s="467"/>
      <c r="J31" s="467">
        <v>0</v>
      </c>
      <c r="K31" s="467">
        <v>0</v>
      </c>
      <c r="L31" s="468"/>
      <c r="M31" s="468"/>
      <c r="N31" s="468"/>
    </row>
    <row r="32" spans="1:14" ht="13.5" customHeight="1" x14ac:dyDescent="0.2">
      <c r="A32" s="488" t="s">
        <v>673</v>
      </c>
      <c r="B32" s="489">
        <v>490</v>
      </c>
      <c r="C32" s="465">
        <v>0</v>
      </c>
      <c r="D32" s="490">
        <v>0</v>
      </c>
      <c r="E32" s="474">
        <v>0</v>
      </c>
      <c r="F32" s="474">
        <v>0</v>
      </c>
      <c r="G32" s="474">
        <v>0</v>
      </c>
      <c r="H32" s="474">
        <v>0</v>
      </c>
      <c r="I32" s="474">
        <v>0</v>
      </c>
      <c r="J32" s="474">
        <v>0</v>
      </c>
      <c r="K32" s="478">
        <v>0</v>
      </c>
      <c r="L32" s="468"/>
      <c r="M32" s="468"/>
      <c r="N32" s="468"/>
    </row>
    <row r="33" spans="1:14" ht="13.5" customHeight="1" x14ac:dyDescent="0.2">
      <c r="A33" s="491" t="s">
        <v>321</v>
      </c>
      <c r="B33" s="489">
        <v>493</v>
      </c>
      <c r="C33" s="465">
        <v>0</v>
      </c>
      <c r="D33" s="467"/>
      <c r="E33" s="467"/>
      <c r="F33" s="467"/>
      <c r="G33" s="467"/>
      <c r="H33" s="467"/>
      <c r="I33" s="467"/>
      <c r="J33" s="467"/>
      <c r="K33" s="467"/>
      <c r="L33" s="467">
        <v>170479</v>
      </c>
      <c r="M33" s="468"/>
      <c r="N33" s="469"/>
    </row>
    <row r="34" spans="1:14" ht="13.5" customHeight="1" thickBot="1" x14ac:dyDescent="0.25">
      <c r="A34" s="1756" t="s">
        <v>675</v>
      </c>
      <c r="B34" s="1757"/>
      <c r="C34" s="1758">
        <f>SUM(C25:C33)</f>
        <v>337717</v>
      </c>
      <c r="D34" s="1758">
        <f t="shared" ref="D34:K34" si="1">SUM(D25:D33)</f>
        <v>28654</v>
      </c>
      <c r="E34" s="1758">
        <f t="shared" si="1"/>
        <v>0</v>
      </c>
      <c r="F34" s="1758">
        <f t="shared" si="1"/>
        <v>24042</v>
      </c>
      <c r="G34" s="1758">
        <f t="shared" si="1"/>
        <v>0</v>
      </c>
      <c r="H34" s="1758">
        <f t="shared" si="1"/>
        <v>1041876</v>
      </c>
      <c r="I34" s="1758">
        <f t="shared" si="1"/>
        <v>0</v>
      </c>
      <c r="J34" s="1758">
        <f t="shared" si="1"/>
        <v>0</v>
      </c>
      <c r="K34" s="1758">
        <f t="shared" si="1"/>
        <v>0</v>
      </c>
      <c r="L34" s="1739">
        <f>SUM(L33)</f>
        <v>170479</v>
      </c>
      <c r="M34" s="468"/>
      <c r="N34" s="479"/>
    </row>
    <row r="35" spans="1:14" ht="18" customHeight="1" thickTop="1" x14ac:dyDescent="0.2">
      <c r="A35" s="2317" t="s">
        <v>550</v>
      </c>
      <c r="B35" s="2318"/>
      <c r="C35" s="1588"/>
      <c r="D35" s="1589"/>
      <c r="E35" s="1589"/>
      <c r="F35" s="1589"/>
      <c r="G35" s="1589"/>
      <c r="H35" s="1589"/>
      <c r="I35" s="1589"/>
      <c r="J35" s="1589"/>
      <c r="K35" s="1589"/>
      <c r="L35" s="1589"/>
      <c r="M35" s="1583"/>
      <c r="N35" s="1587"/>
    </row>
    <row r="36" spans="1:14" x14ac:dyDescent="0.2">
      <c r="A36" s="492" t="s">
        <v>1</v>
      </c>
      <c r="B36" s="470">
        <v>511</v>
      </c>
      <c r="C36" s="476"/>
      <c r="D36" s="476"/>
      <c r="E36" s="476"/>
      <c r="F36" s="476"/>
      <c r="G36" s="476"/>
      <c r="H36" s="476"/>
      <c r="I36" s="476"/>
      <c r="J36" s="476"/>
      <c r="K36" s="476"/>
      <c r="L36" s="468"/>
      <c r="M36" s="468"/>
      <c r="N36" s="493">
        <f>'Short-Term Long-Term Debt 24'!I49</f>
        <v>24405000</v>
      </c>
    </row>
    <row r="37" spans="1:14" ht="13.5" thickBot="1" x14ac:dyDescent="0.25">
      <c r="A37" s="1754" t="s">
        <v>674</v>
      </c>
      <c r="B37" s="1759"/>
      <c r="C37" s="476"/>
      <c r="D37" s="476"/>
      <c r="E37" s="476"/>
      <c r="F37" s="476"/>
      <c r="G37" s="476"/>
      <c r="H37" s="476"/>
      <c r="I37" s="476"/>
      <c r="J37" s="476"/>
      <c r="K37" s="476"/>
      <c r="L37" s="479"/>
      <c r="M37" s="468"/>
      <c r="N37" s="1706">
        <f>SUM(N36:N36)</f>
        <v>24405000</v>
      </c>
    </row>
    <row r="38" spans="1:14" s="329" customFormat="1" ht="13.5" customHeight="1" thickTop="1" x14ac:dyDescent="0.2">
      <c r="A38" s="494" t="s">
        <v>440</v>
      </c>
      <c r="B38" s="482">
        <v>714</v>
      </c>
      <c r="C38" s="465">
        <v>0</v>
      </c>
      <c r="D38" s="465">
        <v>0</v>
      </c>
      <c r="E38" s="465">
        <v>0</v>
      </c>
      <c r="F38" s="465">
        <v>0</v>
      </c>
      <c r="G38" s="465">
        <v>479194</v>
      </c>
      <c r="H38" s="465">
        <v>0</v>
      </c>
      <c r="I38" s="465">
        <v>0</v>
      </c>
      <c r="J38" s="465">
        <v>0</v>
      </c>
      <c r="K38" s="465">
        <v>0</v>
      </c>
      <c r="L38" s="465">
        <v>1511714</v>
      </c>
      <c r="M38" s="495"/>
      <c r="N38" s="495"/>
    </row>
    <row r="39" spans="1:14" s="329" customFormat="1" ht="13.5" customHeight="1" x14ac:dyDescent="0.2">
      <c r="A39" s="494" t="s">
        <v>360</v>
      </c>
      <c r="B39" s="482">
        <v>730</v>
      </c>
      <c r="C39" s="465">
        <v>4312912</v>
      </c>
      <c r="D39" s="465">
        <v>2469488</v>
      </c>
      <c r="E39" s="465">
        <v>314854</v>
      </c>
      <c r="F39" s="465">
        <v>794624</v>
      </c>
      <c r="G39" s="465">
        <v>935350</v>
      </c>
      <c r="H39" s="465">
        <v>13637154</v>
      </c>
      <c r="I39" s="465">
        <v>3306410</v>
      </c>
      <c r="J39" s="465">
        <v>0</v>
      </c>
      <c r="K39" s="465">
        <v>85362</v>
      </c>
      <c r="L39" s="465">
        <v>0</v>
      </c>
      <c r="M39" s="495"/>
      <c r="N39" s="495"/>
    </row>
    <row r="40" spans="1:14" s="329" customFormat="1" ht="13.5" customHeight="1" x14ac:dyDescent="0.2">
      <c r="A40" s="496" t="s">
        <v>150</v>
      </c>
      <c r="B40" s="497"/>
      <c r="C40" s="498"/>
      <c r="D40" s="498"/>
      <c r="E40" s="498"/>
      <c r="F40" s="498"/>
      <c r="G40" s="498"/>
      <c r="H40" s="498"/>
      <c r="I40" s="498"/>
      <c r="J40" s="498"/>
      <c r="K40" s="498"/>
      <c r="L40" s="498"/>
      <c r="M40" s="467">
        <v>51172748</v>
      </c>
      <c r="N40" s="495"/>
    </row>
    <row r="41" spans="1:14" ht="13.5" customHeight="1" thickBot="1" x14ac:dyDescent="0.25">
      <c r="A41" s="1754" t="s">
        <v>676</v>
      </c>
      <c r="B41" s="1724"/>
      <c r="C41" s="1706">
        <f>(SUM(C34,C37,C38,C39))</f>
        <v>4650629</v>
      </c>
      <c r="D41" s="1706">
        <f t="shared" ref="D41:L41" si="2">SUM(D34,D37,D38:D39)</f>
        <v>2498142</v>
      </c>
      <c r="E41" s="1706">
        <f t="shared" si="2"/>
        <v>314854</v>
      </c>
      <c r="F41" s="1706">
        <f t="shared" si="2"/>
        <v>818666</v>
      </c>
      <c r="G41" s="1706">
        <f t="shared" si="2"/>
        <v>1414544</v>
      </c>
      <c r="H41" s="1706">
        <f t="shared" si="2"/>
        <v>14679030</v>
      </c>
      <c r="I41" s="1706">
        <f t="shared" si="2"/>
        <v>3306410</v>
      </c>
      <c r="J41" s="1706">
        <f t="shared" si="2"/>
        <v>0</v>
      </c>
      <c r="K41" s="1706">
        <f t="shared" si="2"/>
        <v>85362</v>
      </c>
      <c r="L41" s="1706">
        <f t="shared" si="2"/>
        <v>1682193</v>
      </c>
      <c r="M41" s="1706">
        <f>SUM(M40)</f>
        <v>51172748</v>
      </c>
      <c r="N41" s="1706">
        <f>SUM(N37)</f>
        <v>24405000</v>
      </c>
    </row>
    <row r="42" spans="1:14" ht="13.5" thickTop="1" x14ac:dyDescent="0.2"/>
    <row r="43" spans="1:14" x14ac:dyDescent="0.2">
      <c r="A43" s="247"/>
      <c r="C43" s="501"/>
    </row>
    <row r="44" spans="1:14" x14ac:dyDescent="0.2">
      <c r="A44" s="247"/>
      <c r="C44" s="501"/>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H12" sqref="H12"/>
      <selection pane="bottomLeft" activeCell="A3" sqref="A3:B3"/>
    </sheetView>
  </sheetViews>
  <sheetFormatPr defaultColWidth="9.140625" defaultRowHeight="12.75" x14ac:dyDescent="0.2"/>
  <cols>
    <col min="1" max="1" width="55.85546875" style="499" customWidth="1"/>
    <col min="2" max="2" width="4.7109375" style="500" customWidth="1"/>
    <col min="3" max="11" width="13.7109375" style="457" customWidth="1"/>
    <col min="12" max="12" width="2" style="457" customWidth="1"/>
    <col min="13" max="16384" width="9.140625" style="457"/>
  </cols>
  <sheetData>
    <row r="1" spans="1:13" ht="12.75" customHeight="1" x14ac:dyDescent="0.2">
      <c r="A1" s="2327" t="s">
        <v>1751</v>
      </c>
      <c r="B1" s="452"/>
      <c r="C1" s="502" t="s">
        <v>445</v>
      </c>
      <c r="D1" s="502" t="s">
        <v>446</v>
      </c>
      <c r="E1" s="502" t="s">
        <v>447</v>
      </c>
      <c r="F1" s="502" t="s">
        <v>448</v>
      </c>
      <c r="G1" s="502" t="s">
        <v>449</v>
      </c>
      <c r="H1" s="502" t="s">
        <v>450</v>
      </c>
      <c r="I1" s="502" t="s">
        <v>451</v>
      </c>
      <c r="J1" s="502" t="s">
        <v>452</v>
      </c>
      <c r="K1" s="502" t="s">
        <v>780</v>
      </c>
      <c r="L1" s="499"/>
    </row>
    <row r="2" spans="1:13" s="503" customFormat="1" ht="37.5" customHeight="1" x14ac:dyDescent="0.2">
      <c r="A2" s="2328"/>
      <c r="B2" s="458" t="s">
        <v>396</v>
      </c>
      <c r="C2" s="459" t="s">
        <v>1217</v>
      </c>
      <c r="D2" s="459" t="s">
        <v>925</v>
      </c>
      <c r="E2" s="459" t="s">
        <v>458</v>
      </c>
      <c r="F2" s="459" t="s">
        <v>157</v>
      </c>
      <c r="G2" s="459" t="s">
        <v>1046</v>
      </c>
      <c r="H2" s="459" t="s">
        <v>457</v>
      </c>
      <c r="I2" s="459" t="s">
        <v>427</v>
      </c>
      <c r="J2" s="459" t="s">
        <v>456</v>
      </c>
      <c r="K2" s="459" t="s">
        <v>159</v>
      </c>
      <c r="L2" s="500"/>
    </row>
    <row r="3" spans="1:13" s="505" customFormat="1" ht="16.7" customHeight="1" x14ac:dyDescent="0.2">
      <c r="A3" s="2339" t="s">
        <v>1237</v>
      </c>
      <c r="B3" s="2340"/>
      <c r="C3" s="1591"/>
      <c r="D3" s="1592"/>
      <c r="E3" s="1592"/>
      <c r="F3" s="1592"/>
      <c r="G3" s="1592"/>
      <c r="H3" s="1592"/>
      <c r="I3" s="1592"/>
      <c r="J3" s="1592"/>
      <c r="K3" s="1593"/>
      <c r="L3" s="504"/>
    </row>
    <row r="4" spans="1:13" ht="15.75" customHeight="1" x14ac:dyDescent="0.2">
      <c r="A4" s="1950" t="s">
        <v>1579</v>
      </c>
      <c r="B4" s="1951">
        <v>1000</v>
      </c>
      <c r="C4" s="1760">
        <f>'Revenues 9-14'!C109</f>
        <v>15238622</v>
      </c>
      <c r="D4" s="1760">
        <f>'Revenues 9-14'!D109</f>
        <v>1841063</v>
      </c>
      <c r="E4" s="1760">
        <f>'Revenues 9-14'!E109</f>
        <v>777336</v>
      </c>
      <c r="F4" s="1760">
        <f>'Revenues 9-14'!F109</f>
        <v>805783</v>
      </c>
      <c r="G4" s="1760">
        <f>'Revenues 9-14'!G109</f>
        <v>525252</v>
      </c>
      <c r="H4" s="1760">
        <f>'Revenues 9-14'!H109</f>
        <v>109883</v>
      </c>
      <c r="I4" s="1760">
        <f>'Revenues 9-14'!I109</f>
        <v>369440</v>
      </c>
      <c r="J4" s="1760">
        <f>'Revenues 9-14'!J109</f>
        <v>0</v>
      </c>
      <c r="K4" s="1760">
        <f>'Revenues 9-14'!K109</f>
        <v>1057</v>
      </c>
      <c r="L4" s="347"/>
    </row>
    <row r="5" spans="1:13" ht="15.75" customHeight="1" x14ac:dyDescent="0.2">
      <c r="A5" s="1594" t="s">
        <v>1580</v>
      </c>
      <c r="B5" s="1595">
        <v>2000</v>
      </c>
      <c r="C5" s="1761">
        <f>'Revenues 9-14'!C114</f>
        <v>0</v>
      </c>
      <c r="D5" s="1761">
        <f>'Revenues 9-14'!D114</f>
        <v>0</v>
      </c>
      <c r="E5" s="506"/>
      <c r="F5" s="1761">
        <f>'Revenues 9-14'!F114</f>
        <v>0</v>
      </c>
      <c r="G5" s="1761">
        <f>'Revenues 9-14'!G114</f>
        <v>0</v>
      </c>
      <c r="H5" s="507" t="s">
        <v>1231</v>
      </c>
      <c r="I5" s="508" t="s">
        <v>1231</v>
      </c>
      <c r="J5" s="509" t="s">
        <v>1231</v>
      </c>
      <c r="K5" s="510" t="s">
        <v>1231</v>
      </c>
      <c r="L5" s="347"/>
    </row>
    <row r="6" spans="1:13" ht="15.75" customHeight="1" x14ac:dyDescent="0.2">
      <c r="A6" s="1594" t="s">
        <v>1581</v>
      </c>
      <c r="B6" s="1596">
        <v>3000</v>
      </c>
      <c r="C6" s="1761">
        <f>'Revenues 9-14'!C173</f>
        <v>6057206</v>
      </c>
      <c r="D6" s="1761">
        <f>'Revenues 9-14'!D173</f>
        <v>0</v>
      </c>
      <c r="E6" s="1761">
        <f>'Revenues 9-14'!E173</f>
        <v>0</v>
      </c>
      <c r="F6" s="1761">
        <f>'Revenues 9-14'!F173</f>
        <v>509512</v>
      </c>
      <c r="G6" s="1761">
        <f>'Revenues 9-14'!G173</f>
        <v>0</v>
      </c>
      <c r="H6" s="1761">
        <f>'Revenues 9-14'!H173</f>
        <v>0</v>
      </c>
      <c r="I6" s="1761">
        <f>'Revenues 9-14'!I173</f>
        <v>0</v>
      </c>
      <c r="J6" s="1761">
        <f>'Revenues 9-14'!J173</f>
        <v>0</v>
      </c>
      <c r="K6" s="1761">
        <f>'Revenues 9-14'!K173</f>
        <v>0</v>
      </c>
      <c r="L6" s="347"/>
      <c r="M6" s="511"/>
    </row>
    <row r="7" spans="1:13" ht="15.75" customHeight="1" x14ac:dyDescent="0.2">
      <c r="A7" s="1594" t="s">
        <v>1582</v>
      </c>
      <c r="B7" s="1596">
        <v>4000</v>
      </c>
      <c r="C7" s="1761">
        <f>'Revenues 9-14'!C274</f>
        <v>866181</v>
      </c>
      <c r="D7" s="1761">
        <f>'Revenues 9-14'!D274</f>
        <v>0</v>
      </c>
      <c r="E7" s="1761">
        <f>'Revenues 9-14'!E274</f>
        <v>0</v>
      </c>
      <c r="F7" s="1761">
        <f>'Revenues 9-14'!F274</f>
        <v>0</v>
      </c>
      <c r="G7" s="1761">
        <f>'Revenues 9-14'!G274</f>
        <v>0</v>
      </c>
      <c r="H7" s="1761">
        <f>'Revenues 9-14'!H274</f>
        <v>0</v>
      </c>
      <c r="I7" s="1761">
        <f>'Revenues 9-14'!I274</f>
        <v>0</v>
      </c>
      <c r="J7" s="1761">
        <f>'Revenues 9-14'!J274</f>
        <v>0</v>
      </c>
      <c r="K7" s="1761">
        <f>'Revenues 9-14'!K274</f>
        <v>0</v>
      </c>
      <c r="L7" s="347"/>
      <c r="M7" s="511"/>
    </row>
    <row r="8" spans="1:13" ht="13.5" thickBot="1" x14ac:dyDescent="0.25">
      <c r="A8" s="1754" t="s">
        <v>1234</v>
      </c>
      <c r="B8" s="1727"/>
      <c r="C8" s="1706">
        <f>SUM(C4:C7)</f>
        <v>22162009</v>
      </c>
      <c r="D8" s="1706">
        <f t="shared" ref="D8:K8" si="0">SUM(D4:D7)</f>
        <v>1841063</v>
      </c>
      <c r="E8" s="1706">
        <f t="shared" si="0"/>
        <v>777336</v>
      </c>
      <c r="F8" s="1706">
        <f t="shared" si="0"/>
        <v>1315295</v>
      </c>
      <c r="G8" s="1706">
        <f t="shared" si="0"/>
        <v>525252</v>
      </c>
      <c r="H8" s="1706">
        <f t="shared" si="0"/>
        <v>109883</v>
      </c>
      <c r="I8" s="1706">
        <f t="shared" si="0"/>
        <v>369440</v>
      </c>
      <c r="J8" s="1706">
        <f t="shared" si="0"/>
        <v>0</v>
      </c>
      <c r="K8" s="1706">
        <f t="shared" si="0"/>
        <v>1057</v>
      </c>
      <c r="L8" s="347"/>
    </row>
    <row r="9" spans="1:13" ht="15.75" thickTop="1" x14ac:dyDescent="0.2">
      <c r="A9" s="512" t="s">
        <v>1752</v>
      </c>
      <c r="B9" s="513">
        <v>3998</v>
      </c>
      <c r="C9" s="465">
        <v>7733780</v>
      </c>
      <c r="D9" s="514"/>
      <c r="E9" s="480"/>
      <c r="F9" s="480"/>
      <c r="G9" s="515"/>
      <c r="H9" s="480"/>
      <c r="I9" s="507" t="s">
        <v>1231</v>
      </c>
      <c r="J9" s="477"/>
      <c r="K9" s="480"/>
      <c r="L9" s="347"/>
    </row>
    <row r="10" spans="1:13" s="517" customFormat="1" ht="13.5" thickBot="1" x14ac:dyDescent="0.25">
      <c r="A10" s="1754" t="s">
        <v>1235</v>
      </c>
      <c r="B10" s="1727"/>
      <c r="C10" s="1706">
        <f>SUM(C8:C9)</f>
        <v>29895789</v>
      </c>
      <c r="D10" s="1706">
        <f t="shared" ref="D10:K10" si="1">SUM(D8:D9)</f>
        <v>1841063</v>
      </c>
      <c r="E10" s="1706">
        <f t="shared" si="1"/>
        <v>777336</v>
      </c>
      <c r="F10" s="1706">
        <f t="shared" si="1"/>
        <v>1315295</v>
      </c>
      <c r="G10" s="1706">
        <f t="shared" si="1"/>
        <v>525252</v>
      </c>
      <c r="H10" s="1706">
        <f t="shared" si="1"/>
        <v>109883</v>
      </c>
      <c r="I10" s="1706">
        <f t="shared" si="1"/>
        <v>369440</v>
      </c>
      <c r="J10" s="1706">
        <f t="shared" si="1"/>
        <v>0</v>
      </c>
      <c r="K10" s="1706">
        <f t="shared" si="1"/>
        <v>1057</v>
      </c>
      <c r="L10" s="516"/>
    </row>
    <row r="11" spans="1:13" s="517" customFormat="1" ht="16.7" customHeight="1" thickTop="1" x14ac:dyDescent="0.2">
      <c r="A11" s="2313" t="s">
        <v>1238</v>
      </c>
      <c r="B11" s="2314"/>
      <c r="C11" s="1588"/>
      <c r="D11" s="1589"/>
      <c r="E11" s="1589"/>
      <c r="F11" s="1589"/>
      <c r="G11" s="1589"/>
      <c r="H11" s="1589"/>
      <c r="I11" s="1589"/>
      <c r="J11" s="1589"/>
      <c r="K11" s="1590"/>
      <c r="L11" s="516"/>
    </row>
    <row r="12" spans="1:13" ht="15.75" customHeight="1" x14ac:dyDescent="0.2">
      <c r="A12" s="1594" t="s">
        <v>476</v>
      </c>
      <c r="B12" s="1596">
        <v>1000</v>
      </c>
      <c r="C12" s="1760">
        <f>'Expenditures 15-22'!K33</f>
        <v>15834800</v>
      </c>
      <c r="D12" s="518" t="s">
        <v>1231</v>
      </c>
      <c r="E12" s="468" t="s">
        <v>1231</v>
      </c>
      <c r="F12" s="468" t="s">
        <v>1231</v>
      </c>
      <c r="G12" s="1760">
        <f>'Expenditures 15-22'!K229</f>
        <v>204067</v>
      </c>
      <c r="H12" s="519"/>
      <c r="I12" s="468" t="s">
        <v>1231</v>
      </c>
      <c r="J12" s="468" t="s">
        <v>1231</v>
      </c>
      <c r="K12" s="519" t="s">
        <v>1231</v>
      </c>
      <c r="L12" s="347"/>
    </row>
    <row r="13" spans="1:13" ht="15.75" customHeight="1" x14ac:dyDescent="0.2">
      <c r="A13" s="1594" t="s">
        <v>477</v>
      </c>
      <c r="B13" s="1596">
        <v>2000</v>
      </c>
      <c r="C13" s="1761">
        <f>'Expenditures 15-22'!K74</f>
        <v>5889945</v>
      </c>
      <c r="D13" s="1761">
        <f>'Expenditures 15-22'!K129</f>
        <v>2074046</v>
      </c>
      <c r="E13" s="469" t="s">
        <v>1231</v>
      </c>
      <c r="F13" s="1761">
        <f>'Expenditures 15-22'!K184</f>
        <v>1183140</v>
      </c>
      <c r="G13" s="1761">
        <f>'Expenditures 15-22'!K279</f>
        <v>337140</v>
      </c>
      <c r="H13" s="1761">
        <f>'Expenditures 15-22'!K303</f>
        <v>8124840</v>
      </c>
      <c r="I13" s="468" t="s">
        <v>1231</v>
      </c>
      <c r="J13" s="1761">
        <f>'Expenditures 15-22'!K330</f>
        <v>0</v>
      </c>
      <c r="K13" s="1765">
        <f>'Expenditures 15-22'!K352</f>
        <v>0</v>
      </c>
      <c r="L13" s="347"/>
    </row>
    <row r="14" spans="1:13" ht="15.75" customHeight="1" x14ac:dyDescent="0.2">
      <c r="A14" s="1594" t="s">
        <v>469</v>
      </c>
      <c r="B14" s="1596">
        <v>3000</v>
      </c>
      <c r="C14" s="1761">
        <f>'Expenditures 15-22'!K75</f>
        <v>0</v>
      </c>
      <c r="D14" s="1761">
        <f>'Expenditures 15-22'!K130</f>
        <v>0</v>
      </c>
      <c r="E14" s="518" t="s">
        <v>1231</v>
      </c>
      <c r="F14" s="1761">
        <f>'Expenditures 15-22'!K185</f>
        <v>0</v>
      </c>
      <c r="G14" s="1761">
        <f>'Expenditures 15-22'!K280</f>
        <v>0</v>
      </c>
      <c r="H14" s="510"/>
      <c r="I14" s="468" t="s">
        <v>1231</v>
      </c>
      <c r="J14" s="468" t="s">
        <v>1231</v>
      </c>
      <c r="K14" s="510" t="s">
        <v>1231</v>
      </c>
      <c r="L14" s="347"/>
    </row>
    <row r="15" spans="1:13" ht="15.75" customHeight="1" x14ac:dyDescent="0.2">
      <c r="A15" s="1594" t="s">
        <v>109</v>
      </c>
      <c r="B15" s="1596">
        <v>4000</v>
      </c>
      <c r="C15" s="1761">
        <f>'Expenditures 15-22'!K102</f>
        <v>174752</v>
      </c>
      <c r="D15" s="1761">
        <f>'Expenditures 15-22'!K139</f>
        <v>0</v>
      </c>
      <c r="E15" s="1761">
        <f>'Expenditures 15-22'!K160</f>
        <v>0</v>
      </c>
      <c r="F15" s="1761">
        <f>'Expenditures 15-22'!K196</f>
        <v>0</v>
      </c>
      <c r="G15" s="1761">
        <f>'Expenditures 15-22'!K285</f>
        <v>0</v>
      </c>
      <c r="H15" s="1761">
        <f>'Expenditures 15-22'!K310</f>
        <v>0</v>
      </c>
      <c r="I15" s="468" t="s">
        <v>1231</v>
      </c>
      <c r="J15" s="1854">
        <f>'Expenditures 15-22'!K334</f>
        <v>0</v>
      </c>
      <c r="K15" s="1761">
        <f>'Expenditures 15-22'!K357</f>
        <v>0</v>
      </c>
      <c r="L15" s="347"/>
    </row>
    <row r="16" spans="1:13" ht="15.75" customHeight="1" x14ac:dyDescent="0.2">
      <c r="A16" s="1594" t="s">
        <v>470</v>
      </c>
      <c r="B16" s="1596">
        <v>5000</v>
      </c>
      <c r="C16" s="1761">
        <f>'Expenditures 15-22'!K112</f>
        <v>0</v>
      </c>
      <c r="D16" s="1761">
        <f>'Expenditures 15-22'!K149</f>
        <v>0</v>
      </c>
      <c r="E16" s="1761">
        <f>'Expenditures 15-22'!K172</f>
        <v>973582</v>
      </c>
      <c r="F16" s="1761">
        <f>'Expenditures 15-22'!K208</f>
        <v>0</v>
      </c>
      <c r="G16" s="1761">
        <f>'Expenditures 15-22'!K293</f>
        <v>0</v>
      </c>
      <c r="H16" s="521"/>
      <c r="I16" s="468" t="s">
        <v>1231</v>
      </c>
      <c r="J16" s="1766">
        <f>'Expenditures 15-22'!K340</f>
        <v>0</v>
      </c>
      <c r="K16" s="1761">
        <f>'Expenditures 15-22'!K365</f>
        <v>0</v>
      </c>
      <c r="L16" s="347"/>
    </row>
    <row r="17" spans="1:12" ht="13.5" thickBot="1" x14ac:dyDescent="0.25">
      <c r="A17" s="1726" t="s">
        <v>50</v>
      </c>
      <c r="B17" s="1727"/>
      <c r="C17" s="1706">
        <f t="shared" ref="C17:H17" si="2">SUM(C12:C16)</f>
        <v>21899497</v>
      </c>
      <c r="D17" s="1706">
        <f t="shared" si="2"/>
        <v>2074046</v>
      </c>
      <c r="E17" s="1706">
        <f t="shared" si="2"/>
        <v>973582</v>
      </c>
      <c r="F17" s="1706">
        <f t="shared" si="2"/>
        <v>1183140</v>
      </c>
      <c r="G17" s="1706">
        <f t="shared" si="2"/>
        <v>541207</v>
      </c>
      <c r="H17" s="1706">
        <f t="shared" si="2"/>
        <v>8124840</v>
      </c>
      <c r="I17" s="468"/>
      <c r="J17" s="1706">
        <f>SUM(J12:J16)</f>
        <v>0</v>
      </c>
      <c r="K17" s="1706">
        <f>SUM(K12:K16)</f>
        <v>0</v>
      </c>
      <c r="L17" s="347"/>
    </row>
    <row r="18" spans="1:12" ht="15" customHeight="1" thickTop="1" x14ac:dyDescent="0.2">
      <c r="A18" s="1762" t="s">
        <v>1753</v>
      </c>
      <c r="B18" s="1763">
        <v>4180</v>
      </c>
      <c r="C18" s="1760">
        <f t="shared" ref="C18:H18" si="3">C9</f>
        <v>7733780</v>
      </c>
      <c r="D18" s="1760">
        <f t="shared" si="3"/>
        <v>0</v>
      </c>
      <c r="E18" s="1760">
        <f t="shared" si="3"/>
        <v>0</v>
      </c>
      <c r="F18" s="1760">
        <f t="shared" si="3"/>
        <v>0</v>
      </c>
      <c r="G18" s="1760">
        <f t="shared" si="3"/>
        <v>0</v>
      </c>
      <c r="H18" s="1760">
        <f t="shared" si="3"/>
        <v>0</v>
      </c>
      <c r="I18" s="468"/>
      <c r="J18" s="1760">
        <f>J9</f>
        <v>0</v>
      </c>
      <c r="K18" s="1760">
        <f>K9</f>
        <v>0</v>
      </c>
      <c r="L18" s="347"/>
    </row>
    <row r="19" spans="1:12" ht="13.5" thickBot="1" x14ac:dyDescent="0.25">
      <c r="A19" s="1726" t="s">
        <v>526</v>
      </c>
      <c r="B19" s="1727"/>
      <c r="C19" s="1706">
        <f t="shared" ref="C19:H19" si="4">SUM(C17:C18)</f>
        <v>29633277</v>
      </c>
      <c r="D19" s="1706">
        <f t="shared" si="4"/>
        <v>2074046</v>
      </c>
      <c r="E19" s="1706">
        <f t="shared" si="4"/>
        <v>973582</v>
      </c>
      <c r="F19" s="1706">
        <f t="shared" si="4"/>
        <v>1183140</v>
      </c>
      <c r="G19" s="1706">
        <f t="shared" si="4"/>
        <v>541207</v>
      </c>
      <c r="H19" s="1706">
        <f t="shared" si="4"/>
        <v>8124840</v>
      </c>
      <c r="I19" s="468"/>
      <c r="J19" s="1706">
        <f>SUM(J17:J18)</f>
        <v>0</v>
      </c>
      <c r="K19" s="1706">
        <f>SUM(K17:K18)</f>
        <v>0</v>
      </c>
      <c r="L19" s="347"/>
    </row>
    <row r="20" spans="1:12" ht="16.5" thickTop="1" thickBot="1" x14ac:dyDescent="0.25">
      <c r="A20" s="2329" t="s">
        <v>1754</v>
      </c>
      <c r="B20" s="2330"/>
      <c r="C20" s="1764">
        <f>C8-C17</f>
        <v>262512</v>
      </c>
      <c r="D20" s="1764">
        <f t="shared" ref="D20:K20" si="5">D8-D17</f>
        <v>-232983</v>
      </c>
      <c r="E20" s="1764">
        <f t="shared" si="5"/>
        <v>-196246</v>
      </c>
      <c r="F20" s="1764">
        <f t="shared" si="5"/>
        <v>132155</v>
      </c>
      <c r="G20" s="1764">
        <f t="shared" si="5"/>
        <v>-15955</v>
      </c>
      <c r="H20" s="1764">
        <f t="shared" si="5"/>
        <v>-8014957</v>
      </c>
      <c r="I20" s="1764">
        <f t="shared" si="5"/>
        <v>369440</v>
      </c>
      <c r="J20" s="1764">
        <f t="shared" si="5"/>
        <v>0</v>
      </c>
      <c r="K20" s="1764">
        <f t="shared" si="5"/>
        <v>1057</v>
      </c>
      <c r="L20" s="347"/>
    </row>
    <row r="21" spans="1:12" ht="16.7" customHeight="1" thickTop="1" x14ac:dyDescent="0.2">
      <c r="A21" s="2341" t="s">
        <v>616</v>
      </c>
      <c r="B21" s="2342"/>
      <c r="C21" s="1588"/>
      <c r="D21" s="1589"/>
      <c r="E21" s="1589"/>
      <c r="F21" s="1589"/>
      <c r="G21" s="1589"/>
      <c r="H21" s="1589"/>
      <c r="I21" s="1589"/>
      <c r="J21" s="1589"/>
      <c r="K21" s="1590"/>
      <c r="L21" s="522"/>
    </row>
    <row r="22" spans="1:12" ht="15.75" customHeight="1" collapsed="1" x14ac:dyDescent="0.2">
      <c r="A22" s="2337" t="s">
        <v>617</v>
      </c>
      <c r="B22" s="2338"/>
      <c r="C22" s="476"/>
      <c r="D22" s="476"/>
      <c r="E22" s="476"/>
      <c r="F22" s="476"/>
      <c r="G22" s="476"/>
      <c r="H22" s="476"/>
      <c r="I22" s="476"/>
      <c r="J22" s="476"/>
      <c r="K22" s="476"/>
      <c r="L22" s="347"/>
    </row>
    <row r="23" spans="1:12" s="484" customFormat="1" ht="15.75" customHeight="1" x14ac:dyDescent="0.2">
      <c r="A23" s="2333" t="s">
        <v>311</v>
      </c>
      <c r="B23" s="2334"/>
      <c r="C23" s="479"/>
      <c r="D23" s="476"/>
      <c r="E23" s="476"/>
      <c r="F23" s="476"/>
      <c r="G23" s="476"/>
      <c r="H23" s="476"/>
      <c r="I23" s="476"/>
      <c r="J23" s="476"/>
      <c r="K23" s="476"/>
      <c r="L23" s="522"/>
    </row>
    <row r="24" spans="1:12" s="484" customFormat="1" ht="13.5" customHeight="1" x14ac:dyDescent="0.2">
      <c r="A24" s="1507" t="s">
        <v>1755</v>
      </c>
      <c r="B24" s="523">
        <v>7110</v>
      </c>
      <c r="C24" s="465">
        <v>0</v>
      </c>
      <c r="D24" s="476"/>
      <c r="E24" s="476"/>
      <c r="F24" s="476"/>
      <c r="G24" s="476"/>
      <c r="H24" s="476"/>
      <c r="I24" s="476"/>
      <c r="J24" s="476"/>
      <c r="K24" s="476"/>
      <c r="L24" s="522"/>
    </row>
    <row r="25" spans="1:12" s="484" customFormat="1" ht="13.5" customHeight="1" x14ac:dyDescent="0.2">
      <c r="A25" s="1507" t="s">
        <v>1756</v>
      </c>
      <c r="B25" s="523">
        <v>7110</v>
      </c>
      <c r="C25" s="465">
        <v>0</v>
      </c>
      <c r="D25" s="467">
        <v>0</v>
      </c>
      <c r="E25" s="467">
        <v>0</v>
      </c>
      <c r="F25" s="467">
        <v>0</v>
      </c>
      <c r="G25" s="467">
        <v>0</v>
      </c>
      <c r="H25" s="467">
        <v>0</v>
      </c>
      <c r="I25" s="476"/>
      <c r="J25" s="467">
        <v>0</v>
      </c>
      <c r="K25" s="467">
        <v>0</v>
      </c>
      <c r="L25" s="522"/>
    </row>
    <row r="26" spans="1:12" s="484" customFormat="1" ht="13.5" customHeight="1" x14ac:dyDescent="0.2">
      <c r="A26" s="1507" t="s">
        <v>193</v>
      </c>
      <c r="B26" s="482">
        <v>7120</v>
      </c>
      <c r="C26" s="465">
        <v>0</v>
      </c>
      <c r="D26" s="467">
        <v>0</v>
      </c>
      <c r="E26" s="467">
        <v>0</v>
      </c>
      <c r="F26" s="467">
        <v>0</v>
      </c>
      <c r="G26" s="467">
        <v>0</v>
      </c>
      <c r="H26" s="467">
        <v>0</v>
      </c>
      <c r="I26" s="476"/>
      <c r="J26" s="467">
        <v>0</v>
      </c>
      <c r="K26" s="467">
        <v>0</v>
      </c>
      <c r="L26" s="522"/>
    </row>
    <row r="27" spans="1:12" s="484" customFormat="1" ht="13.5" customHeight="1" x14ac:dyDescent="0.2">
      <c r="A27" s="1507" t="s">
        <v>194</v>
      </c>
      <c r="B27" s="482">
        <v>7130</v>
      </c>
      <c r="C27" s="465">
        <v>0</v>
      </c>
      <c r="D27" s="467">
        <v>0</v>
      </c>
      <c r="E27" s="524"/>
      <c r="F27" s="467">
        <v>0</v>
      </c>
      <c r="G27" s="479"/>
      <c r="H27" s="479"/>
      <c r="I27" s="479"/>
      <c r="J27" s="479"/>
      <c r="K27" s="479"/>
      <c r="L27" s="522"/>
    </row>
    <row r="28" spans="1:12" s="484" customFormat="1" ht="13.5" customHeight="1" x14ac:dyDescent="0.2">
      <c r="A28" s="1507" t="s">
        <v>1465</v>
      </c>
      <c r="B28" s="482">
        <v>7140</v>
      </c>
      <c r="C28" s="465">
        <v>0</v>
      </c>
      <c r="D28" s="467">
        <v>0</v>
      </c>
      <c r="E28" s="467">
        <v>0</v>
      </c>
      <c r="F28" s="467">
        <v>0</v>
      </c>
      <c r="G28" s="467">
        <v>0</v>
      </c>
      <c r="H28" s="467">
        <v>0</v>
      </c>
      <c r="I28" s="467">
        <v>0</v>
      </c>
      <c r="J28" s="467">
        <v>0</v>
      </c>
      <c r="K28" s="467">
        <v>0</v>
      </c>
      <c r="L28" s="522"/>
    </row>
    <row r="29" spans="1:12" s="484" customFormat="1" ht="13.5" customHeight="1" x14ac:dyDescent="0.2">
      <c r="A29" s="1507" t="s">
        <v>312</v>
      </c>
      <c r="B29" s="482">
        <v>7150</v>
      </c>
      <c r="C29" s="475"/>
      <c r="D29" s="467">
        <v>0</v>
      </c>
      <c r="E29" s="475"/>
      <c r="F29" s="475"/>
      <c r="G29" s="475"/>
      <c r="H29" s="475"/>
      <c r="I29" s="475"/>
      <c r="J29" s="475"/>
      <c r="K29" s="475"/>
      <c r="L29" s="522"/>
    </row>
    <row r="30" spans="1:12" s="484" customFormat="1" ht="26.25" x14ac:dyDescent="0.2">
      <c r="A30" s="1507" t="s">
        <v>1894</v>
      </c>
      <c r="B30" s="525">
        <v>7160</v>
      </c>
      <c r="C30" s="476"/>
      <c r="D30" s="467">
        <v>0</v>
      </c>
      <c r="E30" s="476"/>
      <c r="F30" s="476"/>
      <c r="G30" s="476"/>
      <c r="H30" s="476"/>
      <c r="I30" s="476"/>
      <c r="J30" s="476"/>
      <c r="K30" s="476"/>
      <c r="L30" s="522"/>
    </row>
    <row r="31" spans="1:12" s="484" customFormat="1" ht="26.25" x14ac:dyDescent="0.2">
      <c r="A31" s="1507" t="s">
        <v>1898</v>
      </c>
      <c r="B31" s="525">
        <v>7170</v>
      </c>
      <c r="C31" s="476"/>
      <c r="D31" s="476"/>
      <c r="E31" s="474">
        <v>0</v>
      </c>
      <c r="F31" s="476"/>
      <c r="G31" s="476"/>
      <c r="H31" s="476"/>
      <c r="I31" s="476"/>
      <c r="J31" s="476"/>
      <c r="K31" s="476"/>
      <c r="L31" s="522"/>
    </row>
    <row r="32" spans="1:12" s="484" customFormat="1" ht="15.75" customHeight="1" x14ac:dyDescent="0.2">
      <c r="A32" s="2335" t="s">
        <v>1038</v>
      </c>
      <c r="B32" s="2336"/>
      <c r="C32" s="476"/>
      <c r="D32" s="476"/>
      <c r="E32" s="475"/>
      <c r="F32" s="476"/>
      <c r="G32" s="476"/>
      <c r="H32" s="476"/>
      <c r="I32" s="476"/>
      <c r="J32" s="476"/>
      <c r="K32" s="476"/>
      <c r="L32" s="522"/>
    </row>
    <row r="33" spans="1:12" s="484" customFormat="1" x14ac:dyDescent="0.2">
      <c r="A33" s="1507" t="s">
        <v>432</v>
      </c>
      <c r="B33" s="523">
        <v>7210</v>
      </c>
      <c r="C33" s="465">
        <v>0</v>
      </c>
      <c r="D33" s="467">
        <v>0</v>
      </c>
      <c r="E33" s="467">
        <v>0</v>
      </c>
      <c r="F33" s="467">
        <v>0</v>
      </c>
      <c r="G33" s="476"/>
      <c r="H33" s="467">
        <v>17215000</v>
      </c>
      <c r="I33" s="467">
        <v>3000000</v>
      </c>
      <c r="J33" s="467">
        <v>0</v>
      </c>
      <c r="K33" s="467">
        <v>0</v>
      </c>
      <c r="L33" s="522"/>
    </row>
    <row r="34" spans="1:12" s="484" customFormat="1" x14ac:dyDescent="0.2">
      <c r="A34" s="1507" t="s">
        <v>1058</v>
      </c>
      <c r="B34" s="523">
        <v>7220</v>
      </c>
      <c r="C34" s="465">
        <v>0</v>
      </c>
      <c r="D34" s="467">
        <v>0</v>
      </c>
      <c r="E34" s="467">
        <v>0</v>
      </c>
      <c r="F34" s="467">
        <v>0</v>
      </c>
      <c r="G34" s="476"/>
      <c r="H34" s="477">
        <v>591954</v>
      </c>
      <c r="I34" s="477">
        <v>3744</v>
      </c>
      <c r="J34" s="477">
        <v>0</v>
      </c>
      <c r="K34" s="477">
        <v>0</v>
      </c>
      <c r="L34" s="522"/>
    </row>
    <row r="35" spans="1:12" s="484" customFormat="1" x14ac:dyDescent="0.2">
      <c r="A35" s="1507" t="s">
        <v>1047</v>
      </c>
      <c r="B35" s="523">
        <v>7230</v>
      </c>
      <c r="C35" s="465">
        <v>0</v>
      </c>
      <c r="D35" s="467">
        <v>0</v>
      </c>
      <c r="E35" s="467">
        <v>202757</v>
      </c>
      <c r="F35" s="467">
        <v>0</v>
      </c>
      <c r="G35" s="479"/>
      <c r="H35" s="467">
        <v>0</v>
      </c>
      <c r="I35" s="467">
        <v>0</v>
      </c>
      <c r="J35" s="467">
        <v>0</v>
      </c>
      <c r="K35" s="467">
        <v>0</v>
      </c>
      <c r="L35" s="522"/>
    </row>
    <row r="36" spans="1:12" s="484" customFormat="1" ht="15" x14ac:dyDescent="0.2">
      <c r="A36" s="1507" t="s">
        <v>1757</v>
      </c>
      <c r="B36" s="523">
        <v>7300</v>
      </c>
      <c r="C36" s="465">
        <v>0</v>
      </c>
      <c r="D36" s="467">
        <v>0</v>
      </c>
      <c r="E36" s="467">
        <v>0</v>
      </c>
      <c r="F36" s="467">
        <v>0</v>
      </c>
      <c r="G36" s="467">
        <v>0</v>
      </c>
      <c r="H36" s="467">
        <v>6648</v>
      </c>
      <c r="I36" s="475"/>
      <c r="J36" s="467">
        <v>0</v>
      </c>
      <c r="K36" s="467">
        <v>0</v>
      </c>
      <c r="L36" s="522"/>
    </row>
    <row r="37" spans="1:12" s="484" customFormat="1" x14ac:dyDescent="0.2">
      <c r="A37" s="1507" t="s">
        <v>461</v>
      </c>
      <c r="B37" s="523">
        <v>7400</v>
      </c>
      <c r="C37" s="475"/>
      <c r="D37" s="475"/>
      <c r="E37" s="1761">
        <f>SUM(C54:D57,H54:H57)</f>
        <v>0</v>
      </c>
      <c r="F37" s="475"/>
      <c r="G37" s="475"/>
      <c r="H37" s="475"/>
      <c r="I37" s="476"/>
      <c r="J37" s="475"/>
      <c r="K37" s="475"/>
      <c r="L37" s="522"/>
    </row>
    <row r="38" spans="1:12" s="484" customFormat="1" x14ac:dyDescent="0.2">
      <c r="A38" s="1507" t="s">
        <v>462</v>
      </c>
      <c r="B38" s="523">
        <v>7500</v>
      </c>
      <c r="C38" s="476"/>
      <c r="D38" s="476"/>
      <c r="E38" s="1761">
        <f>SUM(C58:D61,H58:H61)</f>
        <v>0</v>
      </c>
      <c r="F38" s="476"/>
      <c r="G38" s="476"/>
      <c r="H38" s="476"/>
      <c r="I38" s="476"/>
      <c r="J38" s="476"/>
      <c r="K38" s="476"/>
      <c r="L38" s="522"/>
    </row>
    <row r="39" spans="1:12" s="484" customFormat="1" x14ac:dyDescent="0.2">
      <c r="A39" s="1507" t="s">
        <v>463</v>
      </c>
      <c r="B39" s="523">
        <v>7600</v>
      </c>
      <c r="C39" s="476"/>
      <c r="D39" s="476"/>
      <c r="E39" s="1761">
        <f>SUM(C62:D65)</f>
        <v>0</v>
      </c>
      <c r="F39" s="476"/>
      <c r="G39" s="476"/>
      <c r="H39" s="476"/>
      <c r="I39" s="476"/>
      <c r="J39" s="476"/>
      <c r="K39" s="476"/>
      <c r="L39" s="522"/>
    </row>
    <row r="40" spans="1:12" s="484" customFormat="1" ht="13.5" customHeight="1" x14ac:dyDescent="0.2">
      <c r="A40" s="1507" t="s">
        <v>663</v>
      </c>
      <c r="B40" s="482">
        <v>7700</v>
      </c>
      <c r="C40" s="476"/>
      <c r="D40" s="476"/>
      <c r="E40" s="1761">
        <f>SUM(C66:D69)</f>
        <v>0</v>
      </c>
      <c r="F40" s="476"/>
      <c r="G40" s="476"/>
      <c r="H40" s="479"/>
      <c r="I40" s="476"/>
      <c r="J40" s="476"/>
      <c r="K40" s="476"/>
      <c r="L40" s="522"/>
    </row>
    <row r="41" spans="1:12" s="484" customFormat="1" ht="13.5" customHeight="1" x14ac:dyDescent="0.2">
      <c r="A41" s="1507" t="s">
        <v>661</v>
      </c>
      <c r="B41" s="482">
        <v>7800</v>
      </c>
      <c r="C41" s="479"/>
      <c r="D41" s="479"/>
      <c r="E41" s="524"/>
      <c r="F41" s="479"/>
      <c r="G41" s="479"/>
      <c r="H41" s="1761">
        <f>SUM(C70:D73)</f>
        <v>0</v>
      </c>
      <c r="I41" s="476"/>
      <c r="J41" s="476"/>
      <c r="K41" s="479"/>
      <c r="L41" s="522"/>
    </row>
    <row r="42" spans="1:12" s="484" customFormat="1" ht="13.5" customHeight="1" x14ac:dyDescent="0.2">
      <c r="A42" s="1507" t="s">
        <v>662</v>
      </c>
      <c r="B42" s="482">
        <v>7900</v>
      </c>
      <c r="C42" s="465">
        <v>0</v>
      </c>
      <c r="D42" s="467">
        <v>0</v>
      </c>
      <c r="E42" s="467">
        <v>0</v>
      </c>
      <c r="F42" s="467">
        <v>0</v>
      </c>
      <c r="G42" s="467">
        <v>0</v>
      </c>
      <c r="H42" s="467">
        <v>0</v>
      </c>
      <c r="I42" s="479"/>
      <c r="J42" s="479"/>
      <c r="K42" s="467">
        <v>0</v>
      </c>
      <c r="L42" s="522"/>
    </row>
    <row r="43" spans="1:12" s="484" customFormat="1" ht="13.5" customHeight="1" x14ac:dyDescent="0.2">
      <c r="A43" s="1507" t="s">
        <v>391</v>
      </c>
      <c r="B43" s="482">
        <v>7990</v>
      </c>
      <c r="C43" s="465">
        <v>0</v>
      </c>
      <c r="D43" s="467">
        <v>0</v>
      </c>
      <c r="E43" s="467">
        <v>0</v>
      </c>
      <c r="F43" s="467">
        <v>0</v>
      </c>
      <c r="G43" s="467">
        <v>0</v>
      </c>
      <c r="H43" s="467">
        <v>3003744</v>
      </c>
      <c r="I43" s="467">
        <v>0</v>
      </c>
      <c r="J43" s="467">
        <v>0</v>
      </c>
      <c r="K43" s="467">
        <v>0</v>
      </c>
      <c r="L43" s="522"/>
    </row>
    <row r="44" spans="1:12" s="484" customFormat="1" ht="13.5" customHeight="1" thickBot="1" x14ac:dyDescent="0.25">
      <c r="A44" s="2343" t="s">
        <v>392</v>
      </c>
      <c r="B44" s="2344"/>
      <c r="C44" s="1721">
        <f>SUM(C24:C43)</f>
        <v>0</v>
      </c>
      <c r="D44" s="1721">
        <f t="shared" ref="D44:K44" si="6">SUM(D24:D43)</f>
        <v>0</v>
      </c>
      <c r="E44" s="1721">
        <f t="shared" si="6"/>
        <v>202757</v>
      </c>
      <c r="F44" s="1721">
        <f t="shared" si="6"/>
        <v>0</v>
      </c>
      <c r="G44" s="1721">
        <f t="shared" si="6"/>
        <v>0</v>
      </c>
      <c r="H44" s="1721">
        <f t="shared" si="6"/>
        <v>20817346</v>
      </c>
      <c r="I44" s="1721">
        <f t="shared" si="6"/>
        <v>3003744</v>
      </c>
      <c r="J44" s="1721">
        <f t="shared" si="6"/>
        <v>0</v>
      </c>
      <c r="K44" s="1721">
        <f t="shared" si="6"/>
        <v>0</v>
      </c>
      <c r="L44" s="522"/>
    </row>
    <row r="45" spans="1:12" ht="15.75" customHeight="1" thickTop="1" x14ac:dyDescent="0.2">
      <c r="A45" s="2337" t="s">
        <v>110</v>
      </c>
      <c r="B45" s="2338"/>
      <c r="C45" s="526"/>
      <c r="D45" s="526"/>
      <c r="E45" s="526"/>
      <c r="F45" s="526"/>
      <c r="G45" s="526"/>
      <c r="H45" s="526"/>
      <c r="I45" s="526"/>
      <c r="J45" s="526"/>
      <c r="K45" s="526"/>
      <c r="L45" s="347"/>
    </row>
    <row r="46" spans="1:12" s="484" customFormat="1" ht="15.75" customHeight="1" x14ac:dyDescent="0.2">
      <c r="A46" s="2345" t="s">
        <v>111</v>
      </c>
      <c r="B46" s="2346"/>
      <c r="C46" s="476"/>
      <c r="D46" s="476"/>
      <c r="E46" s="476"/>
      <c r="F46" s="476"/>
      <c r="G46" s="476"/>
      <c r="H46" s="476"/>
      <c r="I46" s="479"/>
      <c r="J46" s="476"/>
      <c r="K46" s="476"/>
      <c r="L46" s="527"/>
    </row>
    <row r="47" spans="1:12" s="484" customFormat="1" ht="15" x14ac:dyDescent="0.2">
      <c r="A47" s="1508" t="s">
        <v>1758</v>
      </c>
      <c r="B47" s="482">
        <v>8110</v>
      </c>
      <c r="C47" s="476"/>
      <c r="D47" s="476"/>
      <c r="E47" s="476"/>
      <c r="F47" s="476"/>
      <c r="G47" s="476"/>
      <c r="H47" s="476"/>
      <c r="I47" s="1761">
        <f>SUM(C24,C25:H25,J25:K25)</f>
        <v>0</v>
      </c>
      <c r="J47" s="476"/>
      <c r="K47" s="476"/>
      <c r="L47" s="527"/>
    </row>
    <row r="48" spans="1:12" s="484" customFormat="1" ht="15" x14ac:dyDescent="0.2">
      <c r="A48" s="1508" t="s">
        <v>1759</v>
      </c>
      <c r="B48" s="482">
        <v>8120</v>
      </c>
      <c r="C48" s="479"/>
      <c r="D48" s="479"/>
      <c r="E48" s="476"/>
      <c r="F48" s="479"/>
      <c r="G48" s="476"/>
      <c r="H48" s="476"/>
      <c r="I48" s="1761">
        <f>SUM(C26:H26,J26,K26)</f>
        <v>0</v>
      </c>
      <c r="J48" s="476"/>
      <c r="K48" s="476"/>
      <c r="L48" s="527"/>
    </row>
    <row r="49" spans="1:12" s="484" customFormat="1" x14ac:dyDescent="0.2">
      <c r="A49" s="1508" t="s">
        <v>194</v>
      </c>
      <c r="B49" s="482">
        <v>8130</v>
      </c>
      <c r="C49" s="465">
        <v>0</v>
      </c>
      <c r="D49" s="467">
        <v>0</v>
      </c>
      <c r="E49" s="479"/>
      <c r="F49" s="467">
        <v>0</v>
      </c>
      <c r="G49" s="479"/>
      <c r="H49" s="479"/>
      <c r="I49" s="476"/>
      <c r="J49" s="479"/>
      <c r="K49" s="476"/>
      <c r="L49" s="522"/>
    </row>
    <row r="50" spans="1:12" s="484" customFormat="1" x14ac:dyDescent="0.2">
      <c r="A50" s="1508" t="s">
        <v>1465</v>
      </c>
      <c r="B50" s="482">
        <v>8140</v>
      </c>
      <c r="C50" s="465">
        <v>0</v>
      </c>
      <c r="D50" s="467">
        <v>0</v>
      </c>
      <c r="E50" s="467">
        <v>0</v>
      </c>
      <c r="F50" s="467">
        <v>0</v>
      </c>
      <c r="G50" s="467">
        <v>0</v>
      </c>
      <c r="H50" s="467">
        <v>0</v>
      </c>
      <c r="I50" s="476"/>
      <c r="J50" s="467">
        <v>0</v>
      </c>
      <c r="K50" s="476"/>
      <c r="L50" s="522"/>
    </row>
    <row r="51" spans="1:12" s="484" customFormat="1" x14ac:dyDescent="0.2">
      <c r="A51" s="1508" t="s">
        <v>312</v>
      </c>
      <c r="B51" s="482">
        <v>8150</v>
      </c>
      <c r="C51" s="475"/>
      <c r="D51" s="475"/>
      <c r="E51" s="475"/>
      <c r="F51" s="475"/>
      <c r="G51" s="475"/>
      <c r="H51" s="1761">
        <f>SUM(D29)</f>
        <v>0</v>
      </c>
      <c r="I51" s="476"/>
      <c r="J51" s="475"/>
      <c r="K51" s="479"/>
      <c r="L51" s="522"/>
    </row>
    <row r="52" spans="1:12" s="484" customFormat="1" ht="26.25" x14ac:dyDescent="0.2">
      <c r="A52" s="1508" t="s">
        <v>1897</v>
      </c>
      <c r="B52" s="482">
        <v>8160</v>
      </c>
      <c r="C52" s="476"/>
      <c r="D52" s="476"/>
      <c r="E52" s="476"/>
      <c r="F52" s="476"/>
      <c r="G52" s="476"/>
      <c r="H52" s="476"/>
      <c r="I52" s="476"/>
      <c r="J52" s="476"/>
      <c r="K52" s="1761">
        <f>D30</f>
        <v>0</v>
      </c>
      <c r="L52" s="522"/>
    </row>
    <row r="53" spans="1:12" s="484" customFormat="1" ht="26.25" x14ac:dyDescent="0.2">
      <c r="A53" s="1508" t="s">
        <v>1896</v>
      </c>
      <c r="B53" s="482">
        <v>8170</v>
      </c>
      <c r="C53" s="479"/>
      <c r="D53" s="479"/>
      <c r="E53" s="476"/>
      <c r="F53" s="476"/>
      <c r="G53" s="476"/>
      <c r="H53" s="479"/>
      <c r="I53" s="476"/>
      <c r="J53" s="476"/>
      <c r="K53" s="1761">
        <f>E31</f>
        <v>0</v>
      </c>
      <c r="L53" s="522"/>
    </row>
    <row r="54" spans="1:12" s="484" customFormat="1" ht="13.5" thickBot="1" x14ac:dyDescent="0.25">
      <c r="A54" s="1508" t="s">
        <v>716</v>
      </c>
      <c r="B54" s="482">
        <v>8410</v>
      </c>
      <c r="C54" s="528">
        <v>0</v>
      </c>
      <c r="D54" s="528">
        <v>0</v>
      </c>
      <c r="E54" s="476"/>
      <c r="F54" s="476"/>
      <c r="G54" s="476"/>
      <c r="H54" s="528">
        <v>0</v>
      </c>
      <c r="I54" s="476"/>
      <c r="J54" s="476"/>
      <c r="K54" s="475"/>
      <c r="L54" s="522"/>
    </row>
    <row r="55" spans="1:12" s="484" customFormat="1" ht="14.25" thickTop="1" thickBot="1" x14ac:dyDescent="0.25">
      <c r="A55" s="1509" t="s">
        <v>717</v>
      </c>
      <c r="B55" s="482">
        <v>8420</v>
      </c>
      <c r="C55" s="528">
        <v>0</v>
      </c>
      <c r="D55" s="529">
        <v>0</v>
      </c>
      <c r="E55" s="476"/>
      <c r="F55" s="476"/>
      <c r="G55" s="476"/>
      <c r="H55" s="528">
        <v>0</v>
      </c>
      <c r="I55" s="476"/>
      <c r="J55" s="476"/>
      <c r="K55" s="476"/>
      <c r="L55" s="522"/>
    </row>
    <row r="56" spans="1:12" s="484" customFormat="1" ht="14.25" thickTop="1" thickBot="1" x14ac:dyDescent="0.25">
      <c r="A56" s="1508" t="s">
        <v>602</v>
      </c>
      <c r="B56" s="482">
        <v>8430</v>
      </c>
      <c r="C56" s="528">
        <v>0</v>
      </c>
      <c r="D56" s="529">
        <v>0</v>
      </c>
      <c r="E56" s="476"/>
      <c r="F56" s="476"/>
      <c r="G56" s="476"/>
      <c r="H56" s="528">
        <v>0</v>
      </c>
      <c r="I56" s="476"/>
      <c r="J56" s="476"/>
      <c r="K56" s="476"/>
      <c r="L56" s="522"/>
    </row>
    <row r="57" spans="1:12" s="484" customFormat="1" ht="14.25" thickTop="1" thickBot="1" x14ac:dyDescent="0.25">
      <c r="A57" s="1509" t="s">
        <v>599</v>
      </c>
      <c r="B57" s="482">
        <v>8440</v>
      </c>
      <c r="C57" s="528">
        <v>0</v>
      </c>
      <c r="D57" s="529">
        <v>0</v>
      </c>
      <c r="E57" s="476"/>
      <c r="F57" s="476"/>
      <c r="G57" s="476"/>
      <c r="H57" s="528">
        <v>0</v>
      </c>
      <c r="I57" s="476"/>
      <c r="J57" s="476"/>
      <c r="K57" s="476"/>
      <c r="L57" s="522"/>
    </row>
    <row r="58" spans="1:12" s="484" customFormat="1" ht="14.25" thickTop="1" thickBot="1" x14ac:dyDescent="0.25">
      <c r="A58" s="1508" t="s">
        <v>600</v>
      </c>
      <c r="B58" s="482">
        <v>8510</v>
      </c>
      <c r="C58" s="528">
        <v>0</v>
      </c>
      <c r="D58" s="529">
        <v>0</v>
      </c>
      <c r="E58" s="476"/>
      <c r="F58" s="476"/>
      <c r="G58" s="476"/>
      <c r="H58" s="528">
        <v>0</v>
      </c>
      <c r="I58" s="476"/>
      <c r="J58" s="476"/>
      <c r="K58" s="476"/>
      <c r="L58" s="522"/>
    </row>
    <row r="59" spans="1:12" s="484" customFormat="1" ht="14.25" thickTop="1" thickBot="1" x14ac:dyDescent="0.25">
      <c r="A59" s="1510" t="s">
        <v>718</v>
      </c>
      <c r="B59" s="482">
        <v>8520</v>
      </c>
      <c r="C59" s="528">
        <v>0</v>
      </c>
      <c r="D59" s="529">
        <v>0</v>
      </c>
      <c r="E59" s="476"/>
      <c r="F59" s="476"/>
      <c r="G59" s="476"/>
      <c r="H59" s="528">
        <v>0</v>
      </c>
      <c r="I59" s="476"/>
      <c r="J59" s="476"/>
      <c r="K59" s="476"/>
      <c r="L59" s="522"/>
    </row>
    <row r="60" spans="1:12" s="484" customFormat="1" ht="14.25" thickTop="1" thickBot="1" x14ac:dyDescent="0.25">
      <c r="A60" s="1508" t="s">
        <v>601</v>
      </c>
      <c r="B60" s="482">
        <v>8530</v>
      </c>
      <c r="C60" s="528">
        <v>0</v>
      </c>
      <c r="D60" s="529">
        <v>0</v>
      </c>
      <c r="E60" s="476"/>
      <c r="F60" s="476"/>
      <c r="G60" s="476"/>
      <c r="H60" s="528">
        <v>0</v>
      </c>
      <c r="I60" s="476"/>
      <c r="J60" s="476"/>
      <c r="K60" s="476"/>
      <c r="L60" s="522"/>
    </row>
    <row r="61" spans="1:12" s="484" customFormat="1" ht="14.25" thickTop="1" thickBot="1" x14ac:dyDescent="0.25">
      <c r="A61" s="1509" t="s">
        <v>767</v>
      </c>
      <c r="B61" s="482">
        <v>8540</v>
      </c>
      <c r="C61" s="528">
        <v>0</v>
      </c>
      <c r="D61" s="529">
        <v>0</v>
      </c>
      <c r="E61" s="476"/>
      <c r="F61" s="476"/>
      <c r="G61" s="476"/>
      <c r="H61" s="528">
        <v>0</v>
      </c>
      <c r="I61" s="476"/>
      <c r="J61" s="476"/>
      <c r="K61" s="476"/>
      <c r="L61" s="522"/>
    </row>
    <row r="62" spans="1:12" s="484" customFormat="1" ht="13.5" customHeight="1" thickTop="1" thickBot="1" x14ac:dyDescent="0.25">
      <c r="A62" s="1508" t="s">
        <v>768</v>
      </c>
      <c r="B62" s="482">
        <v>8610</v>
      </c>
      <c r="C62" s="528">
        <v>0</v>
      </c>
      <c r="D62" s="529">
        <v>0</v>
      </c>
      <c r="E62" s="476"/>
      <c r="F62" s="476"/>
      <c r="G62" s="476"/>
      <c r="H62" s="476"/>
      <c r="I62" s="476"/>
      <c r="J62" s="476"/>
      <c r="K62" s="476"/>
      <c r="L62" s="522"/>
    </row>
    <row r="63" spans="1:12" s="484" customFormat="1" ht="14.25" thickTop="1" thickBot="1" x14ac:dyDescent="0.25">
      <c r="A63" s="1509" t="s">
        <v>719</v>
      </c>
      <c r="B63" s="482">
        <v>8620</v>
      </c>
      <c r="C63" s="528">
        <v>0</v>
      </c>
      <c r="D63" s="529">
        <v>0</v>
      </c>
      <c r="E63" s="476"/>
      <c r="F63" s="476"/>
      <c r="G63" s="476"/>
      <c r="H63" s="476"/>
      <c r="I63" s="476"/>
      <c r="J63" s="476"/>
      <c r="K63" s="476"/>
      <c r="L63" s="522"/>
    </row>
    <row r="64" spans="1:12" s="484" customFormat="1" ht="13.5" customHeight="1" thickTop="1" thickBot="1" x14ac:dyDescent="0.25">
      <c r="A64" s="1508" t="s">
        <v>769</v>
      </c>
      <c r="B64" s="482">
        <v>8630</v>
      </c>
      <c r="C64" s="528">
        <v>0</v>
      </c>
      <c r="D64" s="529">
        <v>0</v>
      </c>
      <c r="E64" s="476"/>
      <c r="F64" s="476"/>
      <c r="G64" s="476"/>
      <c r="H64" s="476"/>
      <c r="I64" s="476"/>
      <c r="J64" s="476"/>
      <c r="K64" s="476"/>
      <c r="L64" s="522"/>
    </row>
    <row r="65" spans="1:12" s="484" customFormat="1" ht="14.25" thickTop="1" thickBot="1" x14ac:dyDescent="0.25">
      <c r="A65" s="1509" t="s">
        <v>770</v>
      </c>
      <c r="B65" s="482">
        <v>8640</v>
      </c>
      <c r="C65" s="528">
        <v>0</v>
      </c>
      <c r="D65" s="529">
        <v>0</v>
      </c>
      <c r="E65" s="476"/>
      <c r="F65" s="476"/>
      <c r="G65" s="476"/>
      <c r="H65" s="476"/>
      <c r="I65" s="476"/>
      <c r="J65" s="476"/>
      <c r="K65" s="476"/>
      <c r="L65" s="522"/>
    </row>
    <row r="66" spans="1:12" s="484" customFormat="1" ht="14.25" thickTop="1" thickBot="1" x14ac:dyDescent="0.25">
      <c r="A66" s="1508" t="s">
        <v>771</v>
      </c>
      <c r="B66" s="482">
        <v>8710</v>
      </c>
      <c r="C66" s="528">
        <v>0</v>
      </c>
      <c r="D66" s="529">
        <v>0</v>
      </c>
      <c r="E66" s="476"/>
      <c r="F66" s="476"/>
      <c r="G66" s="476"/>
      <c r="H66" s="476"/>
      <c r="I66" s="476"/>
      <c r="J66" s="476"/>
      <c r="K66" s="476"/>
      <c r="L66" s="522"/>
    </row>
    <row r="67" spans="1:12" s="484" customFormat="1" ht="14.25" thickTop="1" thickBot="1" x14ac:dyDescent="0.25">
      <c r="A67" s="1509" t="s">
        <v>720</v>
      </c>
      <c r="B67" s="482">
        <v>8720</v>
      </c>
      <c r="C67" s="528">
        <v>0</v>
      </c>
      <c r="D67" s="529">
        <v>0</v>
      </c>
      <c r="E67" s="476"/>
      <c r="F67" s="476"/>
      <c r="G67" s="476"/>
      <c r="H67" s="476"/>
      <c r="I67" s="476"/>
      <c r="J67" s="476"/>
      <c r="K67" s="476"/>
      <c r="L67" s="522"/>
    </row>
    <row r="68" spans="1:12" s="484" customFormat="1" ht="14.25" thickTop="1" thickBot="1" x14ac:dyDescent="0.25">
      <c r="A68" s="1510" t="s">
        <v>772</v>
      </c>
      <c r="B68" s="482">
        <v>8730</v>
      </c>
      <c r="C68" s="528">
        <v>0</v>
      </c>
      <c r="D68" s="529">
        <v>0</v>
      </c>
      <c r="E68" s="476"/>
      <c r="F68" s="476"/>
      <c r="G68" s="476"/>
      <c r="H68" s="476"/>
      <c r="I68" s="476"/>
      <c r="J68" s="476"/>
      <c r="K68" s="476"/>
      <c r="L68" s="522"/>
    </row>
    <row r="69" spans="1:12" s="484" customFormat="1" ht="14.25" thickTop="1" thickBot="1" x14ac:dyDescent="0.25">
      <c r="A69" s="1509" t="s">
        <v>773</v>
      </c>
      <c r="B69" s="482">
        <v>8740</v>
      </c>
      <c r="C69" s="528">
        <v>0</v>
      </c>
      <c r="D69" s="529">
        <v>0</v>
      </c>
      <c r="E69" s="476"/>
      <c r="F69" s="476"/>
      <c r="G69" s="476"/>
      <c r="H69" s="476"/>
      <c r="I69" s="476"/>
      <c r="J69" s="476"/>
      <c r="K69" s="476"/>
      <c r="L69" s="522"/>
    </row>
    <row r="70" spans="1:12" s="484" customFormat="1" ht="14.25" thickTop="1" thickBot="1" x14ac:dyDescent="0.25">
      <c r="A70" s="1508" t="s">
        <v>774</v>
      </c>
      <c r="B70" s="482">
        <v>8810</v>
      </c>
      <c r="C70" s="528">
        <v>0</v>
      </c>
      <c r="D70" s="529">
        <v>0</v>
      </c>
      <c r="E70" s="476"/>
      <c r="F70" s="476"/>
      <c r="G70" s="476"/>
      <c r="H70" s="476"/>
      <c r="I70" s="476"/>
      <c r="J70" s="476"/>
      <c r="K70" s="476"/>
      <c r="L70" s="522"/>
    </row>
    <row r="71" spans="1:12" s="484" customFormat="1" ht="14.25" thickTop="1" thickBot="1" x14ac:dyDescent="0.25">
      <c r="A71" s="1508" t="s">
        <v>778</v>
      </c>
      <c r="B71" s="482">
        <v>8820</v>
      </c>
      <c r="C71" s="528">
        <v>0</v>
      </c>
      <c r="D71" s="529">
        <v>0</v>
      </c>
      <c r="E71" s="476"/>
      <c r="F71" s="476"/>
      <c r="G71" s="476"/>
      <c r="H71" s="476"/>
      <c r="I71" s="476"/>
      <c r="J71" s="476"/>
      <c r="K71" s="476"/>
      <c r="L71" s="522"/>
    </row>
    <row r="72" spans="1:12" s="484" customFormat="1" ht="14.25" thickTop="1" thickBot="1" x14ac:dyDescent="0.25">
      <c r="A72" s="1508" t="s">
        <v>775</v>
      </c>
      <c r="B72" s="482">
        <v>8830</v>
      </c>
      <c r="C72" s="528">
        <v>0</v>
      </c>
      <c r="D72" s="529">
        <v>0</v>
      </c>
      <c r="E72" s="476"/>
      <c r="F72" s="476"/>
      <c r="G72" s="476"/>
      <c r="H72" s="476"/>
      <c r="I72" s="476"/>
      <c r="J72" s="476"/>
      <c r="K72" s="476"/>
      <c r="L72" s="522"/>
    </row>
    <row r="73" spans="1:12" s="484" customFormat="1" ht="14.25" thickTop="1" thickBot="1" x14ac:dyDescent="0.25">
      <c r="A73" s="1508" t="s">
        <v>776</v>
      </c>
      <c r="B73" s="482">
        <v>8840</v>
      </c>
      <c r="C73" s="528">
        <v>0</v>
      </c>
      <c r="D73" s="529">
        <v>0</v>
      </c>
      <c r="E73" s="476"/>
      <c r="F73" s="476"/>
      <c r="G73" s="476"/>
      <c r="H73" s="476"/>
      <c r="I73" s="476"/>
      <c r="J73" s="476"/>
      <c r="K73" s="479"/>
      <c r="L73" s="522"/>
    </row>
    <row r="74" spans="1:12" s="484" customFormat="1" ht="14.25" thickTop="1" thickBot="1" x14ac:dyDescent="0.25">
      <c r="A74" s="1508" t="s">
        <v>393</v>
      </c>
      <c r="B74" s="482">
        <v>8910</v>
      </c>
      <c r="C74" s="528">
        <v>0</v>
      </c>
      <c r="D74" s="529">
        <v>0</v>
      </c>
      <c r="E74" s="479"/>
      <c r="F74" s="528">
        <v>0</v>
      </c>
      <c r="G74" s="528">
        <v>0</v>
      </c>
      <c r="H74" s="528">
        <v>0</v>
      </c>
      <c r="I74" s="479"/>
      <c r="J74" s="479"/>
      <c r="K74" s="528">
        <v>0</v>
      </c>
      <c r="L74" s="522"/>
    </row>
    <row r="75" spans="1:12" s="484" customFormat="1" ht="14.25" thickTop="1" thickBot="1" x14ac:dyDescent="0.25">
      <c r="A75" s="1511" t="s">
        <v>459</v>
      </c>
      <c r="B75" s="482">
        <v>8990</v>
      </c>
      <c r="C75" s="528">
        <v>0</v>
      </c>
      <c r="D75" s="529">
        <v>0</v>
      </c>
      <c r="E75" s="528">
        <v>0</v>
      </c>
      <c r="F75" s="530">
        <v>0</v>
      </c>
      <c r="G75" s="530">
        <v>0</v>
      </c>
      <c r="H75" s="530">
        <v>0</v>
      </c>
      <c r="I75" s="528">
        <v>3003744</v>
      </c>
      <c r="J75" s="528">
        <v>0</v>
      </c>
      <c r="K75" s="530">
        <v>0</v>
      </c>
      <c r="L75" s="522"/>
    </row>
    <row r="76" spans="1:12" s="484" customFormat="1" ht="14.25" thickTop="1" thickBot="1" x14ac:dyDescent="0.25">
      <c r="A76" s="2319" t="s">
        <v>460</v>
      </c>
      <c r="B76" s="2320"/>
      <c r="C76" s="1721">
        <f t="shared" ref="C76:K76" si="7">SUM(C47:C75)</f>
        <v>0</v>
      </c>
      <c r="D76" s="1721">
        <f t="shared" si="7"/>
        <v>0</v>
      </c>
      <c r="E76" s="1721">
        <f t="shared" si="7"/>
        <v>0</v>
      </c>
      <c r="F76" s="1721">
        <f t="shared" si="7"/>
        <v>0</v>
      </c>
      <c r="G76" s="1721">
        <f t="shared" si="7"/>
        <v>0</v>
      </c>
      <c r="H76" s="1721">
        <f t="shared" si="7"/>
        <v>0</v>
      </c>
      <c r="I76" s="1721">
        <f t="shared" si="7"/>
        <v>3003744</v>
      </c>
      <c r="J76" s="1721">
        <f t="shared" si="7"/>
        <v>0</v>
      </c>
      <c r="K76" s="1721">
        <f t="shared" si="7"/>
        <v>0</v>
      </c>
      <c r="L76" s="522"/>
    </row>
    <row r="77" spans="1:12" ht="14.25" thickTop="1" thickBot="1" x14ac:dyDescent="0.25">
      <c r="A77" s="2321" t="s">
        <v>1239</v>
      </c>
      <c r="B77" s="2322"/>
      <c r="C77" s="1721">
        <f t="shared" ref="C77:K77" si="8">C44-C76</f>
        <v>0</v>
      </c>
      <c r="D77" s="1721">
        <f t="shared" si="8"/>
        <v>0</v>
      </c>
      <c r="E77" s="1721">
        <f t="shared" si="8"/>
        <v>202757</v>
      </c>
      <c r="F77" s="1721">
        <f t="shared" si="8"/>
        <v>0</v>
      </c>
      <c r="G77" s="1721">
        <f t="shared" si="8"/>
        <v>0</v>
      </c>
      <c r="H77" s="1721">
        <f t="shared" si="8"/>
        <v>20817346</v>
      </c>
      <c r="I77" s="1721">
        <f t="shared" si="8"/>
        <v>0</v>
      </c>
      <c r="J77" s="1721">
        <f t="shared" si="8"/>
        <v>0</v>
      </c>
      <c r="K77" s="1721">
        <f t="shared" si="8"/>
        <v>0</v>
      </c>
      <c r="L77" s="347"/>
    </row>
    <row r="78" spans="1:12" ht="21.75" customHeight="1" thickTop="1" thickBot="1" x14ac:dyDescent="0.25">
      <c r="A78" s="2325" t="s">
        <v>618</v>
      </c>
      <c r="B78" s="2326"/>
      <c r="C78" s="1720">
        <f t="shared" ref="C78:K78" si="9">C20+C77</f>
        <v>262512</v>
      </c>
      <c r="D78" s="1720">
        <f t="shared" si="9"/>
        <v>-232983</v>
      </c>
      <c r="E78" s="1720">
        <f t="shared" si="9"/>
        <v>6511</v>
      </c>
      <c r="F78" s="1720">
        <f t="shared" si="9"/>
        <v>132155</v>
      </c>
      <c r="G78" s="1720">
        <f t="shared" si="9"/>
        <v>-15955</v>
      </c>
      <c r="H78" s="1720">
        <f t="shared" si="9"/>
        <v>12802389</v>
      </c>
      <c r="I78" s="1720">
        <f t="shared" si="9"/>
        <v>369440</v>
      </c>
      <c r="J78" s="1720">
        <f t="shared" si="9"/>
        <v>0</v>
      </c>
      <c r="K78" s="1720">
        <f t="shared" si="9"/>
        <v>1057</v>
      </c>
      <c r="L78" s="531"/>
    </row>
    <row r="79" spans="1:12" ht="13.5" thickTop="1" x14ac:dyDescent="0.2">
      <c r="A79" s="1512" t="s">
        <v>2070</v>
      </c>
      <c r="B79" s="532"/>
      <c r="C79" s="467">
        <v>4050400</v>
      </c>
      <c r="D79" s="467">
        <v>2702471</v>
      </c>
      <c r="E79" s="467">
        <v>308343</v>
      </c>
      <c r="F79" s="467">
        <v>662469</v>
      </c>
      <c r="G79" s="467">
        <v>1430499</v>
      </c>
      <c r="H79" s="467">
        <v>834765</v>
      </c>
      <c r="I79" s="467">
        <v>2936970</v>
      </c>
      <c r="J79" s="467">
        <v>0</v>
      </c>
      <c r="K79" s="467">
        <v>84305</v>
      </c>
      <c r="L79" s="347"/>
    </row>
    <row r="80" spans="1:12" x14ac:dyDescent="0.2">
      <c r="A80" s="2331" t="s">
        <v>1895</v>
      </c>
      <c r="B80" s="2332"/>
      <c r="C80" s="467">
        <v>0</v>
      </c>
      <c r="D80" s="467">
        <v>0</v>
      </c>
      <c r="E80" s="467">
        <v>0</v>
      </c>
      <c r="F80" s="467">
        <v>0</v>
      </c>
      <c r="G80" s="467">
        <v>0</v>
      </c>
      <c r="H80" s="467">
        <v>0</v>
      </c>
      <c r="I80" s="467">
        <v>0</v>
      </c>
      <c r="J80" s="467">
        <v>0</v>
      </c>
      <c r="K80" s="467">
        <v>0</v>
      </c>
      <c r="L80" s="347"/>
    </row>
    <row r="81" spans="1:12" ht="13.5" thickBot="1" x14ac:dyDescent="0.25">
      <c r="A81" s="2323" t="s">
        <v>2071</v>
      </c>
      <c r="B81" s="2324"/>
      <c r="C81" s="1706">
        <f>(SUM(C78:C80))</f>
        <v>4312912</v>
      </c>
      <c r="D81" s="1706">
        <f>SUM(D78:D80)</f>
        <v>2469488</v>
      </c>
      <c r="E81" s="1706">
        <f t="shared" ref="E81:K81" si="10">SUM(E78:E80)</f>
        <v>314854</v>
      </c>
      <c r="F81" s="1706">
        <f t="shared" si="10"/>
        <v>794624</v>
      </c>
      <c r="G81" s="1706">
        <f t="shared" si="10"/>
        <v>1414544</v>
      </c>
      <c r="H81" s="1706">
        <f t="shared" si="10"/>
        <v>13637154</v>
      </c>
      <c r="I81" s="1706">
        <f t="shared" si="10"/>
        <v>3306410</v>
      </c>
      <c r="J81" s="1706">
        <f t="shared" si="10"/>
        <v>0</v>
      </c>
      <c r="K81" s="1706">
        <f t="shared" si="10"/>
        <v>85362</v>
      </c>
      <c r="L81" s="347"/>
    </row>
    <row r="82" spans="1:12" ht="0.75" customHeight="1" thickTop="1" thickBot="1" x14ac:dyDescent="0.25">
      <c r="A82" s="534" t="s">
        <v>361</v>
      </c>
      <c r="B82" s="535"/>
      <c r="C82" s="536">
        <f>(C81-C79)</f>
        <v>262512</v>
      </c>
      <c r="D82" s="536">
        <f t="shared" ref="D82:K82" si="11">(D81-D79)</f>
        <v>-232983</v>
      </c>
      <c r="E82" s="536">
        <f t="shared" si="11"/>
        <v>6511</v>
      </c>
      <c r="F82" s="536">
        <f t="shared" si="11"/>
        <v>132155</v>
      </c>
      <c r="G82" s="536">
        <f t="shared" si="11"/>
        <v>-15955</v>
      </c>
      <c r="H82" s="536">
        <f t="shared" si="11"/>
        <v>12802389</v>
      </c>
      <c r="I82" s="536">
        <f t="shared" si="11"/>
        <v>369440</v>
      </c>
      <c r="J82" s="536">
        <f t="shared" si="11"/>
        <v>0</v>
      </c>
      <c r="K82" s="536">
        <f t="shared" si="11"/>
        <v>1057</v>
      </c>
    </row>
    <row r="83" spans="1:12" ht="14.25" hidden="1" thickTop="1" thickBot="1" x14ac:dyDescent="0.25">
      <c r="A83" s="537" t="s">
        <v>362</v>
      </c>
      <c r="B83" s="464"/>
      <c r="C83" s="538">
        <f>C82/C81</f>
        <v>6.0866532866889006E-2</v>
      </c>
      <c r="D83" s="538">
        <f t="shared" ref="D83:K83" si="12">D82/D81</f>
        <v>-9.4344657678028812E-2</v>
      </c>
      <c r="E83" s="538">
        <f t="shared" si="12"/>
        <v>2.0679426019678961E-2</v>
      </c>
      <c r="F83" s="538">
        <f t="shared" si="12"/>
        <v>0.16631136235502578</v>
      </c>
      <c r="G83" s="538">
        <f t="shared" si="12"/>
        <v>-1.1279253243448065E-2</v>
      </c>
      <c r="H83" s="538">
        <f t="shared" si="12"/>
        <v>0.93878744787952095</v>
      </c>
      <c r="I83" s="538">
        <f t="shared" si="12"/>
        <v>0.11173447939003329</v>
      </c>
      <c r="J83" s="538" t="e">
        <f t="shared" si="12"/>
        <v>#DIV/0!</v>
      </c>
      <c r="K83" s="538">
        <f t="shared" si="12"/>
        <v>1.2382558984091283E-2</v>
      </c>
    </row>
    <row r="84" spans="1:12" ht="13.5" thickTop="1" x14ac:dyDescent="0.2"/>
    <row r="86" spans="1:12" x14ac:dyDescent="0.2">
      <c r="C86" s="501"/>
      <c r="D86" s="501"/>
      <c r="E86" s="501"/>
      <c r="F86" s="501"/>
      <c r="G86" s="501"/>
      <c r="H86" s="501"/>
      <c r="I86" s="501"/>
      <c r="J86" s="501"/>
    </row>
    <row r="87" spans="1:12" x14ac:dyDescent="0.2">
      <c r="C87" s="501"/>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H12" sqref="H12"/>
      <selection pane="bottomLeft" activeCell="C7" sqref="C7"/>
    </sheetView>
  </sheetViews>
  <sheetFormatPr defaultColWidth="9.140625" defaultRowHeight="12.75" x14ac:dyDescent="0.2"/>
  <cols>
    <col min="1" max="1" width="54.140625" style="593" customWidth="1"/>
    <col min="2" max="2" width="4.7109375" style="594" customWidth="1"/>
    <col min="3" max="11" width="13.7109375" style="384" customWidth="1"/>
    <col min="12" max="16384" width="9.140625" style="384"/>
  </cols>
  <sheetData>
    <row r="1" spans="1:12" x14ac:dyDescent="0.2">
      <c r="A1" s="2327" t="s">
        <v>1902</v>
      </c>
      <c r="B1" s="452"/>
      <c r="C1" s="453" t="s">
        <v>445</v>
      </c>
      <c r="D1" s="453" t="s">
        <v>446</v>
      </c>
      <c r="E1" s="453" t="s">
        <v>447</v>
      </c>
      <c r="F1" s="453" t="s">
        <v>448</v>
      </c>
      <c r="G1" s="453" t="s">
        <v>449</v>
      </c>
      <c r="H1" s="453" t="s">
        <v>450</v>
      </c>
      <c r="I1" s="453" t="s">
        <v>451</v>
      </c>
      <c r="J1" s="453" t="s">
        <v>452</v>
      </c>
      <c r="K1" s="453" t="s">
        <v>780</v>
      </c>
    </row>
    <row r="2" spans="1:12" ht="36" x14ac:dyDescent="0.2">
      <c r="A2" s="2328"/>
      <c r="B2" s="539" t="s">
        <v>396</v>
      </c>
      <c r="C2" s="540" t="s">
        <v>1217</v>
      </c>
      <c r="D2" s="540" t="s">
        <v>925</v>
      </c>
      <c r="E2" s="540" t="s">
        <v>458</v>
      </c>
      <c r="F2" s="540" t="s">
        <v>157</v>
      </c>
      <c r="G2" s="540" t="s">
        <v>1046</v>
      </c>
      <c r="H2" s="540" t="s">
        <v>457</v>
      </c>
      <c r="I2" s="540" t="s">
        <v>427</v>
      </c>
      <c r="J2" s="540" t="s">
        <v>456</v>
      </c>
      <c r="K2" s="540" t="s">
        <v>159</v>
      </c>
    </row>
    <row r="3" spans="1:12" ht="16.7" customHeight="1" x14ac:dyDescent="0.2">
      <c r="A3" s="1597" t="s">
        <v>115</v>
      </c>
      <c r="B3" s="1598"/>
      <c r="C3" s="1599"/>
      <c r="D3" s="1599"/>
      <c r="E3" s="1599"/>
      <c r="F3" s="1600"/>
      <c r="G3" s="1601"/>
      <c r="H3" s="1600"/>
      <c r="I3" s="1600"/>
      <c r="J3" s="1600"/>
      <c r="K3" s="1602"/>
    </row>
    <row r="4" spans="1:12" ht="15.75" customHeight="1" x14ac:dyDescent="0.2">
      <c r="A4" s="1608" t="s">
        <v>397</v>
      </c>
      <c r="B4" s="1609">
        <v>1100</v>
      </c>
      <c r="C4" s="541"/>
      <c r="D4" s="541"/>
      <c r="E4" s="541"/>
      <c r="F4" s="542"/>
      <c r="G4" s="543"/>
      <c r="H4" s="544"/>
      <c r="I4" s="544"/>
      <c r="J4" s="544"/>
      <c r="K4" s="544"/>
    </row>
    <row r="5" spans="1:12" ht="15" x14ac:dyDescent="0.2">
      <c r="A5" s="491" t="s">
        <v>1760</v>
      </c>
      <c r="B5" s="545"/>
      <c r="C5" s="480">
        <v>11901981</v>
      </c>
      <c r="D5" s="480">
        <v>1570946</v>
      </c>
      <c r="E5" s="480">
        <v>768165</v>
      </c>
      <c r="F5" s="546">
        <v>793343</v>
      </c>
      <c r="G5" s="466">
        <v>221238</v>
      </c>
      <c r="H5" s="466">
        <v>0</v>
      </c>
      <c r="I5" s="466">
        <v>301106</v>
      </c>
      <c r="J5" s="466">
        <v>0</v>
      </c>
      <c r="K5" s="466">
        <v>0</v>
      </c>
    </row>
    <row r="6" spans="1:12" ht="15" x14ac:dyDescent="0.2">
      <c r="A6" s="463" t="s">
        <v>1761</v>
      </c>
      <c r="B6" s="470">
        <v>1130</v>
      </c>
      <c r="C6" s="466">
        <v>0</v>
      </c>
      <c r="D6" s="466">
        <v>0</v>
      </c>
      <c r="E6" s="475"/>
      <c r="F6" s="475"/>
      <c r="G6" s="468"/>
      <c r="H6" s="468"/>
      <c r="I6" s="468"/>
      <c r="J6" s="468"/>
      <c r="K6" s="468"/>
    </row>
    <row r="7" spans="1:12" x14ac:dyDescent="0.2">
      <c r="A7" s="463" t="s">
        <v>112</v>
      </c>
      <c r="B7" s="547">
        <v>1140</v>
      </c>
      <c r="C7" s="466">
        <v>1054914</v>
      </c>
      <c r="D7" s="466">
        <v>0</v>
      </c>
      <c r="E7" s="468"/>
      <c r="F7" s="467">
        <v>0</v>
      </c>
      <c r="G7" s="467">
        <v>0</v>
      </c>
      <c r="H7" s="467">
        <v>0</v>
      </c>
      <c r="I7" s="468"/>
      <c r="J7" s="468"/>
      <c r="K7" s="468"/>
    </row>
    <row r="8" spans="1:12" x14ac:dyDescent="0.2">
      <c r="A8" s="463" t="s">
        <v>433</v>
      </c>
      <c r="B8" s="470">
        <v>1150</v>
      </c>
      <c r="C8" s="475"/>
      <c r="D8" s="475"/>
      <c r="E8" s="476"/>
      <c r="F8" s="476"/>
      <c r="G8" s="480">
        <v>240460</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4"/>
      <c r="E10" s="524"/>
      <c r="F10" s="469"/>
      <c r="G10" s="468"/>
      <c r="H10" s="468"/>
      <c r="I10" s="468"/>
      <c r="J10" s="468"/>
      <c r="K10" s="468"/>
    </row>
    <row r="11" spans="1:12" x14ac:dyDescent="0.2">
      <c r="A11" s="473" t="s">
        <v>434</v>
      </c>
      <c r="B11" s="548">
        <v>1190</v>
      </c>
      <c r="C11" s="549">
        <v>0</v>
      </c>
      <c r="D11" s="466">
        <v>0</v>
      </c>
      <c r="E11" s="466">
        <v>0</v>
      </c>
      <c r="F11" s="466">
        <v>0</v>
      </c>
      <c r="G11" s="466">
        <v>0</v>
      </c>
      <c r="H11" s="466">
        <v>0</v>
      </c>
      <c r="I11" s="466">
        <v>0</v>
      </c>
      <c r="J11" s="466">
        <v>0</v>
      </c>
      <c r="K11" s="466">
        <v>0</v>
      </c>
      <c r="L11" s="550"/>
    </row>
    <row r="12" spans="1:12" ht="12.75" customHeight="1" thickBot="1" x14ac:dyDescent="0.25">
      <c r="A12" s="1723" t="s">
        <v>29</v>
      </c>
      <c r="B12" s="1724"/>
      <c r="C12" s="1725">
        <f t="shared" ref="C12:K12" si="0">SUM(C5:C11)</f>
        <v>12956895</v>
      </c>
      <c r="D12" s="1725">
        <f t="shared" si="0"/>
        <v>1570946</v>
      </c>
      <c r="E12" s="1725">
        <f t="shared" si="0"/>
        <v>768165</v>
      </c>
      <c r="F12" s="1725">
        <f t="shared" si="0"/>
        <v>793343</v>
      </c>
      <c r="G12" s="1725">
        <f t="shared" si="0"/>
        <v>461698</v>
      </c>
      <c r="H12" s="1725">
        <f t="shared" si="0"/>
        <v>0</v>
      </c>
      <c r="I12" s="1725">
        <f t="shared" si="0"/>
        <v>301106</v>
      </c>
      <c r="J12" s="1725">
        <f t="shared" si="0"/>
        <v>0</v>
      </c>
      <c r="K12" s="1706">
        <f t="shared" si="0"/>
        <v>0</v>
      </c>
    </row>
    <row r="13" spans="1:12" ht="15.75" customHeight="1" thickTop="1" x14ac:dyDescent="0.2">
      <c r="A13" s="1610" t="s">
        <v>471</v>
      </c>
      <c r="B13" s="1611">
        <v>1200</v>
      </c>
      <c r="C13" s="551"/>
      <c r="D13" s="551"/>
      <c r="E13" s="551"/>
      <c r="F13" s="551"/>
      <c r="G13" s="551"/>
      <c r="H13" s="551"/>
      <c r="I13" s="551"/>
      <c r="J13" s="551"/>
      <c r="K13" s="468"/>
    </row>
    <row r="14" spans="1:12" x14ac:dyDescent="0.2">
      <c r="A14" s="463" t="s">
        <v>3</v>
      </c>
      <c r="B14" s="470">
        <v>1210</v>
      </c>
      <c r="C14" s="549">
        <v>112</v>
      </c>
      <c r="D14" s="466">
        <v>14</v>
      </c>
      <c r="E14" s="466">
        <v>7</v>
      </c>
      <c r="F14" s="466">
        <v>7</v>
      </c>
      <c r="G14" s="466">
        <v>4</v>
      </c>
      <c r="H14" s="466">
        <v>0</v>
      </c>
      <c r="I14" s="466">
        <v>3</v>
      </c>
      <c r="J14" s="467">
        <v>0</v>
      </c>
      <c r="K14" s="466">
        <v>0</v>
      </c>
    </row>
    <row r="15" spans="1:12" ht="12.75" customHeight="1" x14ac:dyDescent="0.2">
      <c r="A15" s="463" t="s">
        <v>97</v>
      </c>
      <c r="B15" s="470">
        <v>1220</v>
      </c>
      <c r="C15" s="549">
        <v>0</v>
      </c>
      <c r="D15" s="466">
        <v>0</v>
      </c>
      <c r="E15" s="466">
        <v>0</v>
      </c>
      <c r="F15" s="466">
        <v>0</v>
      </c>
      <c r="G15" s="466">
        <v>0</v>
      </c>
      <c r="H15" s="466">
        <v>0</v>
      </c>
      <c r="I15" s="466">
        <v>0</v>
      </c>
      <c r="J15" s="467">
        <v>0</v>
      </c>
      <c r="K15" s="466">
        <v>0</v>
      </c>
    </row>
    <row r="16" spans="1:12" ht="15" customHeight="1" x14ac:dyDescent="0.2">
      <c r="A16" s="463" t="s">
        <v>1762</v>
      </c>
      <c r="B16" s="547">
        <v>1230</v>
      </c>
      <c r="C16" s="549">
        <v>421268</v>
      </c>
      <c r="D16" s="466">
        <v>126304</v>
      </c>
      <c r="E16" s="466">
        <v>0</v>
      </c>
      <c r="F16" s="466">
        <v>0</v>
      </c>
      <c r="G16" s="466">
        <v>42500</v>
      </c>
      <c r="H16" s="466">
        <v>0</v>
      </c>
      <c r="I16" s="466">
        <v>0</v>
      </c>
      <c r="J16" s="467">
        <v>0</v>
      </c>
      <c r="K16" s="466">
        <v>0</v>
      </c>
    </row>
    <row r="17" spans="1:11" ht="12.75" customHeight="1" x14ac:dyDescent="0.2">
      <c r="A17" s="463" t="s">
        <v>840</v>
      </c>
      <c r="B17" s="470">
        <v>1290</v>
      </c>
      <c r="C17" s="549">
        <v>8258</v>
      </c>
      <c r="D17" s="466">
        <v>0</v>
      </c>
      <c r="E17" s="466">
        <v>0</v>
      </c>
      <c r="F17" s="466">
        <v>0</v>
      </c>
      <c r="G17" s="466">
        <v>0</v>
      </c>
      <c r="H17" s="466">
        <v>0</v>
      </c>
      <c r="I17" s="466">
        <v>0</v>
      </c>
      <c r="J17" s="467">
        <v>0</v>
      </c>
      <c r="K17" s="466">
        <v>0</v>
      </c>
    </row>
    <row r="18" spans="1:11" ht="12.75" customHeight="1" thickBot="1" x14ac:dyDescent="0.25">
      <c r="A18" s="1726" t="s">
        <v>558</v>
      </c>
      <c r="B18" s="1727"/>
      <c r="C18" s="1728">
        <f>SUM(C14:C17)</f>
        <v>429638</v>
      </c>
      <c r="D18" s="1728">
        <f t="shared" ref="D18:K18" si="1">SUM(D14:D17)</f>
        <v>126318</v>
      </c>
      <c r="E18" s="1728">
        <f t="shared" si="1"/>
        <v>7</v>
      </c>
      <c r="F18" s="1728">
        <f t="shared" si="1"/>
        <v>7</v>
      </c>
      <c r="G18" s="1728">
        <f t="shared" si="1"/>
        <v>42504</v>
      </c>
      <c r="H18" s="1728">
        <f t="shared" si="1"/>
        <v>0</v>
      </c>
      <c r="I18" s="1728">
        <f t="shared" si="1"/>
        <v>3</v>
      </c>
      <c r="J18" s="1728">
        <f t="shared" si="1"/>
        <v>0</v>
      </c>
      <c r="K18" s="1729">
        <f t="shared" si="1"/>
        <v>0</v>
      </c>
    </row>
    <row r="19" spans="1:11" ht="15.75" customHeight="1" thickTop="1" x14ac:dyDescent="0.2">
      <c r="A19" s="1610" t="s">
        <v>472</v>
      </c>
      <c r="B19" s="1611">
        <v>1300</v>
      </c>
      <c r="C19" s="552"/>
      <c r="D19" s="552"/>
      <c r="E19" s="552"/>
      <c r="F19" s="552"/>
      <c r="G19" s="551"/>
      <c r="H19" s="552"/>
      <c r="I19" s="552"/>
      <c r="J19" s="552"/>
      <c r="K19" s="553"/>
    </row>
    <row r="20" spans="1:11" x14ac:dyDescent="0.2">
      <c r="A20" s="463" t="s">
        <v>1133</v>
      </c>
      <c r="B20" s="470">
        <v>1311</v>
      </c>
      <c r="C20" s="466">
        <v>0</v>
      </c>
      <c r="D20" s="468"/>
      <c r="E20" s="468"/>
      <c r="F20" s="468"/>
      <c r="G20" s="468"/>
      <c r="H20" s="468"/>
      <c r="I20" s="468"/>
      <c r="J20" s="468"/>
      <c r="K20" s="468"/>
    </row>
    <row r="21" spans="1:11" ht="12.75" customHeight="1" x14ac:dyDescent="0.2">
      <c r="A21" s="463" t="s">
        <v>887</v>
      </c>
      <c r="B21" s="470">
        <v>1312</v>
      </c>
      <c r="C21" s="549">
        <v>14190</v>
      </c>
      <c r="D21" s="468"/>
      <c r="E21" s="468"/>
      <c r="F21" s="468"/>
      <c r="G21" s="468"/>
      <c r="H21" s="468"/>
      <c r="I21" s="468"/>
      <c r="J21" s="468"/>
      <c r="K21" s="468"/>
    </row>
    <row r="22" spans="1:11" ht="12.75" customHeight="1" x14ac:dyDescent="0.2">
      <c r="A22" s="463" t="s">
        <v>1134</v>
      </c>
      <c r="B22" s="470">
        <v>1313</v>
      </c>
      <c r="C22" s="549">
        <v>0</v>
      </c>
      <c r="D22" s="468"/>
      <c r="E22" s="468"/>
      <c r="F22" s="468"/>
      <c r="G22" s="468"/>
      <c r="H22" s="468"/>
      <c r="I22" s="468"/>
      <c r="J22" s="468"/>
      <c r="K22" s="468"/>
    </row>
    <row r="23" spans="1:11" ht="12.75" customHeight="1" x14ac:dyDescent="0.2">
      <c r="A23" s="463" t="s">
        <v>1135</v>
      </c>
      <c r="B23" s="470">
        <v>1314</v>
      </c>
      <c r="C23" s="487">
        <v>0</v>
      </c>
      <c r="D23" s="468"/>
      <c r="E23" s="468"/>
      <c r="F23" s="468"/>
      <c r="G23" s="468"/>
      <c r="H23" s="468"/>
      <c r="I23" s="468"/>
      <c r="J23" s="468"/>
      <c r="K23" s="468"/>
    </row>
    <row r="24" spans="1:11" ht="12.75" customHeight="1" x14ac:dyDescent="0.2">
      <c r="A24" s="463" t="s">
        <v>1085</v>
      </c>
      <c r="B24" s="470">
        <v>1321</v>
      </c>
      <c r="C24" s="549">
        <v>0</v>
      </c>
      <c r="D24" s="468"/>
      <c r="E24" s="468"/>
      <c r="F24" s="468"/>
      <c r="G24" s="468"/>
      <c r="H24" s="468"/>
      <c r="I24" s="468"/>
      <c r="J24" s="468"/>
      <c r="K24" s="468"/>
    </row>
    <row r="25" spans="1:11" ht="12.75" customHeight="1" x14ac:dyDescent="0.2">
      <c r="A25" s="463" t="s">
        <v>888</v>
      </c>
      <c r="B25" s="470">
        <v>1322</v>
      </c>
      <c r="C25" s="549">
        <v>0</v>
      </c>
      <c r="D25" s="468"/>
      <c r="E25" s="468"/>
      <c r="F25" s="468"/>
      <c r="G25" s="468"/>
      <c r="H25" s="468"/>
      <c r="I25" s="468"/>
      <c r="J25" s="468"/>
      <c r="K25" s="468"/>
    </row>
    <row r="26" spans="1:11" ht="12.75" customHeight="1" x14ac:dyDescent="0.2">
      <c r="A26" s="463" t="s">
        <v>1163</v>
      </c>
      <c r="B26" s="470">
        <v>1323</v>
      </c>
      <c r="C26" s="549">
        <v>0</v>
      </c>
      <c r="D26" s="468"/>
      <c r="E26" s="468"/>
      <c r="F26" s="468"/>
      <c r="G26" s="468"/>
      <c r="H26" s="468"/>
      <c r="I26" s="468"/>
      <c r="J26" s="468"/>
      <c r="K26" s="468"/>
    </row>
    <row r="27" spans="1:11" ht="12.75" customHeight="1" x14ac:dyDescent="0.2">
      <c r="A27" s="463" t="s">
        <v>1081</v>
      </c>
      <c r="B27" s="470">
        <v>1324</v>
      </c>
      <c r="C27" s="487">
        <v>0</v>
      </c>
      <c r="D27" s="468"/>
      <c r="E27" s="468"/>
      <c r="F27" s="468"/>
      <c r="G27" s="468"/>
      <c r="H27" s="468"/>
      <c r="I27" s="468"/>
      <c r="J27" s="468"/>
      <c r="K27" s="468"/>
    </row>
    <row r="28" spans="1:11" ht="12.75" customHeight="1" x14ac:dyDescent="0.2">
      <c r="A28" s="463" t="s">
        <v>1082</v>
      </c>
      <c r="B28" s="470">
        <v>1331</v>
      </c>
      <c r="C28" s="549">
        <v>0</v>
      </c>
      <c r="D28" s="468"/>
      <c r="E28" s="468"/>
      <c r="F28" s="468"/>
      <c r="G28" s="468"/>
      <c r="H28" s="468"/>
      <c r="I28" s="468"/>
      <c r="J28" s="468"/>
      <c r="K28" s="468"/>
    </row>
    <row r="29" spans="1:11" ht="12.75" customHeight="1" x14ac:dyDescent="0.2">
      <c r="A29" s="463" t="s">
        <v>889</v>
      </c>
      <c r="B29" s="470">
        <v>1332</v>
      </c>
      <c r="C29" s="549">
        <v>0</v>
      </c>
      <c r="D29" s="468"/>
      <c r="E29" s="468"/>
      <c r="F29" s="468"/>
      <c r="G29" s="468"/>
      <c r="H29" s="468"/>
      <c r="I29" s="468"/>
      <c r="J29" s="468"/>
      <c r="K29" s="468"/>
    </row>
    <row r="30" spans="1:11" ht="12.75" customHeight="1" x14ac:dyDescent="0.2">
      <c r="A30" s="463" t="s">
        <v>1084</v>
      </c>
      <c r="B30" s="470">
        <v>1333</v>
      </c>
      <c r="C30" s="549">
        <v>0</v>
      </c>
      <c r="D30" s="468"/>
      <c r="E30" s="468"/>
      <c r="F30" s="468"/>
      <c r="G30" s="468"/>
      <c r="H30" s="468"/>
      <c r="I30" s="468"/>
      <c r="J30" s="468"/>
      <c r="K30" s="468"/>
    </row>
    <row r="31" spans="1:11" ht="12.75" customHeight="1" x14ac:dyDescent="0.2">
      <c r="A31" s="463" t="s">
        <v>1083</v>
      </c>
      <c r="B31" s="470">
        <v>1334</v>
      </c>
      <c r="C31" s="487">
        <v>0</v>
      </c>
      <c r="D31" s="468"/>
      <c r="E31" s="468"/>
      <c r="F31" s="468"/>
      <c r="G31" s="468"/>
      <c r="H31" s="468"/>
      <c r="I31" s="468"/>
      <c r="J31" s="468"/>
      <c r="K31" s="468"/>
    </row>
    <row r="32" spans="1:11" ht="12.75" customHeight="1" x14ac:dyDescent="0.2">
      <c r="A32" s="463" t="s">
        <v>515</v>
      </c>
      <c r="B32" s="470">
        <v>1341</v>
      </c>
      <c r="C32" s="549">
        <v>0</v>
      </c>
      <c r="D32" s="468"/>
      <c r="E32" s="468"/>
      <c r="F32" s="468"/>
      <c r="G32" s="468"/>
      <c r="H32" s="468"/>
      <c r="I32" s="468"/>
      <c r="J32" s="468"/>
      <c r="K32" s="468"/>
    </row>
    <row r="33" spans="1:11" ht="12.75" customHeight="1" x14ac:dyDescent="0.2">
      <c r="A33" s="463" t="s">
        <v>890</v>
      </c>
      <c r="B33" s="470">
        <v>1342</v>
      </c>
      <c r="C33" s="549">
        <v>0</v>
      </c>
      <c r="D33" s="468"/>
      <c r="E33" s="468"/>
      <c r="F33" s="468"/>
      <c r="G33" s="468"/>
      <c r="H33" s="468"/>
      <c r="I33" s="468"/>
      <c r="J33" s="468"/>
      <c r="K33" s="468"/>
    </row>
    <row r="34" spans="1:11" ht="12.75" customHeight="1" x14ac:dyDescent="0.2">
      <c r="A34" s="463" t="s">
        <v>516</v>
      </c>
      <c r="B34" s="470">
        <v>1343</v>
      </c>
      <c r="C34" s="549">
        <v>0</v>
      </c>
      <c r="D34" s="468"/>
      <c r="E34" s="468"/>
      <c r="F34" s="468"/>
      <c r="G34" s="468"/>
      <c r="H34" s="468"/>
      <c r="I34" s="468"/>
      <c r="J34" s="468"/>
      <c r="K34" s="468"/>
    </row>
    <row r="35" spans="1:11" ht="12.75" customHeight="1" x14ac:dyDescent="0.2">
      <c r="A35" s="463" t="s">
        <v>514</v>
      </c>
      <c r="B35" s="470">
        <v>1344</v>
      </c>
      <c r="C35" s="487">
        <v>0</v>
      </c>
      <c r="D35" s="468"/>
      <c r="E35" s="468"/>
      <c r="F35" s="468"/>
      <c r="G35" s="468"/>
      <c r="H35" s="468"/>
      <c r="I35" s="468"/>
      <c r="J35" s="468"/>
      <c r="K35" s="468"/>
    </row>
    <row r="36" spans="1:11" ht="12.75" customHeight="1" x14ac:dyDescent="0.2">
      <c r="A36" s="463" t="s">
        <v>886</v>
      </c>
      <c r="B36" s="470">
        <v>1351</v>
      </c>
      <c r="C36" s="549">
        <v>0</v>
      </c>
      <c r="D36" s="468"/>
      <c r="E36" s="468"/>
      <c r="F36" s="468"/>
      <c r="G36" s="468"/>
      <c r="H36" s="468"/>
      <c r="I36" s="468"/>
      <c r="J36" s="468"/>
      <c r="K36" s="468"/>
    </row>
    <row r="37" spans="1:11" ht="12.75" customHeight="1" x14ac:dyDescent="0.2">
      <c r="A37" s="463" t="s">
        <v>891</v>
      </c>
      <c r="B37" s="470">
        <v>1352</v>
      </c>
      <c r="C37" s="549">
        <v>0</v>
      </c>
      <c r="D37" s="468"/>
      <c r="E37" s="468"/>
      <c r="F37" s="468"/>
      <c r="G37" s="468"/>
      <c r="H37" s="468"/>
      <c r="I37" s="468"/>
      <c r="J37" s="468"/>
      <c r="K37" s="468"/>
    </row>
    <row r="38" spans="1:11" ht="12.75" customHeight="1" x14ac:dyDescent="0.2">
      <c r="A38" s="463" t="s">
        <v>614</v>
      </c>
      <c r="B38" s="470">
        <v>1353</v>
      </c>
      <c r="C38" s="549">
        <v>0</v>
      </c>
      <c r="D38" s="468"/>
      <c r="E38" s="468"/>
      <c r="F38" s="468"/>
      <c r="G38" s="468"/>
      <c r="H38" s="468"/>
      <c r="I38" s="468"/>
      <c r="J38" s="468"/>
      <c r="K38" s="468"/>
    </row>
    <row r="39" spans="1:11" ht="12.75" customHeight="1" x14ac:dyDescent="0.2">
      <c r="A39" s="1513" t="s">
        <v>615</v>
      </c>
      <c r="B39" s="554">
        <v>1354</v>
      </c>
      <c r="C39" s="487">
        <v>0</v>
      </c>
      <c r="D39" s="468"/>
      <c r="E39" s="468"/>
      <c r="F39" s="468"/>
      <c r="G39" s="468"/>
      <c r="H39" s="468"/>
      <c r="I39" s="468"/>
      <c r="J39" s="468"/>
      <c r="K39" s="468"/>
    </row>
    <row r="40" spans="1:11" ht="12.75" customHeight="1" thickBot="1" x14ac:dyDescent="0.25">
      <c r="A40" s="1726" t="s">
        <v>559</v>
      </c>
      <c r="B40" s="1727"/>
      <c r="C40" s="1706">
        <f>SUM(C20:C39)</f>
        <v>14190</v>
      </c>
      <c r="D40" s="468"/>
      <c r="E40" s="468"/>
      <c r="F40" s="468"/>
      <c r="G40" s="468"/>
      <c r="H40" s="468"/>
      <c r="I40" s="468"/>
      <c r="J40" s="468"/>
      <c r="K40" s="468"/>
    </row>
    <row r="41" spans="1:11" ht="15.75" customHeight="1" thickTop="1" x14ac:dyDescent="0.2">
      <c r="A41" s="1610" t="s">
        <v>292</v>
      </c>
      <c r="B41" s="1611">
        <v>1400</v>
      </c>
      <c r="C41" s="468"/>
      <c r="D41" s="468"/>
      <c r="E41" s="468"/>
      <c r="F41" s="519"/>
      <c r="G41" s="468"/>
      <c r="H41" s="468"/>
      <c r="I41" s="468"/>
      <c r="J41" s="468"/>
      <c r="K41" s="468"/>
    </row>
    <row r="42" spans="1:11" ht="12.75" customHeight="1" x14ac:dyDescent="0.2">
      <c r="A42" s="463" t="s">
        <v>1136</v>
      </c>
      <c r="B42" s="470">
        <v>1411</v>
      </c>
      <c r="C42" s="468"/>
      <c r="D42" s="468"/>
      <c r="E42" s="468"/>
      <c r="F42" s="480">
        <v>0</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4" t="s">
        <v>62</v>
      </c>
      <c r="B51" s="555">
        <v>1431</v>
      </c>
      <c r="C51" s="468"/>
      <c r="D51" s="468"/>
      <c r="E51" s="468"/>
      <c r="F51" s="466">
        <v>0</v>
      </c>
      <c r="G51" s="468"/>
      <c r="H51" s="468"/>
      <c r="I51" s="468"/>
      <c r="J51" s="468"/>
      <c r="K51" s="468"/>
    </row>
    <row r="52" spans="1:11" ht="12.75" customHeight="1" x14ac:dyDescent="0.2">
      <c r="A52" s="1514" t="s">
        <v>1168</v>
      </c>
      <c r="B52" s="555">
        <v>1432</v>
      </c>
      <c r="C52" s="468"/>
      <c r="D52" s="468"/>
      <c r="E52" s="468"/>
      <c r="F52" s="466">
        <v>0</v>
      </c>
      <c r="G52" s="468"/>
      <c r="H52" s="468"/>
      <c r="I52" s="468"/>
      <c r="J52" s="468"/>
      <c r="K52" s="468"/>
    </row>
    <row r="53" spans="1:11" ht="12.75" customHeight="1" x14ac:dyDescent="0.2">
      <c r="A53" s="1514" t="s">
        <v>63</v>
      </c>
      <c r="B53" s="555">
        <v>1433</v>
      </c>
      <c r="C53" s="468"/>
      <c r="D53" s="468"/>
      <c r="E53" s="468"/>
      <c r="F53" s="466">
        <v>0</v>
      </c>
      <c r="G53" s="468"/>
      <c r="H53" s="468"/>
      <c r="I53" s="468"/>
      <c r="J53" s="468"/>
      <c r="K53" s="468"/>
    </row>
    <row r="54" spans="1:11" ht="12.75" customHeight="1" x14ac:dyDescent="0.2">
      <c r="A54" s="1514" t="s">
        <v>64</v>
      </c>
      <c r="B54" s="555">
        <v>1434</v>
      </c>
      <c r="C54" s="468"/>
      <c r="D54" s="468"/>
      <c r="E54" s="468"/>
      <c r="F54" s="467">
        <v>0</v>
      </c>
      <c r="G54" s="468"/>
      <c r="H54" s="468"/>
      <c r="I54" s="468"/>
      <c r="J54" s="468"/>
      <c r="K54" s="468"/>
    </row>
    <row r="55" spans="1:11" ht="12.75" customHeight="1" x14ac:dyDescent="0.2">
      <c r="A55" s="1514" t="s">
        <v>65</v>
      </c>
      <c r="B55" s="555">
        <v>1441</v>
      </c>
      <c r="C55" s="468"/>
      <c r="D55" s="468"/>
      <c r="E55" s="468"/>
      <c r="F55" s="466">
        <v>0</v>
      </c>
      <c r="G55" s="468"/>
      <c r="H55" s="468"/>
      <c r="I55" s="468"/>
      <c r="J55" s="468"/>
      <c r="K55" s="468"/>
    </row>
    <row r="56" spans="1:11" ht="12.75" customHeight="1" x14ac:dyDescent="0.2">
      <c r="A56" s="1514" t="s">
        <v>1169</v>
      </c>
      <c r="B56" s="555">
        <v>1442</v>
      </c>
      <c r="C56" s="468"/>
      <c r="D56" s="468"/>
      <c r="E56" s="468"/>
      <c r="F56" s="466">
        <v>0</v>
      </c>
      <c r="G56" s="468"/>
      <c r="H56" s="468"/>
      <c r="I56" s="468"/>
      <c r="J56" s="468"/>
      <c r="K56" s="468"/>
    </row>
    <row r="57" spans="1:11" ht="12.75" customHeight="1" x14ac:dyDescent="0.2">
      <c r="A57" s="1514" t="s">
        <v>510</v>
      </c>
      <c r="B57" s="555">
        <v>1443</v>
      </c>
      <c r="C57" s="468"/>
      <c r="D57" s="468"/>
      <c r="E57" s="468"/>
      <c r="F57" s="466">
        <v>0</v>
      </c>
      <c r="G57" s="468"/>
      <c r="H57" s="468"/>
      <c r="I57" s="468"/>
      <c r="J57" s="468"/>
      <c r="K57" s="468"/>
    </row>
    <row r="58" spans="1:11" ht="12.75" customHeight="1" x14ac:dyDescent="0.2">
      <c r="A58" s="1514" t="s">
        <v>67</v>
      </c>
      <c r="B58" s="555">
        <v>1444</v>
      </c>
      <c r="C58" s="468"/>
      <c r="D58" s="468"/>
      <c r="E58" s="468"/>
      <c r="F58" s="466">
        <v>0</v>
      </c>
      <c r="G58" s="468"/>
      <c r="H58" s="468"/>
      <c r="I58" s="468"/>
      <c r="J58" s="468"/>
      <c r="K58" s="468"/>
    </row>
    <row r="59" spans="1:11" ht="12.75" customHeight="1" x14ac:dyDescent="0.2">
      <c r="A59" s="1514" t="s">
        <v>933</v>
      </c>
      <c r="B59" s="555">
        <v>1451</v>
      </c>
      <c r="C59" s="468"/>
      <c r="D59" s="468"/>
      <c r="E59" s="468"/>
      <c r="F59" s="466">
        <v>0</v>
      </c>
      <c r="G59" s="468"/>
      <c r="H59" s="468"/>
      <c r="I59" s="468"/>
      <c r="J59" s="468"/>
      <c r="K59" s="468"/>
    </row>
    <row r="60" spans="1:11" ht="12.75" customHeight="1" x14ac:dyDescent="0.2">
      <c r="A60" s="1514" t="s">
        <v>1170</v>
      </c>
      <c r="B60" s="555">
        <v>1452</v>
      </c>
      <c r="C60" s="468"/>
      <c r="D60" s="468"/>
      <c r="E60" s="468"/>
      <c r="F60" s="466">
        <v>0</v>
      </c>
      <c r="G60" s="468"/>
      <c r="H60" s="468"/>
      <c r="I60" s="468"/>
      <c r="J60" s="468"/>
      <c r="K60" s="468"/>
    </row>
    <row r="61" spans="1:11" ht="12.75" customHeight="1" x14ac:dyDescent="0.2">
      <c r="A61" s="561" t="s">
        <v>934</v>
      </c>
      <c r="B61" s="555">
        <v>1453</v>
      </c>
      <c r="C61" s="468"/>
      <c r="D61" s="468"/>
      <c r="E61" s="468"/>
      <c r="F61" s="466">
        <v>0</v>
      </c>
      <c r="G61" s="468"/>
      <c r="H61" s="468"/>
      <c r="I61" s="468"/>
      <c r="J61" s="468"/>
      <c r="K61" s="468"/>
    </row>
    <row r="62" spans="1:11" ht="12.75" customHeight="1" x14ac:dyDescent="0.2">
      <c r="A62" s="1515" t="s">
        <v>935</v>
      </c>
      <c r="B62" s="556">
        <v>1454</v>
      </c>
      <c r="C62" s="468"/>
      <c r="D62" s="468"/>
      <c r="E62" s="468"/>
      <c r="F62" s="467">
        <v>0</v>
      </c>
      <c r="G62" s="468"/>
      <c r="H62" s="468"/>
      <c r="I62" s="468"/>
      <c r="J62" s="468"/>
      <c r="K62" s="468"/>
    </row>
    <row r="63" spans="1:11" ht="12.75" customHeight="1" thickBot="1" x14ac:dyDescent="0.25">
      <c r="A63" s="1726" t="s">
        <v>506</v>
      </c>
      <c r="B63" s="1727"/>
      <c r="C63" s="468"/>
      <c r="D63" s="468"/>
      <c r="E63" s="468"/>
      <c r="F63" s="1706">
        <f>SUM(F42:F62)</f>
        <v>0</v>
      </c>
      <c r="G63" s="468"/>
      <c r="H63" s="468"/>
      <c r="I63" s="468"/>
      <c r="J63" s="468"/>
      <c r="K63" s="468"/>
    </row>
    <row r="64" spans="1:11" ht="15.75" customHeight="1" thickTop="1" x14ac:dyDescent="0.2">
      <c r="A64" s="1610" t="s">
        <v>474</v>
      </c>
      <c r="B64" s="1611">
        <v>1500</v>
      </c>
      <c r="C64" s="468"/>
      <c r="D64" s="468"/>
      <c r="E64" s="468"/>
      <c r="F64" s="468"/>
      <c r="G64" s="468"/>
      <c r="H64" s="468"/>
      <c r="I64" s="468"/>
      <c r="J64" s="468"/>
      <c r="K64" s="468"/>
    </row>
    <row r="65" spans="1:11" ht="12.75" customHeight="1" x14ac:dyDescent="0.2">
      <c r="A65" s="463" t="s">
        <v>568</v>
      </c>
      <c r="B65" s="470">
        <v>1510</v>
      </c>
      <c r="C65" s="466">
        <v>106520</v>
      </c>
      <c r="D65" s="466">
        <v>41067</v>
      </c>
      <c r="E65" s="466">
        <v>9164</v>
      </c>
      <c r="F65" s="467">
        <v>12433</v>
      </c>
      <c r="G65" s="466">
        <v>21050</v>
      </c>
      <c r="H65" s="466">
        <v>109883</v>
      </c>
      <c r="I65" s="466">
        <v>68331</v>
      </c>
      <c r="J65" s="467">
        <v>0</v>
      </c>
      <c r="K65" s="466">
        <v>1057</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726" t="s">
        <v>507</v>
      </c>
      <c r="B67" s="1727"/>
      <c r="C67" s="1706">
        <f>SUM(C65:C66)</f>
        <v>106520</v>
      </c>
      <c r="D67" s="1706">
        <f t="shared" ref="D67:K67" si="2">SUM(D65:D66)</f>
        <v>41067</v>
      </c>
      <c r="E67" s="1706">
        <f t="shared" si="2"/>
        <v>9164</v>
      </c>
      <c r="F67" s="1706">
        <f t="shared" si="2"/>
        <v>12433</v>
      </c>
      <c r="G67" s="1706">
        <f t="shared" si="2"/>
        <v>21050</v>
      </c>
      <c r="H67" s="1706">
        <f t="shared" si="2"/>
        <v>109883</v>
      </c>
      <c r="I67" s="1706">
        <f t="shared" si="2"/>
        <v>68331</v>
      </c>
      <c r="J67" s="1706">
        <f t="shared" si="2"/>
        <v>0</v>
      </c>
      <c r="K67" s="1706">
        <f t="shared" si="2"/>
        <v>1057</v>
      </c>
    </row>
    <row r="68" spans="1:11" ht="15.75" customHeight="1" thickTop="1" x14ac:dyDescent="0.2">
      <c r="A68" s="1610" t="s">
        <v>475</v>
      </c>
      <c r="B68" s="1612">
        <v>1600</v>
      </c>
      <c r="C68" s="551"/>
      <c r="D68" s="468"/>
      <c r="E68" s="468"/>
      <c r="F68" s="468"/>
      <c r="G68" s="468"/>
      <c r="H68" s="468"/>
      <c r="I68" s="468"/>
      <c r="J68" s="468"/>
      <c r="K68" s="468"/>
    </row>
    <row r="69" spans="1:11" ht="12.75" customHeight="1" x14ac:dyDescent="0.2">
      <c r="A69" s="463" t="s">
        <v>687</v>
      </c>
      <c r="B69" s="470">
        <v>1611</v>
      </c>
      <c r="C69" s="466">
        <v>443434</v>
      </c>
      <c r="D69" s="468"/>
      <c r="E69" s="468"/>
      <c r="F69" s="468"/>
      <c r="G69" s="468"/>
      <c r="H69" s="468"/>
      <c r="I69" s="468"/>
      <c r="J69" s="468"/>
      <c r="K69" s="468"/>
    </row>
    <row r="70" spans="1:11" ht="12.75" customHeight="1" x14ac:dyDescent="0.2">
      <c r="A70" s="463" t="s">
        <v>1054</v>
      </c>
      <c r="B70" s="470">
        <v>1612</v>
      </c>
      <c r="C70" s="549">
        <v>0</v>
      </c>
      <c r="D70" s="468"/>
      <c r="E70" s="468"/>
      <c r="F70" s="468"/>
      <c r="G70" s="468"/>
      <c r="H70" s="468"/>
      <c r="I70" s="468"/>
      <c r="J70" s="468"/>
      <c r="K70" s="468"/>
    </row>
    <row r="71" spans="1:11" ht="12.75" customHeight="1" x14ac:dyDescent="0.2">
      <c r="A71" s="463" t="s">
        <v>291</v>
      </c>
      <c r="B71" s="470">
        <v>1613</v>
      </c>
      <c r="C71" s="549">
        <v>0</v>
      </c>
      <c r="D71" s="468"/>
      <c r="E71" s="468"/>
      <c r="F71" s="468"/>
      <c r="G71" s="468"/>
      <c r="H71" s="468"/>
      <c r="I71" s="468"/>
      <c r="J71" s="468"/>
      <c r="K71" s="468"/>
    </row>
    <row r="72" spans="1:11" ht="12.75" customHeight="1" x14ac:dyDescent="0.2">
      <c r="A72" s="463" t="s">
        <v>24</v>
      </c>
      <c r="B72" s="470">
        <v>1614</v>
      </c>
      <c r="C72" s="549">
        <v>24694</v>
      </c>
      <c r="D72" s="468"/>
      <c r="E72" s="468"/>
      <c r="F72" s="468"/>
      <c r="G72" s="468"/>
      <c r="H72" s="468"/>
      <c r="I72" s="468"/>
      <c r="J72" s="468"/>
      <c r="K72" s="468"/>
    </row>
    <row r="73" spans="1:11" ht="12.75" customHeight="1" x14ac:dyDescent="0.2">
      <c r="A73" s="463" t="s">
        <v>1055</v>
      </c>
      <c r="B73" s="470">
        <v>1620</v>
      </c>
      <c r="C73" s="549">
        <v>0</v>
      </c>
      <c r="D73" s="468"/>
      <c r="E73" s="468"/>
      <c r="F73" s="468"/>
      <c r="G73" s="468"/>
      <c r="H73" s="468"/>
      <c r="I73" s="468"/>
      <c r="J73" s="468"/>
      <c r="K73" s="468"/>
    </row>
    <row r="74" spans="1:11" ht="12.75" customHeight="1" x14ac:dyDescent="0.2">
      <c r="A74" s="463" t="s">
        <v>25</v>
      </c>
      <c r="B74" s="470">
        <v>1690</v>
      </c>
      <c r="C74" s="549">
        <v>0</v>
      </c>
      <c r="D74" s="468"/>
      <c r="E74" s="468"/>
      <c r="F74" s="468"/>
      <c r="G74" s="468"/>
      <c r="H74" s="468"/>
      <c r="I74" s="468"/>
      <c r="J74" s="468"/>
      <c r="K74" s="468"/>
    </row>
    <row r="75" spans="1:11" ht="12.75" customHeight="1" thickBot="1" x14ac:dyDescent="0.25">
      <c r="A75" s="1726" t="s">
        <v>569</v>
      </c>
      <c r="B75" s="1727"/>
      <c r="C75" s="1706">
        <f>SUM(C69:C74)</f>
        <v>468128</v>
      </c>
      <c r="D75" s="468"/>
      <c r="E75" s="468"/>
      <c r="F75" s="468"/>
      <c r="G75" s="468"/>
      <c r="H75" s="468"/>
      <c r="I75" s="468"/>
      <c r="J75" s="468"/>
      <c r="K75" s="468"/>
    </row>
    <row r="76" spans="1:11" ht="15.75" customHeight="1" thickTop="1" x14ac:dyDescent="0.2">
      <c r="A76" s="1610" t="s">
        <v>936</v>
      </c>
      <c r="B76" s="1612">
        <v>1700</v>
      </c>
      <c r="C76" s="551"/>
      <c r="D76" s="468"/>
      <c r="E76" s="468"/>
      <c r="F76" s="468"/>
      <c r="G76" s="468"/>
      <c r="H76" s="468"/>
      <c r="I76" s="468"/>
      <c r="J76" s="468"/>
      <c r="K76" s="468"/>
    </row>
    <row r="77" spans="1:11" ht="12.75" customHeight="1" x14ac:dyDescent="0.2">
      <c r="A77" s="463" t="s">
        <v>570</v>
      </c>
      <c r="B77" s="470">
        <v>1711</v>
      </c>
      <c r="C77" s="514">
        <v>106485</v>
      </c>
      <c r="D77" s="466">
        <v>0</v>
      </c>
      <c r="E77" s="468"/>
      <c r="F77" s="468"/>
      <c r="G77" s="468"/>
      <c r="H77" s="468"/>
      <c r="I77" s="468"/>
      <c r="J77" s="468"/>
      <c r="K77" s="468"/>
    </row>
    <row r="78" spans="1:11" ht="12.75" customHeight="1" x14ac:dyDescent="0.2">
      <c r="A78" s="463" t="s">
        <v>78</v>
      </c>
      <c r="B78" s="470">
        <v>1719</v>
      </c>
      <c r="C78" s="549">
        <v>0</v>
      </c>
      <c r="D78" s="466">
        <v>0</v>
      </c>
      <c r="E78" s="468"/>
      <c r="F78" s="468"/>
      <c r="G78" s="468"/>
      <c r="H78" s="468"/>
      <c r="I78" s="468"/>
      <c r="J78" s="468"/>
      <c r="K78" s="468"/>
    </row>
    <row r="79" spans="1:11" ht="12.75" customHeight="1" x14ac:dyDescent="0.2">
      <c r="A79" s="463" t="s">
        <v>571</v>
      </c>
      <c r="B79" s="470">
        <v>1720</v>
      </c>
      <c r="C79" s="549">
        <v>48084</v>
      </c>
      <c r="D79" s="466">
        <v>27415</v>
      </c>
      <c r="E79" s="468"/>
      <c r="F79" s="468"/>
      <c r="G79" s="468"/>
      <c r="H79" s="468"/>
      <c r="I79" s="468"/>
      <c r="J79" s="468"/>
      <c r="K79" s="468"/>
    </row>
    <row r="80" spans="1:11" ht="12.75" customHeight="1" x14ac:dyDescent="0.2">
      <c r="A80" s="463" t="s">
        <v>572</v>
      </c>
      <c r="B80" s="470">
        <v>1730</v>
      </c>
      <c r="C80" s="549">
        <v>8837</v>
      </c>
      <c r="D80" s="466">
        <v>0</v>
      </c>
      <c r="E80" s="468"/>
      <c r="F80" s="468"/>
      <c r="G80" s="468"/>
      <c r="H80" s="468"/>
      <c r="I80" s="468"/>
      <c r="J80" s="468"/>
      <c r="K80" s="468"/>
    </row>
    <row r="81" spans="1:11" ht="12.75" customHeight="1" x14ac:dyDescent="0.2">
      <c r="A81" s="463" t="s">
        <v>26</v>
      </c>
      <c r="B81" s="470">
        <v>1790</v>
      </c>
      <c r="C81" s="549">
        <v>0</v>
      </c>
      <c r="D81" s="466">
        <v>0</v>
      </c>
      <c r="E81" s="468"/>
      <c r="F81" s="468"/>
      <c r="G81" s="468"/>
      <c r="H81" s="468"/>
      <c r="I81" s="468"/>
      <c r="J81" s="468"/>
      <c r="K81" s="468"/>
    </row>
    <row r="82" spans="1:11" ht="12.75" customHeight="1" thickBot="1" x14ac:dyDescent="0.25">
      <c r="A82" s="1726" t="s">
        <v>259</v>
      </c>
      <c r="B82" s="1727"/>
      <c r="C82" s="1725">
        <f>SUM(C77:C81)</f>
        <v>163406</v>
      </c>
      <c r="D82" s="1706">
        <f>SUM(D77:D81)</f>
        <v>27415</v>
      </c>
      <c r="E82" s="468"/>
      <c r="F82" s="468"/>
      <c r="G82" s="468"/>
      <c r="H82" s="468"/>
      <c r="I82" s="468"/>
      <c r="J82" s="468"/>
      <c r="K82" s="468"/>
    </row>
    <row r="83" spans="1:11" ht="15.75" customHeight="1" thickTop="1" x14ac:dyDescent="0.2">
      <c r="A83" s="1610" t="s">
        <v>260</v>
      </c>
      <c r="B83" s="1612">
        <v>1800</v>
      </c>
      <c r="C83" s="551"/>
      <c r="D83" s="468"/>
      <c r="E83" s="468"/>
      <c r="F83" s="468"/>
      <c r="G83" s="468"/>
      <c r="H83" s="468"/>
      <c r="I83" s="468"/>
      <c r="J83" s="468"/>
      <c r="K83" s="468"/>
    </row>
    <row r="84" spans="1:11" ht="12.75" customHeight="1" x14ac:dyDescent="0.2">
      <c r="A84" s="463" t="s">
        <v>573</v>
      </c>
      <c r="B84" s="470">
        <v>1811</v>
      </c>
      <c r="C84" s="466">
        <v>718450</v>
      </c>
      <c r="D84" s="468"/>
      <c r="E84" s="468"/>
      <c r="F84" s="468"/>
      <c r="G84" s="468"/>
      <c r="H84" s="468"/>
      <c r="I84" s="468"/>
      <c r="J84" s="468"/>
      <c r="K84" s="468"/>
    </row>
    <row r="85" spans="1:11" ht="12.75" customHeight="1" x14ac:dyDescent="0.2">
      <c r="A85" s="463" t="s">
        <v>574</v>
      </c>
      <c r="B85" s="470">
        <v>1812</v>
      </c>
      <c r="C85" s="549">
        <v>0</v>
      </c>
      <c r="D85" s="468"/>
      <c r="E85" s="468"/>
      <c r="F85" s="468"/>
      <c r="G85" s="468"/>
      <c r="H85" s="468"/>
      <c r="I85" s="468"/>
      <c r="J85" s="468"/>
      <c r="K85" s="468"/>
    </row>
    <row r="86" spans="1:11" ht="12.75" customHeight="1" x14ac:dyDescent="0.2">
      <c r="A86" s="463" t="s">
        <v>1056</v>
      </c>
      <c r="B86" s="470">
        <v>1813</v>
      </c>
      <c r="C86" s="549">
        <v>0</v>
      </c>
      <c r="D86" s="468"/>
      <c r="E86" s="468"/>
      <c r="F86" s="468"/>
      <c r="G86" s="468"/>
      <c r="H86" s="468"/>
      <c r="I86" s="468"/>
      <c r="J86" s="468"/>
      <c r="K86" s="468"/>
    </row>
    <row r="87" spans="1:11" ht="12.75" customHeight="1" x14ac:dyDescent="0.2">
      <c r="A87" s="463" t="s">
        <v>79</v>
      </c>
      <c r="B87" s="470">
        <v>1819</v>
      </c>
      <c r="C87" s="549">
        <v>0</v>
      </c>
      <c r="D87" s="468"/>
      <c r="E87" s="468"/>
      <c r="F87" s="468"/>
      <c r="G87" s="468"/>
      <c r="H87" s="468"/>
      <c r="I87" s="468"/>
      <c r="J87" s="468"/>
      <c r="K87" s="468"/>
    </row>
    <row r="88" spans="1:11" ht="12.75" customHeight="1" x14ac:dyDescent="0.2">
      <c r="A88" s="463" t="s">
        <v>575</v>
      </c>
      <c r="B88" s="470">
        <v>1821</v>
      </c>
      <c r="C88" s="549">
        <v>1377</v>
      </c>
      <c r="D88" s="468"/>
      <c r="E88" s="468"/>
      <c r="F88" s="468"/>
      <c r="G88" s="468"/>
      <c r="H88" s="468"/>
      <c r="I88" s="468"/>
      <c r="J88" s="468"/>
      <c r="K88" s="468"/>
    </row>
    <row r="89" spans="1:11" ht="12.75" customHeight="1" x14ac:dyDescent="0.2">
      <c r="A89" s="463" t="s">
        <v>738</v>
      </c>
      <c r="B89" s="470">
        <v>1822</v>
      </c>
      <c r="C89" s="549">
        <v>0</v>
      </c>
      <c r="D89" s="468"/>
      <c r="E89" s="468"/>
      <c r="F89" s="468"/>
      <c r="G89" s="468"/>
      <c r="H89" s="468"/>
      <c r="I89" s="468"/>
      <c r="J89" s="468"/>
      <c r="K89" s="468"/>
    </row>
    <row r="90" spans="1:11" ht="12.75" customHeight="1" x14ac:dyDescent="0.2">
      <c r="A90" s="463" t="s">
        <v>141</v>
      </c>
      <c r="B90" s="470">
        <v>1823</v>
      </c>
      <c r="C90" s="549">
        <v>0</v>
      </c>
      <c r="D90" s="468"/>
      <c r="E90" s="468"/>
      <c r="F90" s="468"/>
      <c r="G90" s="468"/>
      <c r="H90" s="468"/>
      <c r="I90" s="468"/>
      <c r="J90" s="468"/>
      <c r="K90" s="468"/>
    </row>
    <row r="91" spans="1:11" ht="12.75" customHeight="1" x14ac:dyDescent="0.2">
      <c r="A91" s="463" t="s">
        <v>27</v>
      </c>
      <c r="B91" s="470">
        <v>1829</v>
      </c>
      <c r="C91" s="549">
        <v>0</v>
      </c>
      <c r="D91" s="468"/>
      <c r="E91" s="468"/>
      <c r="F91" s="468"/>
      <c r="G91" s="468"/>
      <c r="H91" s="468"/>
      <c r="I91" s="468"/>
      <c r="J91" s="468"/>
      <c r="K91" s="468"/>
    </row>
    <row r="92" spans="1:11" ht="12.75" customHeight="1" x14ac:dyDescent="0.2">
      <c r="A92" s="463" t="s">
        <v>786</v>
      </c>
      <c r="B92" s="470">
        <v>1890</v>
      </c>
      <c r="C92" s="549">
        <v>0</v>
      </c>
      <c r="D92" s="468"/>
      <c r="E92" s="468"/>
      <c r="F92" s="468"/>
      <c r="G92" s="468"/>
      <c r="H92" s="468"/>
      <c r="I92" s="468"/>
      <c r="J92" s="468"/>
      <c r="K92" s="468"/>
    </row>
    <row r="93" spans="1:11" ht="12.75" customHeight="1" thickBot="1" x14ac:dyDescent="0.25">
      <c r="A93" s="1726" t="s">
        <v>261</v>
      </c>
      <c r="B93" s="1727"/>
      <c r="C93" s="1706">
        <f>SUM(C84:C92)</f>
        <v>719827</v>
      </c>
      <c r="D93" s="468"/>
      <c r="E93" s="468"/>
      <c r="F93" s="468"/>
      <c r="G93" s="468"/>
      <c r="H93" s="468"/>
      <c r="I93" s="468"/>
      <c r="J93" s="468"/>
      <c r="K93" s="468"/>
    </row>
    <row r="94" spans="1:11" ht="15.75" customHeight="1" thickTop="1" x14ac:dyDescent="0.2">
      <c r="A94" s="1610" t="s">
        <v>1199</v>
      </c>
      <c r="B94" s="1612">
        <v>1900</v>
      </c>
      <c r="C94" s="551"/>
      <c r="D94" s="519"/>
      <c r="E94" s="468"/>
      <c r="F94" s="468"/>
      <c r="G94" s="468"/>
      <c r="H94" s="468"/>
      <c r="I94" s="468"/>
      <c r="J94" s="468"/>
      <c r="K94" s="468"/>
    </row>
    <row r="95" spans="1:11" ht="12.75" customHeight="1" x14ac:dyDescent="0.2">
      <c r="A95" s="463" t="s">
        <v>1124</v>
      </c>
      <c r="B95" s="470">
        <v>1910</v>
      </c>
      <c r="C95" s="466">
        <v>0</v>
      </c>
      <c r="D95" s="549">
        <v>64756</v>
      </c>
      <c r="E95" s="519"/>
      <c r="F95" s="519"/>
      <c r="G95" s="519"/>
      <c r="H95" s="519"/>
      <c r="I95" s="519"/>
      <c r="J95" s="519"/>
      <c r="K95" s="519"/>
    </row>
    <row r="96" spans="1:11" ht="12.75" customHeight="1" x14ac:dyDescent="0.2">
      <c r="A96" s="463" t="s">
        <v>409</v>
      </c>
      <c r="B96" s="470">
        <v>1920</v>
      </c>
      <c r="C96" s="549">
        <v>32538</v>
      </c>
      <c r="D96" s="549">
        <v>0</v>
      </c>
      <c r="E96" s="478">
        <v>0</v>
      </c>
      <c r="F96" s="477">
        <v>0</v>
      </c>
      <c r="G96" s="477">
        <v>0</v>
      </c>
      <c r="H96" s="477">
        <v>0</v>
      </c>
      <c r="I96" s="477">
        <v>0</v>
      </c>
      <c r="J96" s="477">
        <v>0</v>
      </c>
      <c r="K96" s="477">
        <v>0</v>
      </c>
    </row>
    <row r="97" spans="1:12" ht="12.75" customHeight="1" x14ac:dyDescent="0.2">
      <c r="A97" s="1513" t="s">
        <v>262</v>
      </c>
      <c r="B97" s="557">
        <v>1930</v>
      </c>
      <c r="C97" s="487">
        <v>0</v>
      </c>
      <c r="D97" s="467">
        <v>0</v>
      </c>
      <c r="E97" s="474">
        <v>0</v>
      </c>
      <c r="F97" s="467">
        <v>0</v>
      </c>
      <c r="G97" s="467">
        <v>0</v>
      </c>
      <c r="H97" s="467">
        <v>0</v>
      </c>
      <c r="I97" s="467">
        <v>0</v>
      </c>
      <c r="J97" s="467">
        <v>0</v>
      </c>
      <c r="K97" s="467">
        <v>0</v>
      </c>
    </row>
    <row r="98" spans="1:12" ht="12.75" customHeight="1" x14ac:dyDescent="0.2">
      <c r="A98" s="463" t="s">
        <v>198</v>
      </c>
      <c r="B98" s="470">
        <v>1940</v>
      </c>
      <c r="C98" s="487">
        <v>0</v>
      </c>
      <c r="D98" s="466">
        <v>0</v>
      </c>
      <c r="E98" s="510"/>
      <c r="F98" s="466">
        <v>0</v>
      </c>
      <c r="G98" s="510"/>
      <c r="H98" s="510"/>
      <c r="I98" s="508"/>
      <c r="J98" s="510"/>
      <c r="K98" s="510"/>
    </row>
    <row r="99" spans="1:12" ht="12.75" customHeight="1" x14ac:dyDescent="0.2">
      <c r="A99" s="463" t="s">
        <v>875</v>
      </c>
      <c r="B99" s="470">
        <v>1950</v>
      </c>
      <c r="C99" s="487">
        <v>223639</v>
      </c>
      <c r="D99" s="466">
        <v>0</v>
      </c>
      <c r="E99" s="466">
        <v>0</v>
      </c>
      <c r="F99" s="466">
        <v>0</v>
      </c>
      <c r="G99" s="466">
        <v>0</v>
      </c>
      <c r="H99" s="466">
        <v>0</v>
      </c>
      <c r="I99" s="468"/>
      <c r="J99" s="467">
        <v>0</v>
      </c>
      <c r="K99" s="466">
        <v>0</v>
      </c>
    </row>
    <row r="100" spans="1:12" ht="12.75" customHeight="1" x14ac:dyDescent="0.2">
      <c r="A100" s="463" t="s">
        <v>263</v>
      </c>
      <c r="B100" s="470">
        <v>1960</v>
      </c>
      <c r="C100" s="487">
        <v>0</v>
      </c>
      <c r="D100" s="487">
        <v>0</v>
      </c>
      <c r="E100" s="487">
        <v>0</v>
      </c>
      <c r="F100" s="487">
        <v>0</v>
      </c>
      <c r="G100" s="487">
        <v>0</v>
      </c>
      <c r="H100" s="487">
        <v>0</v>
      </c>
      <c r="I100" s="467">
        <v>0</v>
      </c>
      <c r="J100" s="487">
        <v>0</v>
      </c>
      <c r="K100" s="467">
        <v>0</v>
      </c>
    </row>
    <row r="101" spans="1:12" ht="12.75" customHeight="1" x14ac:dyDescent="0.2">
      <c r="A101" s="463" t="s">
        <v>264</v>
      </c>
      <c r="B101" s="470">
        <v>1970</v>
      </c>
      <c r="C101" s="487">
        <v>28043</v>
      </c>
      <c r="D101" s="524"/>
      <c r="E101" s="479"/>
      <c r="F101" s="524"/>
      <c r="G101" s="475"/>
      <c r="H101" s="524"/>
      <c r="I101" s="468"/>
      <c r="J101" s="475"/>
      <c r="K101" s="475"/>
    </row>
    <row r="102" spans="1:12" ht="12.75" customHeight="1" x14ac:dyDescent="0.2">
      <c r="A102" s="463" t="s">
        <v>265</v>
      </c>
      <c r="B102" s="470">
        <v>1980</v>
      </c>
      <c r="C102" s="487">
        <v>0</v>
      </c>
      <c r="D102" s="487">
        <v>0</v>
      </c>
      <c r="E102" s="487">
        <v>0</v>
      </c>
      <c r="F102" s="487">
        <v>0</v>
      </c>
      <c r="G102" s="487">
        <v>0</v>
      </c>
      <c r="H102" s="487">
        <v>0</v>
      </c>
      <c r="I102" s="467">
        <v>0</v>
      </c>
      <c r="J102" s="487">
        <v>0</v>
      </c>
      <c r="K102" s="467">
        <v>0</v>
      </c>
    </row>
    <row r="103" spans="1:12" ht="12.75" customHeight="1" x14ac:dyDescent="0.2">
      <c r="A103" s="463" t="s">
        <v>363</v>
      </c>
      <c r="B103" s="470">
        <v>1983</v>
      </c>
      <c r="C103" s="468"/>
      <c r="D103" s="468"/>
      <c r="E103" s="558">
        <v>0</v>
      </c>
      <c r="F103" s="468"/>
      <c r="G103" s="468"/>
      <c r="H103" s="487">
        <v>0</v>
      </c>
      <c r="I103" s="468"/>
      <c r="J103" s="508"/>
      <c r="K103" s="508"/>
    </row>
    <row r="104" spans="1:12" ht="12.75" customHeight="1" x14ac:dyDescent="0.2">
      <c r="A104" s="463" t="s">
        <v>885</v>
      </c>
      <c r="B104" s="470">
        <v>1991</v>
      </c>
      <c r="C104" s="487">
        <v>0</v>
      </c>
      <c r="D104" s="466">
        <v>0</v>
      </c>
      <c r="E104" s="480">
        <v>0</v>
      </c>
      <c r="F104" s="467">
        <v>0</v>
      </c>
      <c r="G104" s="467">
        <v>0</v>
      </c>
      <c r="H104" s="466">
        <v>0</v>
      </c>
      <c r="I104" s="468"/>
      <c r="J104" s="468"/>
      <c r="K104" s="468"/>
    </row>
    <row r="105" spans="1:12" ht="12.75" customHeight="1" x14ac:dyDescent="0.2">
      <c r="A105" s="463" t="s">
        <v>876</v>
      </c>
      <c r="B105" s="470">
        <v>1992</v>
      </c>
      <c r="C105" s="466">
        <v>0</v>
      </c>
      <c r="D105" s="559"/>
      <c r="E105" s="468"/>
      <c r="F105" s="468"/>
      <c r="G105" s="468"/>
      <c r="H105" s="508"/>
      <c r="I105" s="468"/>
      <c r="J105" s="468"/>
      <c r="K105" s="468"/>
    </row>
    <row r="106" spans="1:12" ht="12.75" customHeight="1" x14ac:dyDescent="0.2">
      <c r="A106" s="463" t="s">
        <v>1505</v>
      </c>
      <c r="B106" s="470">
        <v>1993</v>
      </c>
      <c r="C106" s="466">
        <v>18573</v>
      </c>
      <c r="D106" s="487">
        <v>0</v>
      </c>
      <c r="E106" s="467">
        <v>0</v>
      </c>
      <c r="F106" s="467">
        <v>0</v>
      </c>
      <c r="G106" s="467">
        <v>0</v>
      </c>
      <c r="H106" s="467">
        <v>0</v>
      </c>
      <c r="I106" s="519"/>
      <c r="J106" s="467">
        <v>0</v>
      </c>
      <c r="K106" s="467">
        <v>0</v>
      </c>
    </row>
    <row r="107" spans="1:12" ht="12.75" customHeight="1" x14ac:dyDescent="0.2">
      <c r="A107" s="463" t="s">
        <v>80</v>
      </c>
      <c r="B107" s="470">
        <v>1999</v>
      </c>
      <c r="C107" s="549">
        <v>77225</v>
      </c>
      <c r="D107" s="466">
        <v>10561</v>
      </c>
      <c r="E107" s="466">
        <v>0</v>
      </c>
      <c r="F107" s="466">
        <v>0</v>
      </c>
      <c r="G107" s="466">
        <v>0</v>
      </c>
      <c r="H107" s="466">
        <v>0</v>
      </c>
      <c r="I107" s="466">
        <v>0</v>
      </c>
      <c r="J107" s="467">
        <v>0</v>
      </c>
      <c r="K107" s="466">
        <v>0</v>
      </c>
    </row>
    <row r="108" spans="1:12" ht="12.75" customHeight="1" thickBot="1" x14ac:dyDescent="0.25">
      <c r="A108" s="1726" t="s">
        <v>508</v>
      </c>
      <c r="B108" s="1730"/>
      <c r="C108" s="1725">
        <f>SUM(C95:C107)</f>
        <v>380018</v>
      </c>
      <c r="D108" s="1725">
        <f t="shared" ref="D108:K108" si="3">SUM(D95:D107)</f>
        <v>75317</v>
      </c>
      <c r="E108" s="1725">
        <f t="shared" si="3"/>
        <v>0</v>
      </c>
      <c r="F108" s="1725">
        <f t="shared" si="3"/>
        <v>0</v>
      </c>
      <c r="G108" s="1725">
        <f t="shared" si="3"/>
        <v>0</v>
      </c>
      <c r="H108" s="1725">
        <f t="shared" si="3"/>
        <v>0</v>
      </c>
      <c r="I108" s="1725">
        <f t="shared" si="3"/>
        <v>0</v>
      </c>
      <c r="J108" s="1725">
        <f t="shared" si="3"/>
        <v>0</v>
      </c>
      <c r="K108" s="1706">
        <f t="shared" si="3"/>
        <v>0</v>
      </c>
    </row>
    <row r="109" spans="1:12" ht="14.25" thickTop="1" thickBot="1" x14ac:dyDescent="0.25">
      <c r="A109" s="1731" t="s">
        <v>266</v>
      </c>
      <c r="B109" s="1732" t="s">
        <v>591</v>
      </c>
      <c r="C109" s="1733">
        <f t="shared" ref="C109:K109" si="4">SUM(C12,C18,C40,C63,C67,C75,C82,C93,C108,)</f>
        <v>15238622</v>
      </c>
      <c r="D109" s="1733">
        <f t="shared" si="4"/>
        <v>1841063</v>
      </c>
      <c r="E109" s="1733">
        <f t="shared" si="4"/>
        <v>777336</v>
      </c>
      <c r="F109" s="1733">
        <f t="shared" si="4"/>
        <v>805783</v>
      </c>
      <c r="G109" s="1733">
        <f t="shared" si="4"/>
        <v>525252</v>
      </c>
      <c r="H109" s="1733">
        <f t="shared" si="4"/>
        <v>109883</v>
      </c>
      <c r="I109" s="1733">
        <f t="shared" si="4"/>
        <v>369440</v>
      </c>
      <c r="J109" s="1733">
        <f t="shared" si="4"/>
        <v>0</v>
      </c>
      <c r="K109" s="1720">
        <f t="shared" si="4"/>
        <v>1057</v>
      </c>
    </row>
    <row r="110" spans="1:12" ht="30" customHeight="1" thickTop="1" x14ac:dyDescent="0.2">
      <c r="A110" s="1603" t="s">
        <v>364</v>
      </c>
      <c r="B110" s="1604"/>
      <c r="C110" s="1589"/>
      <c r="D110" s="1589"/>
      <c r="E110" s="1589"/>
      <c r="F110" s="1589"/>
      <c r="G110" s="1589"/>
      <c r="H110" s="1589"/>
      <c r="I110" s="1589"/>
      <c r="J110" s="1589"/>
      <c r="K110" s="1590"/>
    </row>
    <row r="111" spans="1:12" ht="12.75" customHeight="1" x14ac:dyDescent="0.2">
      <c r="A111" s="491" t="s">
        <v>877</v>
      </c>
      <c r="B111" s="489">
        <v>2100</v>
      </c>
      <c r="C111" s="514">
        <v>0</v>
      </c>
      <c r="D111" s="480">
        <v>0</v>
      </c>
      <c r="E111" s="559"/>
      <c r="F111" s="480">
        <v>0</v>
      </c>
      <c r="G111" s="480">
        <v>0</v>
      </c>
      <c r="H111" s="559"/>
      <c r="I111" s="468"/>
      <c r="J111" s="468"/>
      <c r="K111" s="468"/>
    </row>
    <row r="112" spans="1:12" ht="12.75" customHeight="1" x14ac:dyDescent="0.2">
      <c r="A112" s="463" t="s">
        <v>878</v>
      </c>
      <c r="B112" s="470">
        <v>2200</v>
      </c>
      <c r="C112" s="549">
        <v>0</v>
      </c>
      <c r="D112" s="466">
        <v>0</v>
      </c>
      <c r="E112" s="559"/>
      <c r="F112" s="466">
        <v>0</v>
      </c>
      <c r="G112" s="466">
        <v>0</v>
      </c>
      <c r="H112" s="559"/>
      <c r="I112" s="468"/>
      <c r="J112" s="468"/>
      <c r="K112" s="468"/>
      <c r="L112" s="550"/>
    </row>
    <row r="113" spans="1:11" ht="12.75" customHeight="1" x14ac:dyDescent="0.2">
      <c r="A113" s="463" t="s">
        <v>28</v>
      </c>
      <c r="B113" s="470">
        <v>2300</v>
      </c>
      <c r="C113" s="549">
        <v>0</v>
      </c>
      <c r="D113" s="466">
        <v>0</v>
      </c>
      <c r="E113" s="559"/>
      <c r="F113" s="466">
        <v>0</v>
      </c>
      <c r="G113" s="466">
        <v>0</v>
      </c>
      <c r="H113" s="559"/>
      <c r="I113" s="468"/>
      <c r="J113" s="468"/>
      <c r="K113" s="468"/>
    </row>
    <row r="114" spans="1:11" ht="13.5" thickBot="1" x14ac:dyDescent="0.25">
      <c r="A114" s="1734" t="s">
        <v>839</v>
      </c>
      <c r="B114" s="1735" t="s">
        <v>590</v>
      </c>
      <c r="C114" s="1736">
        <f>SUM(C111:C113)</f>
        <v>0</v>
      </c>
      <c r="D114" s="1736">
        <f>SUM(D111:D113)</f>
        <v>0</v>
      </c>
      <c r="E114" s="559" t="s">
        <v>1231</v>
      </c>
      <c r="F114" s="1736">
        <f>SUM(F111:F113)</f>
        <v>0</v>
      </c>
      <c r="G114" s="1736">
        <f>SUM(G111:G113)</f>
        <v>0</v>
      </c>
      <c r="H114" s="559"/>
      <c r="I114" s="468"/>
      <c r="J114" s="468"/>
      <c r="K114" s="468"/>
    </row>
    <row r="115" spans="1:11" ht="16.7" customHeight="1" thickTop="1" x14ac:dyDescent="0.2">
      <c r="A115" s="1605" t="s">
        <v>836</v>
      </c>
      <c r="B115" s="1606"/>
      <c r="C115" s="1588"/>
      <c r="D115" s="1589"/>
      <c r="E115" s="1589"/>
      <c r="F115" s="1589"/>
      <c r="G115" s="1589"/>
      <c r="H115" s="1589"/>
      <c r="I115" s="1589"/>
      <c r="J115" s="1589"/>
      <c r="K115" s="1590"/>
    </row>
    <row r="116" spans="1:11" ht="18" customHeight="1" x14ac:dyDescent="0.2">
      <c r="A116" s="1613" t="s">
        <v>1571</v>
      </c>
      <c r="B116" s="1614"/>
      <c r="C116" s="520"/>
      <c r="D116" s="519"/>
      <c r="E116" s="559"/>
      <c r="F116" s="519"/>
      <c r="G116" s="519"/>
      <c r="H116" s="559"/>
      <c r="I116" s="468"/>
      <c r="J116" s="519"/>
      <c r="K116" s="519"/>
    </row>
    <row r="117" spans="1:11" ht="12.75" customHeight="1" x14ac:dyDescent="0.2">
      <c r="A117" s="463" t="s">
        <v>1766</v>
      </c>
      <c r="B117" s="560">
        <v>3001</v>
      </c>
      <c r="C117" s="514">
        <v>5530578</v>
      </c>
      <c r="D117" s="480">
        <v>0</v>
      </c>
      <c r="E117" s="466">
        <v>0</v>
      </c>
      <c r="F117" s="480">
        <v>0</v>
      </c>
      <c r="G117" s="480">
        <v>0</v>
      </c>
      <c r="H117" s="466">
        <v>0</v>
      </c>
      <c r="I117" s="468"/>
      <c r="J117" s="467">
        <v>0</v>
      </c>
      <c r="K117" s="466">
        <v>0</v>
      </c>
    </row>
    <row r="118" spans="1:11" ht="12.75" customHeight="1" x14ac:dyDescent="0.2">
      <c r="A118" s="463" t="s">
        <v>1899</v>
      </c>
      <c r="B118" s="560">
        <v>3002</v>
      </c>
      <c r="C118" s="549">
        <v>0</v>
      </c>
      <c r="D118" s="466">
        <v>0</v>
      </c>
      <c r="E118" s="466">
        <v>0</v>
      </c>
      <c r="F118" s="466">
        <v>0</v>
      </c>
      <c r="G118" s="466">
        <v>0</v>
      </c>
      <c r="H118" s="466">
        <v>0</v>
      </c>
      <c r="I118" s="468"/>
      <c r="J118" s="467">
        <v>0</v>
      </c>
      <c r="K118" s="466">
        <v>0</v>
      </c>
    </row>
    <row r="119" spans="1:11" ht="12.75" customHeight="1" x14ac:dyDescent="0.2">
      <c r="A119" s="463" t="s">
        <v>1900</v>
      </c>
      <c r="B119" s="560">
        <v>3005</v>
      </c>
      <c r="C119" s="549">
        <v>0</v>
      </c>
      <c r="D119" s="466">
        <v>0</v>
      </c>
      <c r="E119" s="466">
        <v>0</v>
      </c>
      <c r="F119" s="466">
        <v>0</v>
      </c>
      <c r="G119" s="466">
        <v>0</v>
      </c>
      <c r="H119" s="466">
        <v>0</v>
      </c>
      <c r="I119" s="468"/>
      <c r="J119" s="467">
        <v>0</v>
      </c>
      <c r="K119" s="466">
        <v>0</v>
      </c>
    </row>
    <row r="120" spans="1:11" x14ac:dyDescent="0.2">
      <c r="A120" s="1514" t="s">
        <v>1901</v>
      </c>
      <c r="B120" s="562">
        <v>3099</v>
      </c>
      <c r="C120" s="549">
        <v>0</v>
      </c>
      <c r="D120" s="466">
        <v>0</v>
      </c>
      <c r="E120" s="466">
        <v>0</v>
      </c>
      <c r="F120" s="466">
        <v>0</v>
      </c>
      <c r="G120" s="466">
        <v>0</v>
      </c>
      <c r="H120" s="466">
        <v>0</v>
      </c>
      <c r="I120" s="468"/>
      <c r="J120" s="467">
        <v>0</v>
      </c>
      <c r="K120" s="466">
        <v>0</v>
      </c>
    </row>
    <row r="121" spans="1:11" ht="12.6" customHeight="1" thickBot="1" x14ac:dyDescent="0.25">
      <c r="A121" s="1726" t="s">
        <v>509</v>
      </c>
      <c r="B121" s="1737"/>
      <c r="C121" s="1725">
        <f t="shared" ref="C121:H121" si="5">SUM(C117:C120)</f>
        <v>5530578</v>
      </c>
      <c r="D121" s="1725">
        <f t="shared" si="5"/>
        <v>0</v>
      </c>
      <c r="E121" s="1725">
        <f t="shared" si="5"/>
        <v>0</v>
      </c>
      <c r="F121" s="1725">
        <f t="shared" si="5"/>
        <v>0</v>
      </c>
      <c r="G121" s="1725">
        <f t="shared" si="5"/>
        <v>0</v>
      </c>
      <c r="H121" s="1725">
        <f t="shared" si="5"/>
        <v>0</v>
      </c>
      <c r="I121" s="468"/>
      <c r="J121" s="1725">
        <f>SUM(J117:J120)</f>
        <v>0</v>
      </c>
      <c r="K121" s="1706">
        <f>SUM(K117:K120)</f>
        <v>0</v>
      </c>
    </row>
    <row r="122" spans="1:11" ht="15.75" customHeight="1" thickTop="1" x14ac:dyDescent="0.2">
      <c r="A122" s="1610" t="s">
        <v>1570</v>
      </c>
      <c r="B122" s="1615"/>
      <c r="C122" s="563"/>
      <c r="D122" s="507"/>
      <c r="E122" s="468"/>
      <c r="F122" s="564"/>
      <c r="G122" s="468"/>
      <c r="H122" s="468"/>
      <c r="I122" s="468"/>
      <c r="J122" s="468"/>
      <c r="K122" s="468"/>
    </row>
    <row r="123" spans="1:11" ht="15" customHeight="1" x14ac:dyDescent="0.2">
      <c r="A123" s="1616" t="s">
        <v>688</v>
      </c>
      <c r="B123" s="1617"/>
      <c r="C123" s="519"/>
      <c r="D123" s="507"/>
      <c r="E123" s="468"/>
      <c r="F123" s="519"/>
      <c r="G123" s="468"/>
      <c r="H123" s="468"/>
      <c r="I123" s="468"/>
      <c r="J123" s="468"/>
      <c r="K123" s="468"/>
    </row>
    <row r="124" spans="1:11" ht="12.75" customHeight="1" x14ac:dyDescent="0.2">
      <c r="A124" s="463" t="s">
        <v>921</v>
      </c>
      <c r="B124" s="565">
        <v>3100</v>
      </c>
      <c r="C124" s="480">
        <v>200035</v>
      </c>
      <c r="D124" s="559"/>
      <c r="E124" s="468"/>
      <c r="F124" s="546">
        <v>0</v>
      </c>
      <c r="G124" s="468"/>
      <c r="H124" s="468"/>
      <c r="I124" s="468"/>
      <c r="J124" s="468"/>
      <c r="K124" s="468"/>
    </row>
    <row r="125" spans="1:11" ht="12.75" customHeight="1" x14ac:dyDescent="0.2">
      <c r="A125" s="463" t="s">
        <v>1521</v>
      </c>
      <c r="B125" s="560">
        <v>3105</v>
      </c>
      <c r="C125" s="466">
        <v>127096</v>
      </c>
      <c r="D125" s="559"/>
      <c r="E125" s="468"/>
      <c r="F125" s="466">
        <v>0</v>
      </c>
      <c r="G125" s="468"/>
      <c r="H125" s="468"/>
      <c r="I125" s="468"/>
      <c r="J125" s="468"/>
      <c r="K125" s="468"/>
    </row>
    <row r="126" spans="1:11" ht="12.75" customHeight="1" x14ac:dyDescent="0.2">
      <c r="A126" s="463" t="s">
        <v>922</v>
      </c>
      <c r="B126" s="560">
        <v>3110</v>
      </c>
      <c r="C126" s="549">
        <v>141296</v>
      </c>
      <c r="D126" s="466">
        <v>0</v>
      </c>
      <c r="E126" s="468"/>
      <c r="F126" s="466">
        <v>0</v>
      </c>
      <c r="G126" s="468"/>
      <c r="H126" s="468"/>
      <c r="I126" s="468"/>
      <c r="J126" s="468"/>
      <c r="K126" s="468"/>
    </row>
    <row r="127" spans="1:11" ht="12.75" customHeight="1" x14ac:dyDescent="0.2">
      <c r="A127" s="463" t="s">
        <v>107</v>
      </c>
      <c r="B127" s="560">
        <v>3120</v>
      </c>
      <c r="C127" s="466">
        <v>0</v>
      </c>
      <c r="D127" s="559"/>
      <c r="E127" s="468"/>
      <c r="F127" s="466">
        <v>0</v>
      </c>
      <c r="G127" s="468"/>
      <c r="H127" s="468"/>
      <c r="I127" s="468"/>
      <c r="J127" s="468"/>
      <c r="K127" s="468"/>
    </row>
    <row r="128" spans="1:11" ht="12.75" customHeight="1" x14ac:dyDescent="0.2">
      <c r="A128" s="463" t="s">
        <v>1522</v>
      </c>
      <c r="B128" s="560">
        <v>3130</v>
      </c>
      <c r="C128" s="466">
        <v>0</v>
      </c>
      <c r="D128" s="559"/>
      <c r="E128" s="468"/>
      <c r="F128" s="466">
        <v>0</v>
      </c>
      <c r="G128" s="468"/>
      <c r="H128" s="468"/>
      <c r="I128" s="468"/>
      <c r="J128" s="468"/>
      <c r="K128" s="468"/>
    </row>
    <row r="129" spans="1:11" ht="12.75" customHeight="1" x14ac:dyDescent="0.2">
      <c r="A129" s="463" t="s">
        <v>139</v>
      </c>
      <c r="B129" s="560">
        <v>3145</v>
      </c>
      <c r="C129" s="466">
        <v>14356</v>
      </c>
      <c r="D129" s="559"/>
      <c r="E129" s="468"/>
      <c r="F129" s="466">
        <v>0</v>
      </c>
      <c r="G129" s="468"/>
      <c r="H129" s="468"/>
      <c r="I129" s="468"/>
      <c r="J129" s="468"/>
      <c r="K129" s="468"/>
    </row>
    <row r="130" spans="1:11" ht="12.75" customHeight="1" x14ac:dyDescent="0.2">
      <c r="A130" s="463" t="s">
        <v>68</v>
      </c>
      <c r="B130" s="560">
        <v>3199</v>
      </c>
      <c r="C130" s="549">
        <v>0</v>
      </c>
      <c r="D130" s="467">
        <v>0</v>
      </c>
      <c r="E130" s="468"/>
      <c r="F130" s="466">
        <v>0</v>
      </c>
      <c r="G130" s="468"/>
      <c r="H130" s="468"/>
      <c r="I130" s="468"/>
      <c r="J130" s="468"/>
      <c r="K130" s="468"/>
    </row>
    <row r="131" spans="1:11" ht="12.75" customHeight="1" thickBot="1" x14ac:dyDescent="0.25">
      <c r="A131" s="1726" t="s">
        <v>1092</v>
      </c>
      <c r="B131" s="1738"/>
      <c r="C131" s="1725">
        <f>SUM(C124:C130)</f>
        <v>482783</v>
      </c>
      <c r="D131" s="1725">
        <f>SUM(D124:D130)</f>
        <v>0</v>
      </c>
      <c r="E131" s="469" t="s">
        <v>1231</v>
      </c>
      <c r="F131" s="1725">
        <f>SUM(F124:F130)</f>
        <v>0</v>
      </c>
      <c r="G131" s="468" t="s">
        <v>1231</v>
      </c>
      <c r="H131" s="468" t="s">
        <v>1231</v>
      </c>
      <c r="I131" s="468" t="s">
        <v>1231</v>
      </c>
      <c r="J131" s="468" t="s">
        <v>1231</v>
      </c>
      <c r="K131" s="468" t="s">
        <v>1231</v>
      </c>
    </row>
    <row r="132" spans="1:11" ht="15.75" customHeight="1" thickTop="1" x14ac:dyDescent="0.2">
      <c r="A132" s="1618" t="s">
        <v>268</v>
      </c>
      <c r="B132" s="1619"/>
      <c r="C132" s="551"/>
      <c r="D132" s="551"/>
      <c r="E132" s="507"/>
      <c r="F132" s="551"/>
      <c r="G132" s="468"/>
      <c r="H132" s="468"/>
      <c r="I132" s="468"/>
      <c r="J132" s="468"/>
      <c r="K132" s="468"/>
    </row>
    <row r="133" spans="1:11" x14ac:dyDescent="0.2">
      <c r="A133" s="463" t="s">
        <v>620</v>
      </c>
      <c r="B133" s="560">
        <v>3200</v>
      </c>
      <c r="C133" s="549">
        <v>0</v>
      </c>
      <c r="D133" s="466">
        <v>0</v>
      </c>
      <c r="E133" s="559"/>
      <c r="F133" s="468"/>
      <c r="G133" s="466">
        <v>0</v>
      </c>
      <c r="H133" s="468"/>
      <c r="I133" s="468"/>
      <c r="J133" s="468"/>
      <c r="K133" s="468"/>
    </row>
    <row r="134" spans="1:11" ht="12.75" customHeight="1" x14ac:dyDescent="0.2">
      <c r="A134" s="463" t="s">
        <v>690</v>
      </c>
      <c r="B134" s="560">
        <v>3220</v>
      </c>
      <c r="C134" s="549">
        <v>17300</v>
      </c>
      <c r="D134" s="466">
        <v>0</v>
      </c>
      <c r="E134" s="559"/>
      <c r="F134" s="468"/>
      <c r="G134" s="467">
        <v>0</v>
      </c>
      <c r="H134" s="468"/>
      <c r="I134" s="468"/>
      <c r="J134" s="468"/>
      <c r="K134" s="468"/>
    </row>
    <row r="135" spans="1:11" ht="12.75" customHeight="1" x14ac:dyDescent="0.2">
      <c r="A135" s="463" t="s">
        <v>267</v>
      </c>
      <c r="B135" s="560">
        <v>3225</v>
      </c>
      <c r="C135" s="549">
        <v>0</v>
      </c>
      <c r="D135" s="466">
        <v>0</v>
      </c>
      <c r="E135" s="559"/>
      <c r="F135" s="468"/>
      <c r="G135" s="467">
        <v>0</v>
      </c>
      <c r="H135" s="468"/>
      <c r="I135" s="468"/>
      <c r="J135" s="468"/>
      <c r="K135" s="468"/>
    </row>
    <row r="136" spans="1:11" ht="12.75" customHeight="1" x14ac:dyDescent="0.2">
      <c r="A136" s="463" t="s">
        <v>621</v>
      </c>
      <c r="B136" s="560">
        <v>3235</v>
      </c>
      <c r="C136" s="487">
        <v>0</v>
      </c>
      <c r="D136" s="467">
        <v>0</v>
      </c>
      <c r="E136" s="559"/>
      <c r="F136" s="468"/>
      <c r="G136" s="467">
        <v>0</v>
      </c>
      <c r="H136" s="468"/>
      <c r="I136" s="468"/>
      <c r="J136" s="468"/>
      <c r="K136" s="468"/>
    </row>
    <row r="137" spans="1:11" ht="12.75" customHeight="1" x14ac:dyDescent="0.2">
      <c r="A137" s="463" t="s">
        <v>622</v>
      </c>
      <c r="B137" s="560">
        <v>3240</v>
      </c>
      <c r="C137" s="487">
        <v>0</v>
      </c>
      <c r="D137" s="467">
        <v>0</v>
      </c>
      <c r="E137" s="559"/>
      <c r="F137" s="468"/>
      <c r="G137" s="467">
        <v>0</v>
      </c>
      <c r="H137" s="468"/>
      <c r="I137" s="468"/>
      <c r="J137" s="468"/>
      <c r="K137" s="468"/>
    </row>
    <row r="138" spans="1:11" ht="12.75" customHeight="1" x14ac:dyDescent="0.2">
      <c r="A138" s="463" t="s">
        <v>623</v>
      </c>
      <c r="B138" s="560">
        <v>3270</v>
      </c>
      <c r="C138" s="487">
        <v>0</v>
      </c>
      <c r="D138" s="467">
        <v>0</v>
      </c>
      <c r="E138" s="559"/>
      <c r="F138" s="468"/>
      <c r="G138" s="467">
        <v>0</v>
      </c>
      <c r="H138" s="468"/>
      <c r="I138" s="468"/>
      <c r="J138" s="468"/>
      <c r="K138" s="468"/>
    </row>
    <row r="139" spans="1:11" ht="12.75" customHeight="1" x14ac:dyDescent="0.2">
      <c r="A139" s="463" t="s">
        <v>69</v>
      </c>
      <c r="B139" s="560">
        <v>3299</v>
      </c>
      <c r="C139" s="549">
        <v>0</v>
      </c>
      <c r="D139" s="466">
        <v>0</v>
      </c>
      <c r="E139" s="559"/>
      <c r="F139" s="476"/>
      <c r="G139" s="467">
        <v>0</v>
      </c>
      <c r="H139" s="468"/>
      <c r="I139" s="468"/>
      <c r="J139" s="468"/>
      <c r="K139" s="468"/>
    </row>
    <row r="140" spans="1:11" ht="12.75" customHeight="1" thickBot="1" x14ac:dyDescent="0.25">
      <c r="A140" s="1726" t="s">
        <v>624</v>
      </c>
      <c r="B140" s="1738"/>
      <c r="C140" s="1725">
        <f>SUM(C133:C139)</f>
        <v>17300</v>
      </c>
      <c r="D140" s="1725">
        <f>SUM(D133:D139)</f>
        <v>0</v>
      </c>
      <c r="E140" s="559" t="s">
        <v>1231</v>
      </c>
      <c r="F140" s="476"/>
      <c r="G140" s="1725">
        <f>SUM(G133:G139)</f>
        <v>0</v>
      </c>
      <c r="H140" s="468" t="s">
        <v>1231</v>
      </c>
      <c r="I140" s="468" t="s">
        <v>1231</v>
      </c>
      <c r="J140" s="468" t="s">
        <v>1231</v>
      </c>
      <c r="K140" s="468" t="s">
        <v>1231</v>
      </c>
    </row>
    <row r="141" spans="1:11" ht="15.75" customHeight="1" thickTop="1" x14ac:dyDescent="0.2">
      <c r="A141" s="1618" t="s">
        <v>691</v>
      </c>
      <c r="B141" s="1619"/>
      <c r="C141" s="551"/>
      <c r="D141" s="564"/>
      <c r="E141" s="559"/>
      <c r="F141" s="551"/>
      <c r="G141" s="551"/>
      <c r="H141" s="468"/>
      <c r="I141" s="468"/>
      <c r="J141" s="468"/>
      <c r="K141" s="468"/>
    </row>
    <row r="142" spans="1:11" ht="12.75" customHeight="1" x14ac:dyDescent="0.2">
      <c r="A142" s="463" t="s">
        <v>625</v>
      </c>
      <c r="B142" s="560">
        <v>3305</v>
      </c>
      <c r="C142" s="466">
        <v>0</v>
      </c>
      <c r="D142" s="468"/>
      <c r="E142" s="559"/>
      <c r="F142" s="468"/>
      <c r="G142" s="466">
        <v>0</v>
      </c>
      <c r="H142" s="468"/>
      <c r="I142" s="468"/>
      <c r="J142" s="468"/>
      <c r="K142" s="468"/>
    </row>
    <row r="143" spans="1:11" ht="12.75" customHeight="1" x14ac:dyDescent="0.2">
      <c r="A143" s="463" t="s">
        <v>365</v>
      </c>
      <c r="B143" s="560">
        <v>3310</v>
      </c>
      <c r="C143" s="549">
        <v>0</v>
      </c>
      <c r="D143" s="468"/>
      <c r="E143" s="559"/>
      <c r="F143" s="468"/>
      <c r="G143" s="466">
        <v>0</v>
      </c>
      <c r="H143" s="468"/>
      <c r="I143" s="468"/>
      <c r="J143" s="468"/>
      <c r="K143" s="468"/>
    </row>
    <row r="144" spans="1:11" s="202" customFormat="1" ht="13.5" thickBot="1" x14ac:dyDescent="0.25">
      <c r="A144" s="1726" t="s">
        <v>414</v>
      </c>
      <c r="B144" s="1738"/>
      <c r="C144" s="1706">
        <f>SUM(C142:C143)</f>
        <v>0</v>
      </c>
      <c r="D144" s="468"/>
      <c r="E144" s="507"/>
      <c r="F144" s="468"/>
      <c r="G144" s="1739">
        <f>SUM(G142:G143)</f>
        <v>0</v>
      </c>
      <c r="H144" s="468"/>
      <c r="I144" s="468"/>
      <c r="J144" s="468"/>
      <c r="K144" s="468"/>
    </row>
    <row r="145" spans="1:11" s="202" customFormat="1" ht="12.75" customHeight="1" thickTop="1" x14ac:dyDescent="0.2">
      <c r="A145" s="1516" t="s">
        <v>1116</v>
      </c>
      <c r="B145" s="566">
        <v>3360</v>
      </c>
      <c r="C145" s="567">
        <v>1751</v>
      </c>
      <c r="D145" s="568"/>
      <c r="E145" s="507"/>
      <c r="F145" s="468"/>
      <c r="G145" s="569"/>
      <c r="H145" s="468"/>
      <c r="I145" s="468"/>
      <c r="J145" s="468"/>
      <c r="K145" s="468"/>
    </row>
    <row r="146" spans="1:11" ht="12.75" customHeight="1" thickBot="1" x14ac:dyDescent="0.25">
      <c r="A146" s="1517" t="s">
        <v>979</v>
      </c>
      <c r="B146" s="570">
        <v>3365</v>
      </c>
      <c r="C146" s="571">
        <v>0</v>
      </c>
      <c r="D146" s="530">
        <v>0</v>
      </c>
      <c r="E146" s="559"/>
      <c r="F146" s="468"/>
      <c r="G146" s="530">
        <v>0</v>
      </c>
      <c r="H146" s="468"/>
      <c r="I146" s="468"/>
      <c r="J146" s="468"/>
      <c r="K146" s="468"/>
    </row>
    <row r="147" spans="1:11" ht="12.75" customHeight="1" thickTop="1" thickBot="1" x14ac:dyDescent="0.25">
      <c r="A147" s="1518" t="s">
        <v>140</v>
      </c>
      <c r="B147" s="572">
        <v>3370</v>
      </c>
      <c r="C147" s="571">
        <v>21887</v>
      </c>
      <c r="D147" s="571">
        <v>0</v>
      </c>
      <c r="E147" s="507"/>
      <c r="F147" s="468"/>
      <c r="G147" s="468"/>
      <c r="H147" s="468"/>
      <c r="I147" s="468"/>
      <c r="J147" s="468"/>
      <c r="K147" s="468"/>
    </row>
    <row r="148" spans="1:11" ht="12.75" customHeight="1" thickTop="1" thickBot="1" x14ac:dyDescent="0.25">
      <c r="A148" s="1518" t="s">
        <v>791</v>
      </c>
      <c r="B148" s="572">
        <v>3410</v>
      </c>
      <c r="C148" s="573">
        <v>0</v>
      </c>
      <c r="D148" s="574">
        <v>0</v>
      </c>
      <c r="E148" s="575">
        <v>0</v>
      </c>
      <c r="F148" s="528">
        <v>0</v>
      </c>
      <c r="G148" s="528">
        <v>0</v>
      </c>
      <c r="H148" s="528">
        <v>0</v>
      </c>
      <c r="I148" s="528"/>
      <c r="J148" s="528">
        <v>0</v>
      </c>
      <c r="K148" s="528">
        <v>0</v>
      </c>
    </row>
    <row r="149" spans="1:11" ht="12.75" customHeight="1" thickTop="1" thickBot="1" x14ac:dyDescent="0.25">
      <c r="A149" s="1518" t="s">
        <v>70</v>
      </c>
      <c r="B149" s="572">
        <v>3499</v>
      </c>
      <c r="C149" s="573">
        <v>0</v>
      </c>
      <c r="D149" s="574">
        <v>0</v>
      </c>
      <c r="E149" s="530">
        <v>0</v>
      </c>
      <c r="F149" s="530">
        <v>0</v>
      </c>
      <c r="G149" s="530">
        <v>0</v>
      </c>
      <c r="H149" s="530">
        <v>0</v>
      </c>
      <c r="I149" s="530"/>
      <c r="J149" s="530">
        <v>0</v>
      </c>
      <c r="K149" s="530">
        <v>0</v>
      </c>
    </row>
    <row r="150" spans="1:11" ht="15.75" customHeight="1" thickTop="1" x14ac:dyDescent="0.2">
      <c r="A150" s="1618" t="s">
        <v>473</v>
      </c>
      <c r="B150" s="1620"/>
      <c r="C150" s="551"/>
      <c r="D150" s="468"/>
      <c r="E150" s="559"/>
      <c r="F150" s="468"/>
      <c r="G150" s="468"/>
      <c r="H150" s="468"/>
      <c r="I150" s="468"/>
      <c r="J150" s="468"/>
      <c r="K150" s="468"/>
    </row>
    <row r="151" spans="1:11" ht="12.75" customHeight="1" x14ac:dyDescent="0.2">
      <c r="A151" s="463" t="s">
        <v>1523</v>
      </c>
      <c r="B151" s="560">
        <v>3500</v>
      </c>
      <c r="C151" s="549">
        <v>0</v>
      </c>
      <c r="D151" s="466">
        <v>0</v>
      </c>
      <c r="E151" s="559"/>
      <c r="F151" s="466">
        <v>134731</v>
      </c>
      <c r="G151" s="467">
        <v>0</v>
      </c>
      <c r="H151" s="468"/>
      <c r="I151" s="468"/>
      <c r="J151" s="468"/>
      <c r="K151" s="468"/>
    </row>
    <row r="152" spans="1:11" ht="12.75" customHeight="1" x14ac:dyDescent="0.2">
      <c r="A152" s="463" t="s">
        <v>1117</v>
      </c>
      <c r="B152" s="560">
        <v>3510</v>
      </c>
      <c r="C152" s="549">
        <v>0</v>
      </c>
      <c r="D152" s="466">
        <v>0</v>
      </c>
      <c r="E152" s="559"/>
      <c r="F152" s="466">
        <v>374781</v>
      </c>
      <c r="G152" s="467">
        <v>0</v>
      </c>
      <c r="H152" s="468"/>
      <c r="I152" s="468"/>
      <c r="J152" s="468"/>
      <c r="K152" s="468"/>
    </row>
    <row r="153" spans="1:11" ht="12.75" customHeight="1" x14ac:dyDescent="0.2">
      <c r="A153" s="463" t="s">
        <v>71</v>
      </c>
      <c r="B153" s="560">
        <v>3599</v>
      </c>
      <c r="C153" s="549">
        <v>0</v>
      </c>
      <c r="D153" s="466">
        <v>0</v>
      </c>
      <c r="E153" s="559"/>
      <c r="F153" s="466">
        <v>0</v>
      </c>
      <c r="G153" s="467">
        <v>0</v>
      </c>
      <c r="H153" s="468"/>
      <c r="I153" s="468"/>
      <c r="J153" s="468"/>
      <c r="K153" s="468"/>
    </row>
    <row r="154" spans="1:11" ht="12.75" customHeight="1" thickBot="1" x14ac:dyDescent="0.25">
      <c r="A154" s="1726" t="s">
        <v>96</v>
      </c>
      <c r="B154" s="1738"/>
      <c r="C154" s="1725">
        <f>SUM(C151:C153)</f>
        <v>0</v>
      </c>
      <c r="D154" s="1725">
        <f>SUM(D151:D153)</f>
        <v>0</v>
      </c>
      <c r="E154" s="559"/>
      <c r="F154" s="1725">
        <f>SUM(F151:F153)</f>
        <v>509512</v>
      </c>
      <c r="G154" s="1725">
        <f>SUM(G151:G153)</f>
        <v>0</v>
      </c>
      <c r="H154" s="468"/>
      <c r="I154" s="468"/>
      <c r="J154" s="468"/>
      <c r="K154" s="468"/>
    </row>
    <row r="155" spans="1:11" ht="12.75" customHeight="1" thickTop="1" thickBot="1" x14ac:dyDescent="0.25">
      <c r="A155" s="1518" t="s">
        <v>398</v>
      </c>
      <c r="B155" s="572">
        <v>3610</v>
      </c>
      <c r="C155" s="574">
        <v>0</v>
      </c>
      <c r="D155" s="468"/>
      <c r="E155" s="507"/>
      <c r="F155" s="468"/>
      <c r="G155" s="468"/>
      <c r="H155" s="468"/>
      <c r="I155" s="468"/>
      <c r="J155" s="468"/>
      <c r="K155" s="468"/>
    </row>
    <row r="156" spans="1:11" ht="12.75" customHeight="1" thickTop="1" thickBot="1" x14ac:dyDescent="0.25">
      <c r="A156" s="1518" t="s">
        <v>52</v>
      </c>
      <c r="B156" s="572">
        <v>3660</v>
      </c>
      <c r="C156" s="571">
        <v>0</v>
      </c>
      <c r="D156" s="576">
        <v>0</v>
      </c>
      <c r="E156" s="559"/>
      <c r="F156" s="576">
        <v>0</v>
      </c>
      <c r="G156" s="576">
        <v>0</v>
      </c>
      <c r="H156" s="468"/>
      <c r="I156" s="468"/>
      <c r="J156" s="468"/>
      <c r="K156" s="468"/>
    </row>
    <row r="157" spans="1:11" ht="12.75" customHeight="1" thickTop="1" thickBot="1" x14ac:dyDescent="0.25">
      <c r="A157" s="1518" t="s">
        <v>1057</v>
      </c>
      <c r="B157" s="572">
        <v>3695</v>
      </c>
      <c r="C157" s="574">
        <v>0</v>
      </c>
      <c r="D157" s="468"/>
      <c r="E157" s="559"/>
      <c r="F157" s="574">
        <v>0</v>
      </c>
      <c r="G157" s="574">
        <v>0</v>
      </c>
      <c r="H157" s="468"/>
      <c r="I157" s="468"/>
      <c r="J157" s="468"/>
      <c r="K157" s="468"/>
    </row>
    <row r="158" spans="1:11" ht="12.75" customHeight="1" thickTop="1" thickBot="1" x14ac:dyDescent="0.25">
      <c r="A158" s="1518" t="s">
        <v>1111</v>
      </c>
      <c r="B158" s="572">
        <v>3705</v>
      </c>
      <c r="C158" s="574">
        <v>0</v>
      </c>
      <c r="D158" s="576">
        <v>0</v>
      </c>
      <c r="E158" s="559"/>
      <c r="F158" s="574">
        <v>0</v>
      </c>
      <c r="G158" s="574">
        <v>0</v>
      </c>
      <c r="H158" s="468"/>
      <c r="I158" s="468"/>
      <c r="J158" s="468"/>
      <c r="K158" s="468"/>
    </row>
    <row r="159" spans="1:11" ht="12.75" customHeight="1" thickTop="1" thickBot="1" x14ac:dyDescent="0.25">
      <c r="A159" s="1518" t="s">
        <v>39</v>
      </c>
      <c r="B159" s="572">
        <v>3715</v>
      </c>
      <c r="C159" s="574">
        <v>0</v>
      </c>
      <c r="D159" s="468"/>
      <c r="E159" s="559"/>
      <c r="F159" s="574">
        <v>0</v>
      </c>
      <c r="G159" s="574">
        <v>0</v>
      </c>
      <c r="H159" s="468"/>
      <c r="I159" s="468"/>
      <c r="J159" s="468"/>
      <c r="K159" s="468"/>
    </row>
    <row r="160" spans="1:11" ht="12.75" customHeight="1" thickTop="1" thickBot="1" x14ac:dyDescent="0.25">
      <c r="A160" s="1518" t="s">
        <v>40</v>
      </c>
      <c r="B160" s="572">
        <v>3720</v>
      </c>
      <c r="C160" s="574">
        <v>0</v>
      </c>
      <c r="D160" s="468"/>
      <c r="E160" s="559"/>
      <c r="F160" s="574">
        <v>0</v>
      </c>
      <c r="G160" s="574">
        <v>0</v>
      </c>
      <c r="H160" s="468"/>
      <c r="I160" s="468"/>
      <c r="J160" s="468"/>
      <c r="K160" s="468"/>
    </row>
    <row r="161" spans="1:11" ht="12.75" customHeight="1" thickTop="1" thickBot="1" x14ac:dyDescent="0.25">
      <c r="A161" s="1518" t="s">
        <v>415</v>
      </c>
      <c r="B161" s="572">
        <v>3725</v>
      </c>
      <c r="C161" s="529">
        <v>0</v>
      </c>
      <c r="D161" s="468"/>
      <c r="E161" s="559"/>
      <c r="F161" s="529">
        <v>0</v>
      </c>
      <c r="G161" s="529">
        <v>0</v>
      </c>
      <c r="H161" s="468"/>
      <c r="I161" s="468"/>
      <c r="J161" s="468"/>
      <c r="K161" s="468"/>
    </row>
    <row r="162" spans="1:11" ht="12.75" customHeight="1" thickTop="1" thickBot="1" x14ac:dyDescent="0.25">
      <c r="A162" s="1518" t="s">
        <v>416</v>
      </c>
      <c r="B162" s="572">
        <v>3726</v>
      </c>
      <c r="C162" s="529">
        <v>0</v>
      </c>
      <c r="D162" s="468"/>
      <c r="E162" s="559"/>
      <c r="F162" s="529">
        <v>0</v>
      </c>
      <c r="G162" s="529">
        <v>0</v>
      </c>
      <c r="H162" s="468"/>
      <c r="I162" s="468"/>
      <c r="J162" s="468"/>
      <c r="K162" s="468"/>
    </row>
    <row r="163" spans="1:11" ht="12.75" customHeight="1" thickTop="1" thickBot="1" x14ac:dyDescent="0.25">
      <c r="A163" s="1518" t="s">
        <v>41</v>
      </c>
      <c r="B163" s="572">
        <v>3766</v>
      </c>
      <c r="C163" s="574"/>
      <c r="D163" s="576"/>
      <c r="E163" s="559"/>
      <c r="F163" s="574"/>
      <c r="G163" s="529"/>
      <c r="H163" s="468"/>
      <c r="I163" s="468"/>
      <c r="J163" s="468"/>
      <c r="K163" s="468"/>
    </row>
    <row r="164" spans="1:11" ht="12.75" customHeight="1" thickTop="1" thickBot="1" x14ac:dyDescent="0.25">
      <c r="A164" s="1518" t="s">
        <v>1042</v>
      </c>
      <c r="B164" s="572">
        <v>3767</v>
      </c>
      <c r="C164" s="574"/>
      <c r="D164" s="529"/>
      <c r="E164" s="559"/>
      <c r="F164" s="529"/>
      <c r="G164" s="529"/>
      <c r="H164" s="468"/>
      <c r="I164" s="468"/>
      <c r="J164" s="468"/>
      <c r="K164" s="468"/>
    </row>
    <row r="165" spans="1:11" ht="12.75" customHeight="1" thickTop="1" thickBot="1" x14ac:dyDescent="0.25">
      <c r="A165" s="1518" t="s">
        <v>1043</v>
      </c>
      <c r="B165" s="572">
        <v>3775</v>
      </c>
      <c r="C165" s="574">
        <v>0</v>
      </c>
      <c r="D165" s="571">
        <v>0</v>
      </c>
      <c r="E165" s="528">
        <v>0</v>
      </c>
      <c r="F165" s="571">
        <v>0</v>
      </c>
      <c r="G165" s="530">
        <v>0</v>
      </c>
      <c r="H165" s="528">
        <v>0</v>
      </c>
      <c r="I165" s="468"/>
      <c r="J165" s="468"/>
      <c r="K165" s="528">
        <v>0</v>
      </c>
    </row>
    <row r="166" spans="1:11" ht="12.75" customHeight="1" thickTop="1" thickBot="1" x14ac:dyDescent="0.25">
      <c r="A166" s="1518" t="s">
        <v>1524</v>
      </c>
      <c r="B166" s="572">
        <v>3780</v>
      </c>
      <c r="C166" s="529">
        <v>0</v>
      </c>
      <c r="D166" s="528">
        <v>0</v>
      </c>
      <c r="E166" s="529">
        <v>0</v>
      </c>
      <c r="F166" s="529">
        <v>0</v>
      </c>
      <c r="G166" s="529">
        <v>0</v>
      </c>
      <c r="H166" s="529">
        <v>0</v>
      </c>
      <c r="I166" s="468"/>
      <c r="J166" s="468"/>
      <c r="K166" s="529">
        <v>0</v>
      </c>
    </row>
    <row r="167" spans="1:11" ht="12.75" customHeight="1" thickTop="1" thickBot="1" x14ac:dyDescent="0.25">
      <c r="A167" s="1518" t="s">
        <v>913</v>
      </c>
      <c r="B167" s="572">
        <v>3815</v>
      </c>
      <c r="C167" s="574">
        <v>0</v>
      </c>
      <c r="D167" s="468"/>
      <c r="E167" s="559"/>
      <c r="F167" s="574">
        <v>0</v>
      </c>
      <c r="G167" s="468"/>
      <c r="H167" s="468"/>
      <c r="I167" s="468"/>
      <c r="J167" s="468"/>
      <c r="K167" s="468"/>
    </row>
    <row r="168" spans="1:11" ht="12.75" customHeight="1" thickTop="1" thickBot="1" x14ac:dyDescent="0.25">
      <c r="A168" s="1518" t="s">
        <v>417</v>
      </c>
      <c r="B168" s="572">
        <v>3825</v>
      </c>
      <c r="C168" s="574">
        <v>0</v>
      </c>
      <c r="D168" s="468"/>
      <c r="E168" s="559"/>
      <c r="F168" s="574">
        <v>0</v>
      </c>
      <c r="G168" s="468"/>
      <c r="H168" s="468"/>
      <c r="I168" s="468"/>
      <c r="J168" s="468"/>
      <c r="K168" s="468"/>
    </row>
    <row r="169" spans="1:11" ht="12.75" customHeight="1" thickTop="1" thickBot="1" x14ac:dyDescent="0.25">
      <c r="A169" s="1518" t="s">
        <v>366</v>
      </c>
      <c r="B169" s="572">
        <v>3920</v>
      </c>
      <c r="C169" s="564"/>
      <c r="D169" s="576">
        <v>0</v>
      </c>
      <c r="E169" s="468"/>
      <c r="F169" s="564"/>
      <c r="G169" s="468"/>
      <c r="H169" s="528">
        <v>0</v>
      </c>
      <c r="I169" s="468"/>
      <c r="J169" s="468"/>
      <c r="K169" s="468"/>
    </row>
    <row r="170" spans="1:11" ht="12.75" customHeight="1" thickTop="1" thickBot="1" x14ac:dyDescent="0.25">
      <c r="A170" s="1518" t="s">
        <v>367</v>
      </c>
      <c r="B170" s="572">
        <v>3925</v>
      </c>
      <c r="C170" s="519"/>
      <c r="D170" s="574">
        <v>0</v>
      </c>
      <c r="E170" s="519"/>
      <c r="F170" s="519"/>
      <c r="G170" s="468"/>
      <c r="H170" s="529">
        <v>0</v>
      </c>
      <c r="I170" s="468"/>
      <c r="J170" s="468"/>
      <c r="K170" s="528">
        <v>0</v>
      </c>
    </row>
    <row r="171" spans="1:11" ht="14.25" thickTop="1" thickBot="1" x14ac:dyDescent="0.25">
      <c r="A171" s="1518" t="s">
        <v>72</v>
      </c>
      <c r="B171" s="572">
        <v>3999</v>
      </c>
      <c r="C171" s="577">
        <v>2907</v>
      </c>
      <c r="D171" s="578">
        <v>0</v>
      </c>
      <c r="E171" s="578">
        <v>0</v>
      </c>
      <c r="F171" s="578">
        <v>0</v>
      </c>
      <c r="G171" s="579">
        <v>0</v>
      </c>
      <c r="H171" s="580">
        <v>0</v>
      </c>
      <c r="I171" s="579">
        <v>0</v>
      </c>
      <c r="J171" s="579">
        <v>0</v>
      </c>
      <c r="K171" s="580">
        <v>0</v>
      </c>
    </row>
    <row r="172" spans="1:11" ht="12.75" customHeight="1" thickTop="1" thickBot="1" x14ac:dyDescent="0.25">
      <c r="A172" s="2347" t="s">
        <v>418</v>
      </c>
      <c r="B172" s="2348"/>
      <c r="C172" s="1740">
        <f t="shared" ref="C172:K172" si="6">SUM(C131,C140,C144,C145:C149,C154,C155:C170,C171)</f>
        <v>526628</v>
      </c>
      <c r="D172" s="1740">
        <f t="shared" si="6"/>
        <v>0</v>
      </c>
      <c r="E172" s="1740">
        <f t="shared" si="6"/>
        <v>0</v>
      </c>
      <c r="F172" s="1740">
        <f t="shared" si="6"/>
        <v>509512</v>
      </c>
      <c r="G172" s="1740">
        <f t="shared" si="6"/>
        <v>0</v>
      </c>
      <c r="H172" s="1740">
        <f t="shared" si="6"/>
        <v>0</v>
      </c>
      <c r="I172" s="1740">
        <f t="shared" si="6"/>
        <v>0</v>
      </c>
      <c r="J172" s="1740">
        <f t="shared" si="6"/>
        <v>0</v>
      </c>
      <c r="K172" s="1721">
        <f t="shared" si="6"/>
        <v>0</v>
      </c>
    </row>
    <row r="173" spans="1:11" ht="12.75" customHeight="1" thickTop="1" thickBot="1" x14ac:dyDescent="0.25">
      <c r="A173" s="1726" t="s">
        <v>419</v>
      </c>
      <c r="B173" s="1732" t="s">
        <v>596</v>
      </c>
      <c r="C173" s="1733">
        <f>SUM(C121,C172)</f>
        <v>6057206</v>
      </c>
      <c r="D173" s="1733">
        <f>SUM(D121,D172)</f>
        <v>0</v>
      </c>
      <c r="E173" s="1733">
        <f>SUM(E121,E172)</f>
        <v>0</v>
      </c>
      <c r="F173" s="1733">
        <f t="shared" ref="F173:K173" si="7">SUM(F121,F172)</f>
        <v>509512</v>
      </c>
      <c r="G173" s="1733">
        <f t="shared" si="7"/>
        <v>0</v>
      </c>
      <c r="H173" s="1733">
        <f t="shared" si="7"/>
        <v>0</v>
      </c>
      <c r="I173" s="1733">
        <f t="shared" si="7"/>
        <v>0</v>
      </c>
      <c r="J173" s="1733">
        <f t="shared" si="7"/>
        <v>0</v>
      </c>
      <c r="K173" s="1720">
        <f t="shared" si="7"/>
        <v>0</v>
      </c>
    </row>
    <row r="174" spans="1:11" ht="16.7" customHeight="1" thickTop="1" x14ac:dyDescent="0.2">
      <c r="A174" s="1607" t="s">
        <v>837</v>
      </c>
      <c r="B174" s="1585"/>
      <c r="C174" s="1588"/>
      <c r="D174" s="1589"/>
      <c r="E174" s="1589"/>
      <c r="F174" s="1589"/>
      <c r="G174" s="1589"/>
      <c r="H174" s="1589"/>
      <c r="I174" s="1589"/>
      <c r="J174" s="1589"/>
      <c r="K174" s="1590"/>
    </row>
    <row r="175" spans="1:11" ht="15.75" customHeight="1" x14ac:dyDescent="0.2">
      <c r="A175" s="2349" t="s">
        <v>1572</v>
      </c>
      <c r="B175" s="2350"/>
      <c r="C175" s="518"/>
      <c r="D175" s="518"/>
      <c r="E175" s="507"/>
      <c r="F175" s="468"/>
      <c r="G175" s="468"/>
      <c r="H175" s="468"/>
      <c r="I175" s="468"/>
      <c r="J175" s="468"/>
      <c r="K175" s="468"/>
    </row>
    <row r="176" spans="1:11" ht="12.6" customHeight="1" x14ac:dyDescent="0.2">
      <c r="A176" s="491" t="s">
        <v>1104</v>
      </c>
      <c r="B176" s="489">
        <v>4001</v>
      </c>
      <c r="C176" s="514">
        <v>0</v>
      </c>
      <c r="D176" s="480">
        <v>0</v>
      </c>
      <c r="E176" s="467">
        <v>0</v>
      </c>
      <c r="F176" s="466">
        <v>0</v>
      </c>
      <c r="G176" s="466">
        <v>0</v>
      </c>
      <c r="H176" s="467">
        <v>0</v>
      </c>
      <c r="I176" s="467"/>
      <c r="J176" s="467">
        <v>0</v>
      </c>
      <c r="K176" s="467">
        <v>0</v>
      </c>
    </row>
    <row r="177" spans="1:11" ht="22.5" x14ac:dyDescent="0.2">
      <c r="A177" s="561" t="s">
        <v>838</v>
      </c>
      <c r="B177" s="581">
        <v>4009</v>
      </c>
      <c r="C177" s="549">
        <v>0</v>
      </c>
      <c r="D177" s="466">
        <v>0</v>
      </c>
      <c r="E177" s="467">
        <v>0</v>
      </c>
      <c r="F177" s="466">
        <v>0</v>
      </c>
      <c r="G177" s="466">
        <v>0</v>
      </c>
      <c r="H177" s="467">
        <v>0</v>
      </c>
      <c r="I177" s="467"/>
      <c r="J177" s="467">
        <v>0</v>
      </c>
      <c r="K177" s="467">
        <v>0</v>
      </c>
    </row>
    <row r="178" spans="1:11" ht="13.5" thickBot="1" x14ac:dyDescent="0.25">
      <c r="A178" s="2353" t="s">
        <v>1764</v>
      </c>
      <c r="B178" s="2354"/>
      <c r="C178" s="1725">
        <f>SUM(C176:C177)</f>
        <v>0</v>
      </c>
      <c r="D178" s="1725">
        <f t="shared" ref="D178:K178" si="8">SUM(D176:D177)</f>
        <v>0</v>
      </c>
      <c r="E178" s="1725">
        <f t="shared" si="8"/>
        <v>0</v>
      </c>
      <c r="F178" s="1725">
        <f t="shared" si="8"/>
        <v>0</v>
      </c>
      <c r="G178" s="1725">
        <f t="shared" si="8"/>
        <v>0</v>
      </c>
      <c r="H178" s="1725">
        <f t="shared" si="8"/>
        <v>0</v>
      </c>
      <c r="I178" s="1725">
        <f t="shared" si="8"/>
        <v>0</v>
      </c>
      <c r="J178" s="1725">
        <f t="shared" si="8"/>
        <v>0</v>
      </c>
      <c r="K178" s="1706">
        <f t="shared" si="8"/>
        <v>0</v>
      </c>
    </row>
    <row r="179" spans="1:11" s="457" customFormat="1" ht="15.75" customHeight="1" thickTop="1" x14ac:dyDescent="0.2">
      <c r="A179" s="2357" t="s">
        <v>1763</v>
      </c>
      <c r="B179" s="2358"/>
      <c r="C179" s="597"/>
      <c r="D179" s="598"/>
      <c r="E179" s="599"/>
      <c r="F179" s="600"/>
      <c r="G179" s="600"/>
      <c r="H179" s="600"/>
      <c r="I179" s="600"/>
      <c r="J179" s="600"/>
      <c r="K179" s="600"/>
    </row>
    <row r="180" spans="1:11" ht="12.75" customHeight="1" x14ac:dyDescent="0.2">
      <c r="A180" s="463" t="s">
        <v>1105</v>
      </c>
      <c r="B180" s="470">
        <v>4045</v>
      </c>
      <c r="C180" s="549">
        <v>0</v>
      </c>
      <c r="D180" s="468"/>
      <c r="E180" s="559"/>
      <c r="F180" s="468"/>
      <c r="G180" s="468"/>
      <c r="H180" s="468"/>
      <c r="I180" s="468"/>
      <c r="J180" s="468"/>
      <c r="K180" s="468"/>
    </row>
    <row r="181" spans="1:11" ht="12.75" customHeight="1" x14ac:dyDescent="0.2">
      <c r="A181" s="463" t="s">
        <v>1106</v>
      </c>
      <c r="B181" s="470">
        <v>4050</v>
      </c>
      <c r="C181" s="549">
        <v>0</v>
      </c>
      <c r="D181" s="467">
        <v>0</v>
      </c>
      <c r="E181" s="559"/>
      <c r="F181" s="468"/>
      <c r="G181" s="468"/>
      <c r="H181" s="467">
        <v>0</v>
      </c>
      <c r="I181" s="468"/>
      <c r="J181" s="468"/>
      <c r="K181" s="468"/>
    </row>
    <row r="182" spans="1:11" ht="12.75" customHeight="1" x14ac:dyDescent="0.2">
      <c r="A182" s="463" t="s">
        <v>278</v>
      </c>
      <c r="B182" s="470">
        <v>4060</v>
      </c>
      <c r="C182" s="514">
        <v>0</v>
      </c>
      <c r="D182" s="466">
        <v>0</v>
      </c>
      <c r="E182" s="468"/>
      <c r="F182" s="466">
        <v>0</v>
      </c>
      <c r="G182" s="466">
        <v>0</v>
      </c>
      <c r="H182" s="466">
        <v>0</v>
      </c>
      <c r="I182" s="468"/>
      <c r="J182" s="468"/>
      <c r="K182" s="519"/>
    </row>
    <row r="183" spans="1:11" ht="22.5" x14ac:dyDescent="0.2">
      <c r="A183" s="561" t="s">
        <v>819</v>
      </c>
      <c r="B183" s="581">
        <v>4090</v>
      </c>
      <c r="C183" s="549">
        <v>0</v>
      </c>
      <c r="D183" s="466">
        <v>0</v>
      </c>
      <c r="E183" s="468"/>
      <c r="F183" s="466">
        <v>0</v>
      </c>
      <c r="G183" s="466">
        <v>0</v>
      </c>
      <c r="H183" s="466">
        <v>0</v>
      </c>
      <c r="I183" s="468"/>
      <c r="J183" s="468"/>
      <c r="K183" s="466">
        <v>0</v>
      </c>
    </row>
    <row r="184" spans="1:11" ht="13.5" thickBot="1" x14ac:dyDescent="0.25">
      <c r="A184" s="2355" t="s">
        <v>818</v>
      </c>
      <c r="B184" s="2356"/>
      <c r="C184" s="1725">
        <f>SUM(C180:C183)</f>
        <v>0</v>
      </c>
      <c r="D184" s="1725">
        <f>SUM(D180:D183)</f>
        <v>0</v>
      </c>
      <c r="E184" s="468"/>
      <c r="F184" s="1725">
        <f>SUM(F180:F183)</f>
        <v>0</v>
      </c>
      <c r="G184" s="1725">
        <f>SUM(G180:G183)</f>
        <v>0</v>
      </c>
      <c r="H184" s="1725">
        <f>SUM(H180:H183)</f>
        <v>0</v>
      </c>
      <c r="I184" s="468"/>
      <c r="J184" s="468"/>
      <c r="K184" s="1706">
        <f>SUM(K180:K183)</f>
        <v>0</v>
      </c>
    </row>
    <row r="185" spans="1:11" ht="22.5" customHeight="1" thickTop="1" x14ac:dyDescent="0.2">
      <c r="A185" s="2351" t="s">
        <v>1903</v>
      </c>
      <c r="B185" s="2352"/>
      <c r="C185" s="582"/>
      <c r="D185" s="564"/>
      <c r="E185" s="507"/>
      <c r="F185" s="564"/>
      <c r="G185" s="564"/>
      <c r="H185" s="468"/>
      <c r="I185" s="468"/>
      <c r="J185" s="468"/>
      <c r="K185" s="468"/>
    </row>
    <row r="186" spans="1:11" ht="15.75" customHeight="1" x14ac:dyDescent="0.2">
      <c r="A186" s="1621" t="s">
        <v>1692</v>
      </c>
      <c r="B186" s="1622"/>
      <c r="C186" s="520"/>
      <c r="D186" s="519"/>
      <c r="E186" s="507"/>
      <c r="F186" s="519"/>
      <c r="G186" s="519"/>
      <c r="H186" s="468"/>
      <c r="I186" s="468"/>
      <c r="J186" s="468"/>
      <c r="K186" s="468"/>
    </row>
    <row r="187" spans="1:11" ht="12.75" customHeight="1" x14ac:dyDescent="0.2">
      <c r="A187" s="463" t="s">
        <v>1693</v>
      </c>
      <c r="B187" s="470">
        <v>4100</v>
      </c>
      <c r="C187" s="514">
        <v>0</v>
      </c>
      <c r="D187" s="480">
        <v>0</v>
      </c>
      <c r="E187" s="559"/>
      <c r="F187" s="480">
        <v>0</v>
      </c>
      <c r="G187" s="480">
        <v>0</v>
      </c>
      <c r="H187" s="468"/>
      <c r="I187" s="468"/>
      <c r="J187" s="468"/>
      <c r="K187" s="468"/>
    </row>
    <row r="188" spans="1:11" ht="12.75" customHeight="1" x14ac:dyDescent="0.2">
      <c r="A188" s="463" t="s">
        <v>1694</v>
      </c>
      <c r="B188" s="470">
        <v>4105</v>
      </c>
      <c r="C188" s="549">
        <v>0</v>
      </c>
      <c r="D188" s="466">
        <v>0</v>
      </c>
      <c r="E188" s="559"/>
      <c r="F188" s="466">
        <v>0</v>
      </c>
      <c r="G188" s="466">
        <v>0</v>
      </c>
      <c r="H188" s="468"/>
      <c r="I188" s="468"/>
      <c r="J188" s="468"/>
      <c r="K188" s="468"/>
    </row>
    <row r="189" spans="1:11" ht="12.75" customHeight="1" x14ac:dyDescent="0.2">
      <c r="A189" s="463" t="s">
        <v>1696</v>
      </c>
      <c r="B189" s="470">
        <v>4107</v>
      </c>
      <c r="C189" s="549">
        <v>0</v>
      </c>
      <c r="D189" s="466">
        <v>0</v>
      </c>
      <c r="E189" s="559"/>
      <c r="F189" s="466">
        <v>0</v>
      </c>
      <c r="G189" s="466">
        <v>0</v>
      </c>
      <c r="H189" s="468"/>
      <c r="I189" s="468"/>
      <c r="J189" s="468"/>
      <c r="K189" s="468"/>
    </row>
    <row r="190" spans="1:11" ht="12.75" customHeight="1" x14ac:dyDescent="0.2">
      <c r="A190" s="463" t="s">
        <v>1695</v>
      </c>
      <c r="B190" s="470">
        <v>4199</v>
      </c>
      <c r="C190" s="549">
        <v>0</v>
      </c>
      <c r="D190" s="466">
        <v>0</v>
      </c>
      <c r="E190" s="559"/>
      <c r="F190" s="466">
        <v>0</v>
      </c>
      <c r="G190" s="466">
        <v>0</v>
      </c>
      <c r="H190" s="468"/>
      <c r="I190" s="468"/>
      <c r="J190" s="468"/>
      <c r="K190" s="468"/>
    </row>
    <row r="191" spans="1:11" ht="12.75" customHeight="1" thickBot="1" x14ac:dyDescent="0.25">
      <c r="A191" s="1726" t="s">
        <v>1697</v>
      </c>
      <c r="B191" s="1727"/>
      <c r="C191" s="1725">
        <f>SUM(C187:C190)</f>
        <v>0</v>
      </c>
      <c r="D191" s="1725">
        <f>SUM(D187:D190)</f>
        <v>0</v>
      </c>
      <c r="E191" s="559"/>
      <c r="F191" s="1725">
        <f>SUM(F187:F190)</f>
        <v>0</v>
      </c>
      <c r="G191" s="1725">
        <f>SUM(G187:G190)</f>
        <v>0</v>
      </c>
      <c r="H191" s="468"/>
      <c r="I191" s="468"/>
      <c r="J191" s="468"/>
      <c r="K191" s="468"/>
    </row>
    <row r="192" spans="1:11" ht="15.75" customHeight="1" thickTop="1" x14ac:dyDescent="0.2">
      <c r="A192" s="1618" t="s">
        <v>475</v>
      </c>
      <c r="B192" s="1623"/>
      <c r="C192" s="551"/>
      <c r="D192" s="564"/>
      <c r="E192" s="559"/>
      <c r="F192" s="551"/>
      <c r="G192" s="551"/>
      <c r="H192" s="468"/>
      <c r="I192" s="468"/>
      <c r="J192" s="468"/>
      <c r="K192" s="468"/>
    </row>
    <row r="193" spans="1:11" x14ac:dyDescent="0.2">
      <c r="A193" s="463" t="s">
        <v>1525</v>
      </c>
      <c r="B193" s="470">
        <v>4200</v>
      </c>
      <c r="C193" s="467">
        <v>0</v>
      </c>
      <c r="D193" s="468"/>
      <c r="E193" s="559"/>
      <c r="F193" s="551"/>
      <c r="G193" s="583">
        <v>0</v>
      </c>
      <c r="H193" s="468"/>
      <c r="I193" s="468"/>
      <c r="J193" s="468"/>
      <c r="K193" s="468"/>
    </row>
    <row r="194" spans="1:11" ht="12.75" customHeight="1" x14ac:dyDescent="0.2">
      <c r="A194" s="463" t="s">
        <v>1118</v>
      </c>
      <c r="B194" s="470">
        <v>4210</v>
      </c>
      <c r="C194" s="466">
        <v>159265</v>
      </c>
      <c r="D194" s="468"/>
      <c r="E194" s="559"/>
      <c r="F194" s="468"/>
      <c r="G194" s="583">
        <v>0</v>
      </c>
      <c r="H194" s="468"/>
      <c r="I194" s="468"/>
      <c r="J194" s="468"/>
      <c r="K194" s="468"/>
    </row>
    <row r="195" spans="1:11" ht="12.75" customHeight="1" x14ac:dyDescent="0.2">
      <c r="A195" s="463" t="s">
        <v>1107</v>
      </c>
      <c r="B195" s="470">
        <v>4215</v>
      </c>
      <c r="C195" s="549">
        <v>0</v>
      </c>
      <c r="D195" s="468"/>
      <c r="E195" s="559"/>
      <c r="F195" s="468"/>
      <c r="G195" s="583">
        <v>0</v>
      </c>
      <c r="H195" s="468"/>
      <c r="I195" s="468"/>
      <c r="J195" s="468"/>
      <c r="K195" s="468"/>
    </row>
    <row r="196" spans="1:11" ht="12.75" customHeight="1" x14ac:dyDescent="0.2">
      <c r="A196" s="463" t="s">
        <v>1119</v>
      </c>
      <c r="B196" s="470">
        <v>4220</v>
      </c>
      <c r="C196" s="549">
        <v>8449</v>
      </c>
      <c r="D196" s="468"/>
      <c r="E196" s="559"/>
      <c r="F196" s="468"/>
      <c r="G196" s="583">
        <v>0</v>
      </c>
      <c r="H196" s="468"/>
      <c r="I196" s="468"/>
      <c r="J196" s="468"/>
      <c r="K196" s="468"/>
    </row>
    <row r="197" spans="1:11" ht="12.75" customHeight="1" x14ac:dyDescent="0.2">
      <c r="A197" s="463" t="s">
        <v>1526</v>
      </c>
      <c r="B197" s="470">
        <v>4225</v>
      </c>
      <c r="C197" s="549">
        <v>0</v>
      </c>
      <c r="D197" s="468"/>
      <c r="E197" s="559"/>
      <c r="F197" s="468"/>
      <c r="G197" s="583">
        <v>0</v>
      </c>
      <c r="H197" s="468"/>
      <c r="I197" s="468"/>
      <c r="J197" s="468"/>
      <c r="K197" s="468"/>
    </row>
    <row r="198" spans="1:11" ht="12.75" customHeight="1" x14ac:dyDescent="0.2">
      <c r="A198" s="463" t="s">
        <v>1527</v>
      </c>
      <c r="B198" s="470">
        <v>4226</v>
      </c>
      <c r="C198" s="549">
        <v>0</v>
      </c>
      <c r="D198" s="468"/>
      <c r="E198" s="559"/>
      <c r="F198" s="468"/>
      <c r="G198" s="583">
        <v>0</v>
      </c>
      <c r="H198" s="468"/>
      <c r="I198" s="468"/>
      <c r="J198" s="468"/>
      <c r="K198" s="468"/>
    </row>
    <row r="199" spans="1:11" ht="12.75" customHeight="1" x14ac:dyDescent="0.2">
      <c r="A199" s="463" t="s">
        <v>825</v>
      </c>
      <c r="B199" s="470">
        <v>4240</v>
      </c>
      <c r="C199" s="487">
        <v>0</v>
      </c>
      <c r="D199" s="468"/>
      <c r="E199" s="559"/>
      <c r="F199" s="468"/>
      <c r="G199" s="584"/>
      <c r="H199" s="468"/>
      <c r="I199" s="468"/>
      <c r="J199" s="468"/>
      <c r="K199" s="468"/>
    </row>
    <row r="200" spans="1:11" ht="12.75" customHeight="1" x14ac:dyDescent="0.2">
      <c r="A200" s="463" t="s">
        <v>73</v>
      </c>
      <c r="B200" s="470">
        <v>4299</v>
      </c>
      <c r="C200" s="549">
        <v>0</v>
      </c>
      <c r="D200" s="468"/>
      <c r="E200" s="559"/>
      <c r="F200" s="468"/>
      <c r="G200" s="583">
        <v>0</v>
      </c>
      <c r="H200" s="468"/>
      <c r="I200" s="468"/>
      <c r="J200" s="468"/>
      <c r="K200" s="468"/>
    </row>
    <row r="201" spans="1:11" ht="12.75" customHeight="1" thickBot="1" x14ac:dyDescent="0.25">
      <c r="A201" s="1726" t="s">
        <v>569</v>
      </c>
      <c r="B201" s="1727"/>
      <c r="C201" s="1706">
        <f>SUM(C193:C200)</f>
        <v>167714</v>
      </c>
      <c r="D201" s="468"/>
      <c r="E201" s="468"/>
      <c r="F201" s="468"/>
      <c r="G201" s="1706">
        <f>SUM(G193:G200)</f>
        <v>0</v>
      </c>
      <c r="H201" s="468"/>
      <c r="I201" s="468"/>
      <c r="J201" s="468"/>
      <c r="K201" s="468"/>
    </row>
    <row r="202" spans="1:11" ht="15.75" customHeight="1" thickTop="1" x14ac:dyDescent="0.2">
      <c r="A202" s="1618" t="s">
        <v>1200</v>
      </c>
      <c r="B202" s="1623"/>
      <c r="C202" s="551"/>
      <c r="D202" s="468"/>
      <c r="E202" s="468"/>
      <c r="F202" s="468"/>
      <c r="G202" s="468"/>
      <c r="H202" s="468"/>
      <c r="I202" s="468"/>
      <c r="J202" s="468"/>
      <c r="K202" s="468"/>
    </row>
    <row r="203" spans="1:11" ht="12.75" customHeight="1" x14ac:dyDescent="0.2">
      <c r="A203" s="463" t="s">
        <v>974</v>
      </c>
      <c r="B203" s="470">
        <v>4300</v>
      </c>
      <c r="C203" s="466">
        <v>120092</v>
      </c>
      <c r="D203" s="466">
        <v>0</v>
      </c>
      <c r="E203" s="468"/>
      <c r="F203" s="466">
        <v>0</v>
      </c>
      <c r="G203" s="466">
        <v>0</v>
      </c>
      <c r="H203" s="468"/>
      <c r="I203" s="468"/>
      <c r="J203" s="468"/>
      <c r="K203" s="468"/>
    </row>
    <row r="204" spans="1:11" ht="12.75" customHeight="1" x14ac:dyDescent="0.2">
      <c r="A204" s="463" t="s">
        <v>975</v>
      </c>
      <c r="B204" s="470">
        <v>4305</v>
      </c>
      <c r="C204" s="549">
        <v>0</v>
      </c>
      <c r="D204" s="466">
        <v>0</v>
      </c>
      <c r="E204" s="468"/>
      <c r="F204" s="466">
        <v>0</v>
      </c>
      <c r="G204" s="466">
        <v>0</v>
      </c>
      <c r="H204" s="468"/>
      <c r="I204" s="468"/>
      <c r="J204" s="468"/>
      <c r="K204" s="468"/>
    </row>
    <row r="205" spans="1:11" ht="12.75" customHeight="1" x14ac:dyDescent="0.2">
      <c r="A205" s="463" t="s">
        <v>976</v>
      </c>
      <c r="B205" s="470">
        <v>4332</v>
      </c>
      <c r="C205" s="549">
        <v>0</v>
      </c>
      <c r="D205" s="466">
        <v>0</v>
      </c>
      <c r="E205" s="468"/>
      <c r="F205" s="466">
        <v>0</v>
      </c>
      <c r="G205" s="466">
        <v>0</v>
      </c>
      <c r="H205" s="468"/>
      <c r="I205" s="468"/>
      <c r="J205" s="468"/>
      <c r="K205" s="468"/>
    </row>
    <row r="206" spans="1:11" ht="12.75" customHeight="1" x14ac:dyDescent="0.2">
      <c r="A206" s="463" t="s">
        <v>1089</v>
      </c>
      <c r="B206" s="470">
        <v>4334</v>
      </c>
      <c r="C206" s="549">
        <v>0</v>
      </c>
      <c r="D206" s="466">
        <v>0</v>
      </c>
      <c r="E206" s="468"/>
      <c r="F206" s="466">
        <v>0</v>
      </c>
      <c r="G206" s="466">
        <v>0</v>
      </c>
      <c r="H206" s="468"/>
      <c r="I206" s="468"/>
      <c r="J206" s="468"/>
      <c r="K206" s="468"/>
    </row>
    <row r="207" spans="1:11" ht="12.75" customHeight="1" x14ac:dyDescent="0.2">
      <c r="A207" s="463" t="s">
        <v>1090</v>
      </c>
      <c r="B207" s="470">
        <v>4335</v>
      </c>
      <c r="C207" s="549">
        <v>0</v>
      </c>
      <c r="D207" s="466">
        <v>0</v>
      </c>
      <c r="E207" s="468"/>
      <c r="F207" s="466">
        <v>0</v>
      </c>
      <c r="G207" s="466">
        <v>0</v>
      </c>
      <c r="H207" s="468"/>
      <c r="I207" s="468"/>
      <c r="J207" s="468"/>
      <c r="K207" s="468"/>
    </row>
    <row r="208" spans="1:11" ht="12.75" customHeight="1" x14ac:dyDescent="0.2">
      <c r="A208" s="463" t="s">
        <v>1153</v>
      </c>
      <c r="B208" s="470">
        <v>4337</v>
      </c>
      <c r="C208" s="487">
        <v>0</v>
      </c>
      <c r="D208" s="467">
        <v>0</v>
      </c>
      <c r="E208" s="468"/>
      <c r="F208" s="467">
        <v>0</v>
      </c>
      <c r="G208" s="467">
        <v>0</v>
      </c>
      <c r="H208" s="468"/>
      <c r="I208" s="468"/>
      <c r="J208" s="468"/>
      <c r="K208" s="468"/>
    </row>
    <row r="209" spans="1:11" ht="12.75" customHeight="1" x14ac:dyDescent="0.2">
      <c r="A209" s="463" t="s">
        <v>1091</v>
      </c>
      <c r="B209" s="470">
        <v>4340</v>
      </c>
      <c r="C209" s="549">
        <v>0</v>
      </c>
      <c r="D209" s="466">
        <v>0</v>
      </c>
      <c r="E209" s="468"/>
      <c r="F209" s="466">
        <v>0</v>
      </c>
      <c r="G209" s="466">
        <v>0</v>
      </c>
      <c r="H209" s="468"/>
      <c r="I209" s="468"/>
      <c r="J209" s="468"/>
      <c r="K209" s="468"/>
    </row>
    <row r="210" spans="1:11" ht="12.75" customHeight="1" x14ac:dyDescent="0.2">
      <c r="A210" s="463" t="s">
        <v>74</v>
      </c>
      <c r="B210" s="470">
        <v>4399</v>
      </c>
      <c r="C210" s="549">
        <v>0</v>
      </c>
      <c r="D210" s="466">
        <v>0</v>
      </c>
      <c r="E210" s="468"/>
      <c r="F210" s="466">
        <v>0</v>
      </c>
      <c r="G210" s="466">
        <v>0</v>
      </c>
      <c r="H210" s="468"/>
      <c r="I210" s="468"/>
      <c r="J210" s="468"/>
      <c r="K210" s="468"/>
    </row>
    <row r="211" spans="1:11" ht="12.75" customHeight="1" thickBot="1" x14ac:dyDescent="0.25">
      <c r="A211" s="1726" t="s">
        <v>420</v>
      </c>
      <c r="B211" s="1727"/>
      <c r="C211" s="1725">
        <f>SUM(C203:C210)</f>
        <v>120092</v>
      </c>
      <c r="D211" s="1725">
        <f>SUM(D203:D210)</f>
        <v>0</v>
      </c>
      <c r="E211" s="468"/>
      <c r="F211" s="1725">
        <f>SUM(F203:F210)</f>
        <v>0</v>
      </c>
      <c r="G211" s="1725">
        <f>SUM(G203:G210)</f>
        <v>0</v>
      </c>
      <c r="H211" s="468"/>
      <c r="I211" s="468"/>
      <c r="J211" s="468"/>
      <c r="K211" s="468"/>
    </row>
    <row r="212" spans="1:11" ht="15.75" customHeight="1" thickTop="1" x14ac:dyDescent="0.2">
      <c r="A212" s="1618" t="s">
        <v>1201</v>
      </c>
      <c r="B212" s="1623"/>
      <c r="C212" s="551"/>
      <c r="D212" s="551"/>
      <c r="E212" s="468"/>
      <c r="F212" s="551"/>
      <c r="G212" s="551"/>
      <c r="H212" s="468"/>
      <c r="I212" s="468"/>
      <c r="J212" s="468"/>
      <c r="K212" s="468"/>
    </row>
    <row r="213" spans="1:11" ht="12.75" customHeight="1" x14ac:dyDescent="0.2">
      <c r="A213" s="463" t="s">
        <v>783</v>
      </c>
      <c r="B213" s="470">
        <v>4400</v>
      </c>
      <c r="C213" s="549">
        <v>1445</v>
      </c>
      <c r="D213" s="466">
        <v>0</v>
      </c>
      <c r="E213" s="468"/>
      <c r="F213" s="466">
        <v>0</v>
      </c>
      <c r="G213" s="466">
        <v>0</v>
      </c>
      <c r="H213" s="468"/>
      <c r="I213" s="468"/>
      <c r="J213" s="468"/>
      <c r="K213" s="468"/>
    </row>
    <row r="214" spans="1:11" ht="12.75" customHeight="1" x14ac:dyDescent="0.2">
      <c r="A214" s="463" t="s">
        <v>1528</v>
      </c>
      <c r="B214" s="470">
        <v>4421</v>
      </c>
      <c r="C214" s="549">
        <v>0</v>
      </c>
      <c r="D214" s="466">
        <v>0</v>
      </c>
      <c r="E214" s="468"/>
      <c r="F214" s="466">
        <v>0</v>
      </c>
      <c r="G214" s="466">
        <v>0</v>
      </c>
      <c r="H214" s="468"/>
      <c r="I214" s="468"/>
      <c r="J214" s="468"/>
      <c r="K214" s="468"/>
    </row>
    <row r="215" spans="1:11" ht="12.75" customHeight="1" x14ac:dyDescent="0.2">
      <c r="A215" s="463" t="s">
        <v>75</v>
      </c>
      <c r="B215" s="470">
        <v>4499</v>
      </c>
      <c r="C215" s="549">
        <v>0</v>
      </c>
      <c r="D215" s="466">
        <v>0</v>
      </c>
      <c r="E215" s="468"/>
      <c r="F215" s="466">
        <v>0</v>
      </c>
      <c r="G215" s="466">
        <v>0</v>
      </c>
      <c r="H215" s="468"/>
      <c r="I215" s="468"/>
      <c r="J215" s="468"/>
      <c r="K215" s="468"/>
    </row>
    <row r="216" spans="1:11" ht="12.75" customHeight="1" thickBot="1" x14ac:dyDescent="0.25">
      <c r="A216" s="1726" t="s">
        <v>944</v>
      </c>
      <c r="B216" s="1727"/>
      <c r="C216" s="1725">
        <f>SUM(C213:C215)</f>
        <v>1445</v>
      </c>
      <c r="D216" s="1725">
        <f>SUM(D213:D215)</f>
        <v>0</v>
      </c>
      <c r="E216" s="468" t="s">
        <v>1231</v>
      </c>
      <c r="F216" s="1725">
        <f>SUM(F213:F215)</f>
        <v>0</v>
      </c>
      <c r="G216" s="1725">
        <f>SUM(G213:G215)</f>
        <v>0</v>
      </c>
      <c r="H216" s="468"/>
      <c r="I216" s="468"/>
      <c r="J216" s="468"/>
      <c r="K216" s="468"/>
    </row>
    <row r="217" spans="1:11" ht="15.75" customHeight="1" thickTop="1" x14ac:dyDescent="0.2">
      <c r="A217" s="1618" t="s">
        <v>1154</v>
      </c>
      <c r="B217" s="1623"/>
      <c r="C217" s="551"/>
      <c r="D217" s="551"/>
      <c r="E217" s="468"/>
      <c r="F217" s="551"/>
      <c r="G217" s="551"/>
      <c r="H217" s="468"/>
      <c r="I217" s="468"/>
      <c r="J217" s="468"/>
      <c r="K217" s="468"/>
    </row>
    <row r="218" spans="1:11" ht="12.75" customHeight="1" x14ac:dyDescent="0.2">
      <c r="A218" s="463" t="s">
        <v>1112</v>
      </c>
      <c r="B218" s="470">
        <v>4600</v>
      </c>
      <c r="C218" s="549">
        <v>0</v>
      </c>
      <c r="D218" s="466">
        <v>0</v>
      </c>
      <c r="E218" s="468"/>
      <c r="F218" s="466">
        <v>0</v>
      </c>
      <c r="G218" s="466">
        <v>0</v>
      </c>
      <c r="H218" s="468"/>
      <c r="I218" s="468"/>
      <c r="J218" s="468"/>
      <c r="K218" s="468"/>
    </row>
    <row r="219" spans="1:11" ht="12.75" customHeight="1" x14ac:dyDescent="0.2">
      <c r="A219" s="463" t="s">
        <v>1113</v>
      </c>
      <c r="B219" s="470">
        <v>4605</v>
      </c>
      <c r="C219" s="549">
        <v>0</v>
      </c>
      <c r="D219" s="466">
        <v>0</v>
      </c>
      <c r="E219" s="468"/>
      <c r="F219" s="466">
        <v>0</v>
      </c>
      <c r="G219" s="466">
        <v>0</v>
      </c>
      <c r="H219" s="468"/>
      <c r="I219" s="468"/>
      <c r="J219" s="468"/>
      <c r="K219" s="468"/>
    </row>
    <row r="220" spans="1:11" ht="12.75" customHeight="1" x14ac:dyDescent="0.2">
      <c r="A220" s="463" t="s">
        <v>1529</v>
      </c>
      <c r="B220" s="555">
        <v>4620</v>
      </c>
      <c r="C220" s="549">
        <v>394827</v>
      </c>
      <c r="D220" s="466">
        <v>0</v>
      </c>
      <c r="E220" s="468"/>
      <c r="F220" s="466">
        <v>0</v>
      </c>
      <c r="G220" s="466">
        <v>0</v>
      </c>
      <c r="H220" s="468"/>
      <c r="I220" s="468"/>
      <c r="J220" s="468"/>
      <c r="K220" s="468"/>
    </row>
    <row r="221" spans="1:11" ht="12.75" customHeight="1" x14ac:dyDescent="0.2">
      <c r="A221" s="463" t="s">
        <v>1114</v>
      </c>
      <c r="B221" s="470">
        <v>4625</v>
      </c>
      <c r="C221" s="549">
        <v>98214</v>
      </c>
      <c r="D221" s="466">
        <v>0</v>
      </c>
      <c r="E221" s="468"/>
      <c r="F221" s="466">
        <v>0</v>
      </c>
      <c r="G221" s="466">
        <v>0</v>
      </c>
      <c r="H221" s="468"/>
      <c r="I221" s="468"/>
      <c r="J221" s="468"/>
      <c r="K221" s="468"/>
    </row>
    <row r="222" spans="1:11" ht="12.75" customHeight="1" x14ac:dyDescent="0.2">
      <c r="A222" s="463" t="s">
        <v>1115</v>
      </c>
      <c r="B222" s="470">
        <v>4630</v>
      </c>
      <c r="C222" s="549">
        <v>0</v>
      </c>
      <c r="D222" s="466">
        <v>0</v>
      </c>
      <c r="E222" s="468"/>
      <c r="F222" s="466">
        <v>0</v>
      </c>
      <c r="G222" s="466">
        <v>0</v>
      </c>
      <c r="H222" s="468"/>
      <c r="I222" s="468"/>
      <c r="J222" s="468"/>
      <c r="K222" s="468"/>
    </row>
    <row r="223" spans="1:11" ht="12.75" customHeight="1" x14ac:dyDescent="0.2">
      <c r="A223" s="1519" t="s">
        <v>76</v>
      </c>
      <c r="B223" s="555">
        <v>4699</v>
      </c>
      <c r="C223" s="549">
        <v>0</v>
      </c>
      <c r="D223" s="466">
        <v>0</v>
      </c>
      <c r="E223" s="468"/>
      <c r="F223" s="466">
        <v>0</v>
      </c>
      <c r="G223" s="466">
        <v>0</v>
      </c>
      <c r="H223" s="468"/>
      <c r="I223" s="468"/>
      <c r="J223" s="468"/>
      <c r="K223" s="468"/>
    </row>
    <row r="224" spans="1:11" ht="12.75" customHeight="1" thickBot="1" x14ac:dyDescent="0.25">
      <c r="A224" s="1726" t="s">
        <v>467</v>
      </c>
      <c r="B224" s="1727"/>
      <c r="C224" s="1725">
        <f>SUM(C218:C223)</f>
        <v>493041</v>
      </c>
      <c r="D224" s="1725">
        <f>SUM(D218:D223)</f>
        <v>0</v>
      </c>
      <c r="E224" s="468"/>
      <c r="F224" s="1725">
        <f>SUM(F218:F223)</f>
        <v>0</v>
      </c>
      <c r="G224" s="1725">
        <f>SUM(G218:G223)</f>
        <v>0</v>
      </c>
      <c r="H224" s="468"/>
      <c r="I224" s="468"/>
      <c r="J224" s="468"/>
      <c r="K224" s="468"/>
    </row>
    <row r="225" spans="1:11" ht="15.75" customHeight="1" thickTop="1" x14ac:dyDescent="0.2">
      <c r="A225" s="1618" t="s">
        <v>1155</v>
      </c>
      <c r="B225" s="1623"/>
      <c r="C225" s="551"/>
      <c r="D225" s="551"/>
      <c r="E225" s="468"/>
      <c r="F225" s="551"/>
      <c r="G225" s="551"/>
      <c r="H225" s="468"/>
      <c r="I225" s="468"/>
      <c r="J225" s="468"/>
      <c r="K225" s="468"/>
    </row>
    <row r="226" spans="1:11" ht="12.75" customHeight="1" x14ac:dyDescent="0.2">
      <c r="A226" s="463" t="s">
        <v>820</v>
      </c>
      <c r="B226" s="470">
        <v>4770</v>
      </c>
      <c r="C226" s="549">
        <v>0</v>
      </c>
      <c r="D226" s="466">
        <v>0</v>
      </c>
      <c r="E226" s="468"/>
      <c r="F226" s="468"/>
      <c r="G226" s="466">
        <v>0</v>
      </c>
      <c r="H226" s="468"/>
      <c r="I226" s="468"/>
      <c r="J226" s="468"/>
      <c r="K226" s="468"/>
    </row>
    <row r="227" spans="1:11" ht="12.75" customHeight="1" x14ac:dyDescent="0.2">
      <c r="A227" s="463" t="s">
        <v>69</v>
      </c>
      <c r="B227" s="470">
        <v>4799</v>
      </c>
      <c r="C227" s="549">
        <v>0</v>
      </c>
      <c r="D227" s="466">
        <v>0</v>
      </c>
      <c r="E227" s="468"/>
      <c r="F227" s="468"/>
      <c r="G227" s="466">
        <v>0</v>
      </c>
      <c r="H227" s="468"/>
      <c r="I227" s="468"/>
      <c r="J227" s="468"/>
      <c r="K227" s="468"/>
    </row>
    <row r="228" spans="1:11" ht="12.75" customHeight="1" thickBot="1" x14ac:dyDescent="0.25">
      <c r="A228" s="1741" t="s">
        <v>1145</v>
      </c>
      <c r="B228" s="1742"/>
      <c r="C228" s="1725">
        <f>SUM(C226:C227)</f>
        <v>0</v>
      </c>
      <c r="D228" s="1725">
        <f>SUM(D226:D227)</f>
        <v>0</v>
      </c>
      <c r="E228" s="468"/>
      <c r="F228" s="468"/>
      <c r="G228" s="1725">
        <f>SUM(G226:G227)</f>
        <v>0</v>
      </c>
      <c r="H228" s="468"/>
      <c r="I228" s="468"/>
      <c r="J228" s="468"/>
      <c r="K228" s="468"/>
    </row>
    <row r="229" spans="1:11" ht="12.75" customHeight="1" thickTop="1" thickBot="1" x14ac:dyDescent="0.25">
      <c r="A229" s="491" t="s">
        <v>781</v>
      </c>
      <c r="B229" s="489">
        <v>4810</v>
      </c>
      <c r="C229" s="573">
        <v>0</v>
      </c>
      <c r="D229" s="574">
        <v>0</v>
      </c>
      <c r="E229" s="468"/>
      <c r="F229" s="468"/>
      <c r="G229" s="574">
        <v>0</v>
      </c>
      <c r="H229" s="468"/>
      <c r="I229" s="468"/>
      <c r="J229" s="468"/>
      <c r="K229" s="468"/>
    </row>
    <row r="230" spans="1:11" ht="12.75" customHeight="1" thickTop="1" x14ac:dyDescent="0.2">
      <c r="A230" s="491" t="s">
        <v>368</v>
      </c>
      <c r="B230" s="489">
        <v>4850</v>
      </c>
      <c r="C230" s="487">
        <v>0</v>
      </c>
      <c r="D230" s="467">
        <v>0</v>
      </c>
      <c r="E230" s="467"/>
      <c r="F230" s="467">
        <v>0</v>
      </c>
      <c r="G230" s="467">
        <v>0</v>
      </c>
      <c r="H230" s="467">
        <v>0</v>
      </c>
      <c r="I230" s="468"/>
      <c r="J230" s="467"/>
      <c r="K230" s="467"/>
    </row>
    <row r="231" spans="1:11" ht="12.75" customHeight="1" x14ac:dyDescent="0.2">
      <c r="A231" s="491" t="s">
        <v>369</v>
      </c>
      <c r="B231" s="489">
        <v>4851</v>
      </c>
      <c r="C231" s="487">
        <v>0</v>
      </c>
      <c r="D231" s="467">
        <v>0</v>
      </c>
      <c r="E231" s="468"/>
      <c r="F231" s="474">
        <v>0</v>
      </c>
      <c r="G231" s="467">
        <v>0</v>
      </c>
      <c r="H231" s="468"/>
      <c r="I231" s="468"/>
      <c r="J231" s="468"/>
      <c r="K231" s="468"/>
    </row>
    <row r="232" spans="1:11" ht="12.75" customHeight="1" x14ac:dyDescent="0.2">
      <c r="A232" s="491" t="s">
        <v>370</v>
      </c>
      <c r="B232" s="489">
        <v>4852</v>
      </c>
      <c r="C232" s="487">
        <v>0</v>
      </c>
      <c r="D232" s="467">
        <v>0</v>
      </c>
      <c r="E232" s="467"/>
      <c r="F232" s="467">
        <v>0</v>
      </c>
      <c r="G232" s="467">
        <v>0</v>
      </c>
      <c r="H232" s="467">
        <v>0</v>
      </c>
      <c r="I232" s="468"/>
      <c r="J232" s="467"/>
      <c r="K232" s="467"/>
    </row>
    <row r="233" spans="1:11" ht="12.75" customHeight="1" x14ac:dyDescent="0.2">
      <c r="A233" s="491" t="s">
        <v>371</v>
      </c>
      <c r="B233" s="489">
        <v>4853</v>
      </c>
      <c r="C233" s="487">
        <v>0</v>
      </c>
      <c r="D233" s="467">
        <v>0</v>
      </c>
      <c r="E233" s="467"/>
      <c r="F233" s="467">
        <v>0</v>
      </c>
      <c r="G233" s="467">
        <v>0</v>
      </c>
      <c r="H233" s="467">
        <v>0</v>
      </c>
      <c r="I233" s="468"/>
      <c r="J233" s="467"/>
      <c r="K233" s="467"/>
    </row>
    <row r="234" spans="1:11" ht="12.75" customHeight="1" x14ac:dyDescent="0.2">
      <c r="A234" s="491" t="s">
        <v>372</v>
      </c>
      <c r="B234" s="489">
        <v>4854</v>
      </c>
      <c r="C234" s="487">
        <v>0</v>
      </c>
      <c r="D234" s="467">
        <v>0</v>
      </c>
      <c r="E234" s="467"/>
      <c r="F234" s="467">
        <v>0</v>
      </c>
      <c r="G234" s="467">
        <v>0</v>
      </c>
      <c r="H234" s="467">
        <v>0</v>
      </c>
      <c r="I234" s="468"/>
      <c r="J234" s="467"/>
      <c r="K234" s="467"/>
    </row>
    <row r="235" spans="1:11" ht="12.75" customHeight="1" x14ac:dyDescent="0.2">
      <c r="A235" s="491" t="s">
        <v>484</v>
      </c>
      <c r="B235" s="489">
        <v>4855</v>
      </c>
      <c r="C235" s="487">
        <v>0</v>
      </c>
      <c r="D235" s="467">
        <v>0</v>
      </c>
      <c r="E235" s="467"/>
      <c r="F235" s="467">
        <v>0</v>
      </c>
      <c r="G235" s="467">
        <v>0</v>
      </c>
      <c r="H235" s="467">
        <v>0</v>
      </c>
      <c r="I235" s="468"/>
      <c r="J235" s="467"/>
      <c r="K235" s="467"/>
    </row>
    <row r="236" spans="1:11" ht="12.75" customHeight="1" x14ac:dyDescent="0.2">
      <c r="A236" s="491" t="s">
        <v>373</v>
      </c>
      <c r="B236" s="489">
        <v>4856</v>
      </c>
      <c r="C236" s="487">
        <v>0</v>
      </c>
      <c r="D236" s="467">
        <v>0</v>
      </c>
      <c r="E236" s="467"/>
      <c r="F236" s="467">
        <v>0</v>
      </c>
      <c r="G236" s="467">
        <v>0</v>
      </c>
      <c r="H236" s="467">
        <v>0</v>
      </c>
      <c r="I236" s="468"/>
      <c r="J236" s="467"/>
      <c r="K236" s="467"/>
    </row>
    <row r="237" spans="1:11" ht="12.75" customHeight="1" x14ac:dyDescent="0.2">
      <c r="A237" s="491" t="s">
        <v>374</v>
      </c>
      <c r="B237" s="489">
        <v>4857</v>
      </c>
      <c r="C237" s="487">
        <v>0</v>
      </c>
      <c r="D237" s="467">
        <v>0</v>
      </c>
      <c r="E237" s="467"/>
      <c r="F237" s="467">
        <v>0</v>
      </c>
      <c r="G237" s="467">
        <v>0</v>
      </c>
      <c r="H237" s="467">
        <v>0</v>
      </c>
      <c r="I237" s="468"/>
      <c r="J237" s="467"/>
      <c r="K237" s="467"/>
    </row>
    <row r="238" spans="1:11" ht="12.75" customHeight="1" x14ac:dyDescent="0.2">
      <c r="A238" s="491" t="s">
        <v>375</v>
      </c>
      <c r="B238" s="489">
        <v>4860</v>
      </c>
      <c r="C238" s="487">
        <v>0</v>
      </c>
      <c r="D238" s="467">
        <v>0</v>
      </c>
      <c r="E238" s="467"/>
      <c r="F238" s="467">
        <v>0</v>
      </c>
      <c r="G238" s="467">
        <v>0</v>
      </c>
      <c r="H238" s="467">
        <v>0</v>
      </c>
      <c r="I238" s="468"/>
      <c r="J238" s="467"/>
      <c r="K238" s="467"/>
    </row>
    <row r="239" spans="1:11" ht="12.75" customHeight="1" x14ac:dyDescent="0.2">
      <c r="A239" s="491" t="s">
        <v>376</v>
      </c>
      <c r="B239" s="489">
        <v>4861</v>
      </c>
      <c r="C239" s="487">
        <v>0</v>
      </c>
      <c r="D239" s="467">
        <v>0</v>
      </c>
      <c r="E239" s="467"/>
      <c r="F239" s="467">
        <v>0</v>
      </c>
      <c r="G239" s="467">
        <v>0</v>
      </c>
      <c r="H239" s="467">
        <v>0</v>
      </c>
      <c r="I239" s="468"/>
      <c r="J239" s="467"/>
      <c r="K239" s="467"/>
    </row>
    <row r="240" spans="1:11" ht="12.75" customHeight="1" x14ac:dyDescent="0.2">
      <c r="A240" s="491" t="s">
        <v>377</v>
      </c>
      <c r="B240" s="489">
        <v>4862</v>
      </c>
      <c r="C240" s="487">
        <v>0</v>
      </c>
      <c r="D240" s="467">
        <v>0</v>
      </c>
      <c r="E240" s="475"/>
      <c r="F240" s="467">
        <v>0</v>
      </c>
      <c r="G240" s="467">
        <v>0</v>
      </c>
      <c r="H240" s="475"/>
      <c r="I240" s="468"/>
      <c r="J240" s="475"/>
      <c r="K240" s="475"/>
    </row>
    <row r="241" spans="1:11" ht="12.75" customHeight="1" x14ac:dyDescent="0.2">
      <c r="A241" s="491" t="s">
        <v>378</v>
      </c>
      <c r="B241" s="489">
        <v>4863</v>
      </c>
      <c r="C241" s="487">
        <v>0</v>
      </c>
      <c r="D241" s="467">
        <v>0</v>
      </c>
      <c r="E241" s="468"/>
      <c r="F241" s="475"/>
      <c r="G241" s="524"/>
      <c r="H241" s="468"/>
      <c r="I241" s="468"/>
      <c r="J241" s="468"/>
      <c r="K241" s="468"/>
    </row>
    <row r="242" spans="1:11" ht="12.75" customHeight="1" x14ac:dyDescent="0.2">
      <c r="A242" s="491" t="s">
        <v>489</v>
      </c>
      <c r="B242" s="489">
        <v>4864</v>
      </c>
      <c r="C242" s="487">
        <v>0</v>
      </c>
      <c r="D242" s="467">
        <v>0</v>
      </c>
      <c r="E242" s="467"/>
      <c r="F242" s="467">
        <v>0</v>
      </c>
      <c r="G242" s="467">
        <v>0</v>
      </c>
      <c r="H242" s="467">
        <v>0</v>
      </c>
      <c r="I242" s="468"/>
      <c r="J242" s="467"/>
      <c r="K242" s="467"/>
    </row>
    <row r="243" spans="1:11" ht="12.75" customHeight="1" x14ac:dyDescent="0.2">
      <c r="A243" s="491" t="s">
        <v>490</v>
      </c>
      <c r="B243" s="489">
        <v>4865</v>
      </c>
      <c r="C243" s="487">
        <v>0</v>
      </c>
      <c r="D243" s="467">
        <v>0</v>
      </c>
      <c r="E243" s="467"/>
      <c r="F243" s="467">
        <v>0</v>
      </c>
      <c r="G243" s="467">
        <v>0</v>
      </c>
      <c r="H243" s="467">
        <v>0</v>
      </c>
      <c r="I243" s="468"/>
      <c r="J243" s="467"/>
      <c r="K243" s="467"/>
    </row>
    <row r="244" spans="1:11" ht="12.75" customHeight="1" x14ac:dyDescent="0.2">
      <c r="A244" s="491" t="s">
        <v>488</v>
      </c>
      <c r="B244" s="489">
        <v>4866</v>
      </c>
      <c r="C244" s="487">
        <v>0</v>
      </c>
      <c r="D244" s="467">
        <v>0</v>
      </c>
      <c r="E244" s="467">
        <v>0</v>
      </c>
      <c r="F244" s="467">
        <v>0</v>
      </c>
      <c r="G244" s="467">
        <v>0</v>
      </c>
      <c r="H244" s="467">
        <v>0</v>
      </c>
      <c r="I244" s="468"/>
      <c r="J244" s="467"/>
      <c r="K244" s="467"/>
    </row>
    <row r="245" spans="1:11" ht="12.75" customHeight="1" x14ac:dyDescent="0.2">
      <c r="A245" s="491" t="s">
        <v>487</v>
      </c>
      <c r="B245" s="489">
        <v>4867</v>
      </c>
      <c r="C245" s="487">
        <v>0</v>
      </c>
      <c r="D245" s="467">
        <v>0</v>
      </c>
      <c r="E245" s="467">
        <v>0</v>
      </c>
      <c r="F245" s="467">
        <v>0</v>
      </c>
      <c r="G245" s="467">
        <v>0</v>
      </c>
      <c r="H245" s="467">
        <v>0</v>
      </c>
      <c r="I245" s="468"/>
      <c r="J245" s="467"/>
      <c r="K245" s="467"/>
    </row>
    <row r="246" spans="1:11" ht="12.75" customHeight="1" x14ac:dyDescent="0.2">
      <c r="A246" s="491" t="s">
        <v>486</v>
      </c>
      <c r="B246" s="489">
        <v>4868</v>
      </c>
      <c r="C246" s="487">
        <v>0</v>
      </c>
      <c r="D246" s="467">
        <v>0</v>
      </c>
      <c r="E246" s="467">
        <v>0</v>
      </c>
      <c r="F246" s="467">
        <v>0</v>
      </c>
      <c r="G246" s="467">
        <v>0</v>
      </c>
      <c r="H246" s="467">
        <v>0</v>
      </c>
      <c r="I246" s="468"/>
      <c r="J246" s="467"/>
      <c r="K246" s="467"/>
    </row>
    <row r="247" spans="1:11" ht="12.75" customHeight="1" x14ac:dyDescent="0.2">
      <c r="A247" s="491" t="s">
        <v>485</v>
      </c>
      <c r="B247" s="489">
        <v>4869</v>
      </c>
      <c r="C247" s="487">
        <v>0</v>
      </c>
      <c r="D247" s="467">
        <v>0</v>
      </c>
      <c r="E247" s="467">
        <v>0</v>
      </c>
      <c r="F247" s="467">
        <v>0</v>
      </c>
      <c r="G247" s="467">
        <v>0</v>
      </c>
      <c r="H247" s="467">
        <v>0</v>
      </c>
      <c r="I247" s="468"/>
      <c r="J247" s="467"/>
      <c r="K247" s="467"/>
    </row>
    <row r="248" spans="1:11" ht="12.75" customHeight="1" x14ac:dyDescent="0.2">
      <c r="A248" s="491" t="s">
        <v>1190</v>
      </c>
      <c r="B248" s="489">
        <v>4870</v>
      </c>
      <c r="C248" s="487">
        <v>0</v>
      </c>
      <c r="D248" s="467">
        <v>0</v>
      </c>
      <c r="E248" s="467"/>
      <c r="F248" s="467">
        <v>0</v>
      </c>
      <c r="G248" s="467">
        <v>0</v>
      </c>
      <c r="H248" s="467">
        <v>0</v>
      </c>
      <c r="I248" s="468"/>
      <c r="J248" s="467"/>
      <c r="K248" s="467"/>
    </row>
    <row r="249" spans="1:11" ht="12.75" customHeight="1" x14ac:dyDescent="0.2">
      <c r="A249" s="491" t="s">
        <v>821</v>
      </c>
      <c r="B249" s="489">
        <v>4871</v>
      </c>
      <c r="C249" s="487">
        <v>0</v>
      </c>
      <c r="D249" s="467">
        <v>0</v>
      </c>
      <c r="E249" s="467"/>
      <c r="F249" s="467">
        <v>0</v>
      </c>
      <c r="G249" s="467">
        <v>0</v>
      </c>
      <c r="H249" s="467">
        <v>0</v>
      </c>
      <c r="I249" s="468"/>
      <c r="J249" s="467"/>
      <c r="K249" s="467"/>
    </row>
    <row r="250" spans="1:11" ht="12.75" customHeight="1" x14ac:dyDescent="0.2">
      <c r="A250" s="491" t="s">
        <v>822</v>
      </c>
      <c r="B250" s="489">
        <v>4872</v>
      </c>
      <c r="C250" s="487">
        <v>0</v>
      </c>
      <c r="D250" s="467">
        <v>0</v>
      </c>
      <c r="E250" s="467"/>
      <c r="F250" s="467">
        <v>0</v>
      </c>
      <c r="G250" s="467">
        <v>0</v>
      </c>
      <c r="H250" s="467">
        <v>0</v>
      </c>
      <c r="I250" s="468"/>
      <c r="J250" s="467"/>
      <c r="K250" s="467"/>
    </row>
    <row r="251" spans="1:11" ht="12.75" customHeight="1" x14ac:dyDescent="0.2">
      <c r="A251" s="491" t="s">
        <v>823</v>
      </c>
      <c r="B251" s="489">
        <v>4873</v>
      </c>
      <c r="C251" s="487">
        <v>0</v>
      </c>
      <c r="D251" s="467">
        <v>0</v>
      </c>
      <c r="E251" s="467"/>
      <c r="F251" s="467">
        <v>0</v>
      </c>
      <c r="G251" s="467">
        <v>0</v>
      </c>
      <c r="H251" s="467">
        <v>0</v>
      </c>
      <c r="I251" s="468"/>
      <c r="J251" s="467"/>
      <c r="K251" s="467"/>
    </row>
    <row r="252" spans="1:11" ht="12.75" customHeight="1" x14ac:dyDescent="0.2">
      <c r="A252" s="491" t="s">
        <v>824</v>
      </c>
      <c r="B252" s="489">
        <v>4874</v>
      </c>
      <c r="C252" s="487">
        <v>0</v>
      </c>
      <c r="D252" s="467">
        <v>0</v>
      </c>
      <c r="E252" s="467"/>
      <c r="F252" s="467">
        <v>0</v>
      </c>
      <c r="G252" s="467">
        <v>0</v>
      </c>
      <c r="H252" s="467">
        <v>0</v>
      </c>
      <c r="I252" s="468"/>
      <c r="J252" s="467"/>
      <c r="K252" s="467"/>
    </row>
    <row r="253" spans="1:11" ht="12.75" customHeight="1" x14ac:dyDescent="0.2">
      <c r="A253" s="491" t="s">
        <v>491</v>
      </c>
      <c r="B253" s="489">
        <v>4875</v>
      </c>
      <c r="C253" s="487">
        <v>0</v>
      </c>
      <c r="D253" s="467">
        <v>0</v>
      </c>
      <c r="E253" s="467"/>
      <c r="F253" s="467">
        <v>0</v>
      </c>
      <c r="G253" s="467">
        <v>0</v>
      </c>
      <c r="H253" s="467">
        <v>0</v>
      </c>
      <c r="I253" s="468"/>
      <c r="J253" s="467"/>
      <c r="K253" s="467"/>
    </row>
    <row r="254" spans="1:11" ht="12.75" customHeight="1" x14ac:dyDescent="0.2">
      <c r="A254" s="491" t="s">
        <v>794</v>
      </c>
      <c r="B254" s="489">
        <v>4876</v>
      </c>
      <c r="C254" s="487">
        <v>0</v>
      </c>
      <c r="D254" s="467">
        <v>0</v>
      </c>
      <c r="E254" s="467"/>
      <c r="F254" s="467">
        <v>0</v>
      </c>
      <c r="G254" s="467">
        <v>0</v>
      </c>
      <c r="H254" s="467">
        <v>0</v>
      </c>
      <c r="I254" s="468"/>
      <c r="J254" s="467"/>
      <c r="K254" s="467"/>
    </row>
    <row r="255" spans="1:11" ht="12.75" customHeight="1" x14ac:dyDescent="0.2">
      <c r="A255" s="491" t="s">
        <v>795</v>
      </c>
      <c r="B255" s="489">
        <v>4877</v>
      </c>
      <c r="C255" s="487">
        <v>0</v>
      </c>
      <c r="D255" s="467">
        <v>0</v>
      </c>
      <c r="E255" s="467"/>
      <c r="F255" s="467">
        <v>0</v>
      </c>
      <c r="G255" s="467">
        <v>0</v>
      </c>
      <c r="H255" s="467">
        <v>0</v>
      </c>
      <c r="I255" s="468"/>
      <c r="J255" s="467"/>
      <c r="K255" s="467"/>
    </row>
    <row r="256" spans="1:11" ht="12.75" customHeight="1" x14ac:dyDescent="0.2">
      <c r="A256" s="491" t="s">
        <v>796</v>
      </c>
      <c r="B256" s="489">
        <v>4878</v>
      </c>
      <c r="C256" s="487">
        <v>0</v>
      </c>
      <c r="D256" s="467">
        <v>0</v>
      </c>
      <c r="E256" s="467"/>
      <c r="F256" s="467">
        <v>0</v>
      </c>
      <c r="G256" s="467">
        <v>0</v>
      </c>
      <c r="H256" s="467">
        <v>0</v>
      </c>
      <c r="I256" s="468"/>
      <c r="J256" s="467"/>
      <c r="K256" s="467"/>
    </row>
    <row r="257" spans="1:11" ht="12.75" customHeight="1" x14ac:dyDescent="0.2">
      <c r="A257" s="491" t="s">
        <v>797</v>
      </c>
      <c r="B257" s="489">
        <v>4879</v>
      </c>
      <c r="C257" s="487">
        <v>0</v>
      </c>
      <c r="D257" s="467">
        <v>0</v>
      </c>
      <c r="E257" s="467"/>
      <c r="F257" s="467">
        <v>0</v>
      </c>
      <c r="G257" s="467">
        <v>0</v>
      </c>
      <c r="H257" s="467">
        <v>0</v>
      </c>
      <c r="I257" s="468"/>
      <c r="J257" s="467"/>
      <c r="K257" s="467"/>
    </row>
    <row r="258" spans="1:11" ht="12.75" customHeight="1" x14ac:dyDescent="0.2">
      <c r="A258" s="225" t="s">
        <v>1530</v>
      </c>
      <c r="B258" s="585">
        <v>4880</v>
      </c>
      <c r="C258" s="487">
        <v>0</v>
      </c>
      <c r="D258" s="467">
        <v>0</v>
      </c>
      <c r="E258" s="467"/>
      <c r="F258" s="467">
        <v>0</v>
      </c>
      <c r="G258" s="467">
        <v>0</v>
      </c>
      <c r="H258" s="467">
        <v>0</v>
      </c>
      <c r="I258" s="468"/>
      <c r="J258" s="467"/>
      <c r="K258" s="467"/>
    </row>
    <row r="259" spans="1:11" ht="12.75" customHeight="1" thickBot="1" x14ac:dyDescent="0.25">
      <c r="A259" s="1743" t="s">
        <v>798</v>
      </c>
      <c r="B259" s="1744"/>
      <c r="C259" s="1736">
        <f t="shared" ref="C259:H259" si="9">SUM(C230:C258)</f>
        <v>0</v>
      </c>
      <c r="D259" s="1725">
        <f t="shared" si="9"/>
        <v>0</v>
      </c>
      <c r="E259" s="1725">
        <f t="shared" si="9"/>
        <v>0</v>
      </c>
      <c r="F259" s="1725">
        <f t="shared" si="9"/>
        <v>0</v>
      </c>
      <c r="G259" s="1725">
        <f t="shared" si="9"/>
        <v>0</v>
      </c>
      <c r="H259" s="1725">
        <f t="shared" si="9"/>
        <v>0</v>
      </c>
      <c r="I259" s="551"/>
      <c r="J259" s="1725">
        <f>SUM(J230:J258)</f>
        <v>0</v>
      </c>
      <c r="K259" s="1706">
        <f>SUM(K230:K258)</f>
        <v>0</v>
      </c>
    </row>
    <row r="260" spans="1:11" ht="12.75" customHeight="1" thickTop="1" thickBot="1" x14ac:dyDescent="0.25">
      <c r="A260" s="1520" t="s">
        <v>1493</v>
      </c>
      <c r="B260" s="586">
        <v>4901</v>
      </c>
      <c r="C260" s="587">
        <v>0</v>
      </c>
      <c r="D260" s="469"/>
      <c r="E260" s="468"/>
      <c r="F260" s="468"/>
      <c r="G260" s="468"/>
      <c r="H260" s="468"/>
      <c r="I260" s="468"/>
      <c r="J260" s="468"/>
      <c r="K260" s="468"/>
    </row>
    <row r="261" spans="1:11" ht="12.75" customHeight="1" thickTop="1" thickBot="1" x14ac:dyDescent="0.25">
      <c r="A261" s="1521" t="s">
        <v>1538</v>
      </c>
      <c r="B261" s="588">
        <v>4902</v>
      </c>
      <c r="C261" s="589">
        <v>0</v>
      </c>
      <c r="D261" s="590">
        <v>0</v>
      </c>
      <c r="E261" s="469"/>
      <c r="F261" s="590">
        <v>0</v>
      </c>
      <c r="G261" s="590">
        <v>0</v>
      </c>
      <c r="H261" s="469"/>
      <c r="I261" s="468"/>
      <c r="J261" s="469"/>
      <c r="K261" s="469"/>
    </row>
    <row r="262" spans="1:11" ht="12.75" customHeight="1" thickTop="1" thickBot="1" x14ac:dyDescent="0.25">
      <c r="A262" s="491" t="s">
        <v>1146</v>
      </c>
      <c r="B262" s="489">
        <v>4904</v>
      </c>
      <c r="C262" s="591">
        <v>0</v>
      </c>
      <c r="D262" s="589">
        <v>0</v>
      </c>
      <c r="E262" s="469"/>
      <c r="F262" s="551"/>
      <c r="G262" s="589">
        <v>0</v>
      </c>
      <c r="H262" s="469"/>
      <c r="I262" s="468"/>
      <c r="J262" s="468"/>
      <c r="K262" s="468"/>
    </row>
    <row r="263" spans="1:11" ht="12.75" customHeight="1" thickTop="1" thickBot="1" x14ac:dyDescent="0.25">
      <c r="A263" s="463" t="s">
        <v>1531</v>
      </c>
      <c r="B263" s="470">
        <v>4905</v>
      </c>
      <c r="C263" s="571">
        <v>0</v>
      </c>
      <c r="D263" s="468"/>
      <c r="E263" s="468"/>
      <c r="F263" s="576">
        <v>0</v>
      </c>
      <c r="G263" s="571">
        <v>0</v>
      </c>
      <c r="H263" s="468"/>
      <c r="I263" s="468"/>
      <c r="J263" s="468"/>
      <c r="K263" s="468"/>
    </row>
    <row r="264" spans="1:11" ht="12.75" customHeight="1" thickTop="1" thickBot="1" x14ac:dyDescent="0.25">
      <c r="A264" s="463" t="s">
        <v>1532</v>
      </c>
      <c r="B264" s="470">
        <v>4909</v>
      </c>
      <c r="C264" s="574">
        <v>0</v>
      </c>
      <c r="D264" s="468"/>
      <c r="E264" s="468"/>
      <c r="F264" s="574">
        <v>0</v>
      </c>
      <c r="G264" s="574">
        <v>0</v>
      </c>
      <c r="H264" s="468"/>
      <c r="I264" s="468"/>
      <c r="J264" s="468"/>
      <c r="K264" s="468"/>
    </row>
    <row r="265" spans="1:11" ht="12.75" customHeight="1" thickTop="1" thickBot="1" x14ac:dyDescent="0.25">
      <c r="A265" s="463" t="s">
        <v>945</v>
      </c>
      <c r="B265" s="470">
        <v>4910</v>
      </c>
      <c r="C265" s="574">
        <v>0</v>
      </c>
      <c r="D265" s="468"/>
      <c r="E265" s="468"/>
      <c r="F265" s="574">
        <v>0</v>
      </c>
      <c r="G265" s="574">
        <v>0</v>
      </c>
      <c r="H265" s="468"/>
      <c r="I265" s="468"/>
      <c r="J265" s="468"/>
      <c r="K265" s="468"/>
    </row>
    <row r="266" spans="1:11" ht="12.75" customHeight="1" thickTop="1" thickBot="1" x14ac:dyDescent="0.25">
      <c r="A266" s="463" t="s">
        <v>202</v>
      </c>
      <c r="B266" s="470">
        <v>4920</v>
      </c>
      <c r="C266" s="574">
        <v>0</v>
      </c>
      <c r="D266" s="576">
        <v>0</v>
      </c>
      <c r="E266" s="468"/>
      <c r="F266" s="571">
        <v>0</v>
      </c>
      <c r="G266" s="571">
        <v>0</v>
      </c>
      <c r="H266" s="468"/>
      <c r="I266" s="468"/>
      <c r="J266" s="468"/>
      <c r="K266" s="468"/>
    </row>
    <row r="267" spans="1:11" ht="12.75" customHeight="1" thickTop="1" thickBot="1" x14ac:dyDescent="0.25">
      <c r="A267" s="463" t="s">
        <v>441</v>
      </c>
      <c r="B267" s="470">
        <v>4930</v>
      </c>
      <c r="C267" s="574">
        <v>0</v>
      </c>
      <c r="D267" s="574">
        <v>0</v>
      </c>
      <c r="E267" s="468"/>
      <c r="F267" s="574">
        <v>0</v>
      </c>
      <c r="G267" s="574">
        <v>0</v>
      </c>
      <c r="H267" s="468"/>
      <c r="I267" s="468"/>
      <c r="J267" s="468"/>
      <c r="K267" s="468"/>
    </row>
    <row r="268" spans="1:11" ht="12.75" customHeight="1" thickTop="1" thickBot="1" x14ac:dyDescent="0.25">
      <c r="A268" s="463" t="s">
        <v>782</v>
      </c>
      <c r="B268" s="470">
        <v>4932</v>
      </c>
      <c r="C268" s="574">
        <v>21382</v>
      </c>
      <c r="D268" s="574">
        <v>0</v>
      </c>
      <c r="E268" s="468"/>
      <c r="F268" s="574">
        <v>0</v>
      </c>
      <c r="G268" s="574">
        <v>0</v>
      </c>
      <c r="H268" s="468"/>
      <c r="I268" s="468"/>
      <c r="J268" s="468"/>
      <c r="K268" s="468"/>
    </row>
    <row r="269" spans="1:11" ht="12.75" customHeight="1" thickTop="1" thickBot="1" x14ac:dyDescent="0.25">
      <c r="A269" s="463" t="s">
        <v>946</v>
      </c>
      <c r="B269" s="470">
        <v>4960</v>
      </c>
      <c r="C269" s="573">
        <v>0</v>
      </c>
      <c r="D269" s="574">
        <v>0</v>
      </c>
      <c r="E269" s="468"/>
      <c r="F269" s="574">
        <v>0</v>
      </c>
      <c r="G269" s="574">
        <v>0</v>
      </c>
      <c r="H269" s="468"/>
      <c r="I269" s="468"/>
      <c r="J269" s="468"/>
      <c r="K269" s="468"/>
    </row>
    <row r="270" spans="1:11" ht="12.75" customHeight="1" thickTop="1" thickBot="1" x14ac:dyDescent="0.25">
      <c r="A270" s="463" t="s">
        <v>589</v>
      </c>
      <c r="B270" s="470">
        <v>4991</v>
      </c>
      <c r="C270" s="573">
        <v>12356</v>
      </c>
      <c r="D270" s="574">
        <v>0</v>
      </c>
      <c r="E270" s="468"/>
      <c r="F270" s="574">
        <v>0</v>
      </c>
      <c r="G270" s="574">
        <v>0</v>
      </c>
      <c r="H270" s="468"/>
      <c r="I270" s="468"/>
      <c r="J270" s="468"/>
      <c r="K270" s="468"/>
    </row>
    <row r="271" spans="1:11" ht="12.75" customHeight="1" thickTop="1" thickBot="1" x14ac:dyDescent="0.25">
      <c r="A271" s="463" t="s">
        <v>395</v>
      </c>
      <c r="B271" s="470">
        <v>4992</v>
      </c>
      <c r="C271" s="573">
        <v>45152</v>
      </c>
      <c r="D271" s="574">
        <v>0</v>
      </c>
      <c r="E271" s="468"/>
      <c r="F271" s="574">
        <v>0</v>
      </c>
      <c r="G271" s="574">
        <v>0</v>
      </c>
      <c r="H271" s="468"/>
      <c r="I271" s="468"/>
      <c r="J271" s="468"/>
      <c r="K271" s="468"/>
    </row>
    <row r="272" spans="1:11" s="592" customFormat="1" ht="12.75" customHeight="1" thickTop="1" thickBot="1" x14ac:dyDescent="0.25">
      <c r="A272" s="561" t="s">
        <v>77</v>
      </c>
      <c r="B272" s="555">
        <v>4999</v>
      </c>
      <c r="C272" s="573">
        <v>4999</v>
      </c>
      <c r="D272" s="574">
        <v>0</v>
      </c>
      <c r="E272" s="468"/>
      <c r="F272" s="574">
        <v>0</v>
      </c>
      <c r="G272" s="574">
        <v>0</v>
      </c>
      <c r="H272" s="528">
        <v>0</v>
      </c>
      <c r="I272" s="468"/>
      <c r="J272" s="468"/>
      <c r="K272" s="528">
        <v>0</v>
      </c>
    </row>
    <row r="273" spans="1:11" ht="14.25" thickTop="1" thickBot="1" x14ac:dyDescent="0.25">
      <c r="A273" s="1726" t="s">
        <v>1765</v>
      </c>
      <c r="B273" s="1745"/>
      <c r="C273" s="1733">
        <f t="shared" ref="C273:H273" si="10">SUM(C191,C201,C211,C216,C224,C228,C229,C259:C272)</f>
        <v>866181</v>
      </c>
      <c r="D273" s="1733">
        <f t="shared" si="10"/>
        <v>0</v>
      </c>
      <c r="E273" s="1733">
        <f t="shared" si="10"/>
        <v>0</v>
      </c>
      <c r="F273" s="1733">
        <f t="shared" si="10"/>
        <v>0</v>
      </c>
      <c r="G273" s="1733">
        <f t="shared" si="10"/>
        <v>0</v>
      </c>
      <c r="H273" s="1733">
        <f t="shared" si="10"/>
        <v>0</v>
      </c>
      <c r="I273" s="468"/>
      <c r="J273" s="1733">
        <f>SUM(J191,J201,J211,J216,J224,J228,J229,J259:J272)</f>
        <v>0</v>
      </c>
      <c r="K273" s="1720">
        <f>SUM(K191,K201,K211,K216,K224,K228,K229,K259:K272)</f>
        <v>0</v>
      </c>
    </row>
    <row r="274" spans="1:11" ht="14.25" thickTop="1" thickBot="1" x14ac:dyDescent="0.25">
      <c r="A274" s="1746" t="s">
        <v>1147</v>
      </c>
      <c r="B274" s="1747" t="s">
        <v>915</v>
      </c>
      <c r="C274" s="1733">
        <f>SUM(C178,C184,C273)</f>
        <v>866181</v>
      </c>
      <c r="D274" s="1733">
        <f>SUM(D178,D184,D273)</f>
        <v>0</v>
      </c>
      <c r="E274" s="1733">
        <f>SUM(E178,E273)</f>
        <v>0</v>
      </c>
      <c r="F274" s="1733">
        <f t="shared" ref="F274:K274" si="11">SUM(F178,F184,F273)</f>
        <v>0</v>
      </c>
      <c r="G274" s="1733">
        <f t="shared" si="11"/>
        <v>0</v>
      </c>
      <c r="H274" s="1733">
        <f t="shared" si="11"/>
        <v>0</v>
      </c>
      <c r="I274" s="1733">
        <f t="shared" si="11"/>
        <v>0</v>
      </c>
      <c r="J274" s="1733">
        <f t="shared" si="11"/>
        <v>0</v>
      </c>
      <c r="K274" s="1720">
        <f t="shared" si="11"/>
        <v>0</v>
      </c>
    </row>
    <row r="275" spans="1:11" ht="14.25" thickTop="1" thickBot="1" x14ac:dyDescent="0.25">
      <c r="A275" s="1748" t="s">
        <v>269</v>
      </c>
      <c r="B275" s="1749"/>
      <c r="C275" s="1733">
        <f t="shared" ref="C275:K275" si="12">SUM(C109,C114,C173,C274)</f>
        <v>22162009</v>
      </c>
      <c r="D275" s="1733">
        <f t="shared" si="12"/>
        <v>1841063</v>
      </c>
      <c r="E275" s="1733">
        <f t="shared" si="12"/>
        <v>777336</v>
      </c>
      <c r="F275" s="1733">
        <f t="shared" si="12"/>
        <v>1315295</v>
      </c>
      <c r="G275" s="1733">
        <f t="shared" si="12"/>
        <v>525252</v>
      </c>
      <c r="H275" s="1733">
        <f t="shared" si="12"/>
        <v>109883</v>
      </c>
      <c r="I275" s="1733">
        <f t="shared" si="12"/>
        <v>369440</v>
      </c>
      <c r="J275" s="1733">
        <f t="shared" si="12"/>
        <v>0</v>
      </c>
      <c r="K275" s="1720">
        <f t="shared" si="12"/>
        <v>1057</v>
      </c>
    </row>
    <row r="276" spans="1:11" ht="13.5" thickTop="1" x14ac:dyDescent="0.2">
      <c r="C276" s="595"/>
      <c r="D276" s="595"/>
      <c r="E276" s="595"/>
      <c r="F276" s="595"/>
      <c r="G276" s="595"/>
      <c r="H276" s="595"/>
      <c r="I276" s="595"/>
      <c r="J276" s="595"/>
      <c r="K276" s="595"/>
    </row>
    <row r="277" spans="1:11" x14ac:dyDescent="0.2">
      <c r="C277" s="595"/>
      <c r="D277" s="595"/>
      <c r="E277" s="595"/>
      <c r="F277" s="595"/>
      <c r="G277" s="595"/>
      <c r="H277" s="595"/>
      <c r="I277" s="595"/>
      <c r="J277" s="595"/>
      <c r="K277" s="595"/>
    </row>
    <row r="278" spans="1:11" x14ac:dyDescent="0.2">
      <c r="C278" s="595"/>
      <c r="D278" s="595"/>
      <c r="E278" s="595"/>
      <c r="F278" s="595"/>
      <c r="G278" s="595"/>
      <c r="H278" s="595"/>
      <c r="I278" s="595"/>
      <c r="J278" s="595"/>
      <c r="K278" s="595"/>
    </row>
    <row r="279" spans="1:11" x14ac:dyDescent="0.2">
      <c r="C279" s="595"/>
      <c r="D279" s="595"/>
      <c r="E279" s="595"/>
      <c r="F279" s="595"/>
      <c r="G279" s="595"/>
      <c r="H279" s="595"/>
      <c r="I279" s="595"/>
      <c r="J279" s="595"/>
      <c r="K279" s="595"/>
    </row>
    <row r="280" spans="1:11" x14ac:dyDescent="0.2">
      <c r="C280" s="595"/>
      <c r="D280" s="595"/>
      <c r="E280" s="595"/>
      <c r="F280" s="595"/>
      <c r="G280" s="595"/>
      <c r="H280" s="595"/>
      <c r="I280" s="595"/>
      <c r="J280" s="595"/>
      <c r="K280" s="595"/>
    </row>
    <row r="281" spans="1:11" x14ac:dyDescent="0.2">
      <c r="C281" s="595"/>
      <c r="D281" s="595"/>
      <c r="E281" s="595"/>
      <c r="F281" s="595"/>
      <c r="G281" s="595"/>
      <c r="H281" s="595"/>
      <c r="I281" s="595"/>
      <c r="J281" s="595"/>
      <c r="K281" s="595"/>
    </row>
    <row r="282" spans="1:11" s="329" customFormat="1" x14ac:dyDescent="0.2">
      <c r="A282" s="593"/>
      <c r="B282" s="594"/>
      <c r="C282" s="595"/>
      <c r="D282" s="595"/>
      <c r="E282" s="595"/>
      <c r="F282" s="595"/>
      <c r="G282" s="595"/>
      <c r="H282" s="595"/>
      <c r="I282" s="595"/>
      <c r="J282" s="595"/>
      <c r="K282" s="595"/>
    </row>
    <row r="283" spans="1:11" s="329" customFormat="1" x14ac:dyDescent="0.2">
      <c r="A283" s="593"/>
    </row>
    <row r="284" spans="1:11" s="329" customFormat="1" x14ac:dyDescent="0.2">
      <c r="A284" s="596"/>
    </row>
    <row r="285" spans="1:11" s="329" customFormat="1" x14ac:dyDescent="0.2">
      <c r="A285" s="596"/>
    </row>
    <row r="286" spans="1:11" s="329" customFormat="1" x14ac:dyDescent="0.2">
      <c r="A286" s="596"/>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&amp;F&amp;CThe accompanying notes are an integral part of these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zoomScaleSheetLayoutView="90" workbookViewId="0">
      <pane ySplit="2" topLeftCell="A3" activePane="bottomLeft" state="frozen"/>
      <selection activeCell="H12" sqref="H12"/>
      <selection pane="bottomLeft" activeCell="A3" sqref="A3:B3"/>
    </sheetView>
  </sheetViews>
  <sheetFormatPr defaultColWidth="9.140625" defaultRowHeight="12.75" x14ac:dyDescent="0.2"/>
  <cols>
    <col min="1" max="1" width="48.5703125" style="708" customWidth="1"/>
    <col min="2" max="2" width="5" style="709" customWidth="1"/>
    <col min="3" max="8" width="13.28515625" style="608" customWidth="1"/>
    <col min="9" max="10" width="13.28515625" style="343" customWidth="1"/>
    <col min="11" max="11" width="13.28515625" style="710" customWidth="1"/>
    <col min="12" max="12" width="11.85546875" style="343" customWidth="1"/>
    <col min="13" max="13" width="1.5703125" style="210" customWidth="1"/>
    <col min="14" max="14" width="9.140625" style="210"/>
    <col min="15" max="16384" width="9.140625" style="329"/>
  </cols>
  <sheetData>
    <row r="1" spans="1:14" x14ac:dyDescent="0.2">
      <c r="A1" s="2327" t="s">
        <v>1902</v>
      </c>
      <c r="B1" s="601"/>
      <c r="C1" s="602" t="s">
        <v>799</v>
      </c>
      <c r="D1" s="602" t="s">
        <v>1138</v>
      </c>
      <c r="E1" s="602" t="s">
        <v>1139</v>
      </c>
      <c r="F1" s="602" t="s">
        <v>1140</v>
      </c>
      <c r="G1" s="602" t="s">
        <v>1141</v>
      </c>
      <c r="H1" s="602" t="s">
        <v>1142</v>
      </c>
      <c r="I1" s="602" t="s">
        <v>1143</v>
      </c>
      <c r="J1" s="602" t="s">
        <v>1144</v>
      </c>
      <c r="K1" s="602" t="s">
        <v>270</v>
      </c>
      <c r="L1" s="603"/>
    </row>
    <row r="2" spans="1:14" s="607" customFormat="1" ht="28.5" customHeight="1" x14ac:dyDescent="0.2">
      <c r="A2" s="2361"/>
      <c r="B2" s="604" t="s">
        <v>47</v>
      </c>
      <c r="C2" s="605" t="s">
        <v>203</v>
      </c>
      <c r="D2" s="606" t="s">
        <v>51</v>
      </c>
      <c r="E2" s="606" t="s">
        <v>1162</v>
      </c>
      <c r="F2" s="606" t="s">
        <v>1156</v>
      </c>
      <c r="G2" s="605" t="s">
        <v>1157</v>
      </c>
      <c r="H2" s="605" t="s">
        <v>1158</v>
      </c>
      <c r="I2" s="606" t="s">
        <v>309</v>
      </c>
      <c r="J2" s="606" t="s">
        <v>310</v>
      </c>
      <c r="K2" s="605" t="s">
        <v>158</v>
      </c>
      <c r="L2" s="605" t="s">
        <v>30</v>
      </c>
      <c r="M2" s="257"/>
      <c r="N2" s="257"/>
    </row>
    <row r="3" spans="1:14" s="343" customFormat="1" ht="16.7" customHeight="1" x14ac:dyDescent="0.2">
      <c r="A3" s="2367" t="s">
        <v>315</v>
      </c>
      <c r="B3" s="2368"/>
      <c r="C3" s="1566"/>
      <c r="D3" s="1566"/>
      <c r="E3" s="1566"/>
      <c r="F3" s="1566"/>
      <c r="G3" s="1566"/>
      <c r="H3" s="1566"/>
      <c r="I3" s="1566"/>
      <c r="J3" s="1566"/>
      <c r="K3" s="1567"/>
      <c r="L3" s="1568"/>
      <c r="M3" s="608"/>
      <c r="N3" s="608"/>
    </row>
    <row r="4" spans="1:14" s="259" customFormat="1" ht="15.75" customHeight="1" x14ac:dyDescent="0.2">
      <c r="A4" s="1624" t="s">
        <v>46</v>
      </c>
      <c r="B4" s="1625" t="s">
        <v>591</v>
      </c>
      <c r="C4" s="609"/>
      <c r="D4" s="609"/>
      <c r="E4" s="609"/>
      <c r="F4" s="609"/>
      <c r="G4" s="609"/>
      <c r="H4" s="609"/>
      <c r="I4" s="610"/>
      <c r="J4" s="609"/>
      <c r="K4" s="611"/>
      <c r="L4" s="609"/>
      <c r="M4" s="612"/>
      <c r="N4" s="612"/>
    </row>
    <row r="5" spans="1:14" x14ac:dyDescent="0.2">
      <c r="A5" s="1522" t="s">
        <v>1018</v>
      </c>
      <c r="B5" s="613">
        <v>1100</v>
      </c>
      <c r="C5" s="466">
        <v>6886282</v>
      </c>
      <c r="D5" s="466">
        <v>2668767</v>
      </c>
      <c r="E5" s="466">
        <v>567376</v>
      </c>
      <c r="F5" s="466">
        <v>527129</v>
      </c>
      <c r="G5" s="466">
        <v>33394</v>
      </c>
      <c r="H5" s="466">
        <v>1584</v>
      </c>
      <c r="I5" s="467">
        <v>0</v>
      </c>
      <c r="J5" s="467">
        <v>0</v>
      </c>
      <c r="K5" s="1689">
        <f>SUM(C5:J5)</f>
        <v>10684532</v>
      </c>
      <c r="L5" s="466">
        <v>10780381</v>
      </c>
    </row>
    <row r="6" spans="1:14" x14ac:dyDescent="0.2">
      <c r="A6" s="1522" t="s">
        <v>1508</v>
      </c>
      <c r="B6" s="613" t="s">
        <v>1506</v>
      </c>
      <c r="C6" s="476"/>
      <c r="D6" s="476"/>
      <c r="E6" s="466">
        <v>0</v>
      </c>
      <c r="F6" s="476"/>
      <c r="G6" s="476"/>
      <c r="H6" s="476"/>
      <c r="I6" s="476"/>
      <c r="J6" s="476"/>
      <c r="K6" s="1689">
        <f>SUM(C6,E6)</f>
        <v>0</v>
      </c>
      <c r="L6" s="466">
        <v>0</v>
      </c>
    </row>
    <row r="7" spans="1:14" x14ac:dyDescent="0.2">
      <c r="A7" s="1522" t="s">
        <v>165</v>
      </c>
      <c r="B7" s="613" t="s">
        <v>1024</v>
      </c>
      <c r="C7" s="467">
        <v>0</v>
      </c>
      <c r="D7" s="467">
        <v>0</v>
      </c>
      <c r="E7" s="467">
        <v>0</v>
      </c>
      <c r="F7" s="467">
        <v>0</v>
      </c>
      <c r="G7" s="467">
        <v>0</v>
      </c>
      <c r="H7" s="467">
        <v>0</v>
      </c>
      <c r="I7" s="467">
        <v>0</v>
      </c>
      <c r="J7" s="467">
        <v>0</v>
      </c>
      <c r="K7" s="1689">
        <f t="shared" ref="K7:K32" si="0">SUM(C7:J7)</f>
        <v>0</v>
      </c>
      <c r="L7" s="466">
        <v>0</v>
      </c>
    </row>
    <row r="8" spans="1:14" x14ac:dyDescent="0.2">
      <c r="A8" s="1522" t="s">
        <v>166</v>
      </c>
      <c r="B8" s="613">
        <v>1200</v>
      </c>
      <c r="C8" s="466">
        <v>1450840</v>
      </c>
      <c r="D8" s="466">
        <v>764591</v>
      </c>
      <c r="E8" s="466">
        <v>7519</v>
      </c>
      <c r="F8" s="466">
        <v>7600</v>
      </c>
      <c r="G8" s="466">
        <v>0</v>
      </c>
      <c r="H8" s="466">
        <v>0</v>
      </c>
      <c r="I8" s="467">
        <v>0</v>
      </c>
      <c r="J8" s="467">
        <v>0</v>
      </c>
      <c r="K8" s="1689">
        <f t="shared" si="0"/>
        <v>2230550</v>
      </c>
      <c r="L8" s="466">
        <v>2302640</v>
      </c>
    </row>
    <row r="9" spans="1:14" x14ac:dyDescent="0.2">
      <c r="A9" s="1522" t="s">
        <v>745</v>
      </c>
      <c r="B9" s="613" t="s">
        <v>1025</v>
      </c>
      <c r="C9" s="467">
        <v>0</v>
      </c>
      <c r="D9" s="467">
        <v>0</v>
      </c>
      <c r="E9" s="467">
        <v>0</v>
      </c>
      <c r="F9" s="467">
        <v>0</v>
      </c>
      <c r="G9" s="467">
        <v>0</v>
      </c>
      <c r="H9" s="467">
        <v>0</v>
      </c>
      <c r="I9" s="467">
        <v>0</v>
      </c>
      <c r="J9" s="467">
        <v>0</v>
      </c>
      <c r="K9" s="1689">
        <f t="shared" si="0"/>
        <v>0</v>
      </c>
      <c r="L9" s="466">
        <v>0</v>
      </c>
    </row>
    <row r="10" spans="1:14" x14ac:dyDescent="0.2">
      <c r="A10" s="1522" t="s">
        <v>746</v>
      </c>
      <c r="B10" s="613">
        <v>1250</v>
      </c>
      <c r="C10" s="466">
        <v>38362</v>
      </c>
      <c r="D10" s="466">
        <v>31432</v>
      </c>
      <c r="E10" s="466">
        <v>113294</v>
      </c>
      <c r="F10" s="466">
        <v>1083</v>
      </c>
      <c r="G10" s="466">
        <v>0</v>
      </c>
      <c r="H10" s="466">
        <v>0</v>
      </c>
      <c r="I10" s="467">
        <v>0</v>
      </c>
      <c r="J10" s="467">
        <v>0</v>
      </c>
      <c r="K10" s="1689">
        <f t="shared" si="0"/>
        <v>184171</v>
      </c>
      <c r="L10" s="466">
        <v>201544</v>
      </c>
    </row>
    <row r="11" spans="1:14" x14ac:dyDescent="0.2">
      <c r="A11" s="1522" t="s">
        <v>1192</v>
      </c>
      <c r="B11" s="613" t="s">
        <v>163</v>
      </c>
      <c r="C11" s="467">
        <v>0</v>
      </c>
      <c r="D11" s="467">
        <v>0</v>
      </c>
      <c r="E11" s="467">
        <v>0</v>
      </c>
      <c r="F11" s="467">
        <v>0</v>
      </c>
      <c r="G11" s="467">
        <v>0</v>
      </c>
      <c r="H11" s="467">
        <v>0</v>
      </c>
      <c r="I11" s="467">
        <v>0</v>
      </c>
      <c r="J11" s="467">
        <v>0</v>
      </c>
      <c r="K11" s="1689">
        <f t="shared" si="0"/>
        <v>0</v>
      </c>
      <c r="L11" s="466">
        <v>0</v>
      </c>
    </row>
    <row r="12" spans="1:14" x14ac:dyDescent="0.2">
      <c r="A12" s="1522" t="s">
        <v>1019</v>
      </c>
      <c r="B12" s="613">
        <v>1300</v>
      </c>
      <c r="C12" s="466">
        <v>0</v>
      </c>
      <c r="D12" s="466">
        <v>0</v>
      </c>
      <c r="E12" s="466">
        <v>0</v>
      </c>
      <c r="F12" s="466">
        <v>0</v>
      </c>
      <c r="G12" s="466">
        <v>0</v>
      </c>
      <c r="H12" s="466">
        <v>0</v>
      </c>
      <c r="I12" s="467">
        <v>0</v>
      </c>
      <c r="J12" s="467">
        <v>0</v>
      </c>
      <c r="K12" s="1689">
        <f t="shared" si="0"/>
        <v>0</v>
      </c>
      <c r="L12" s="466">
        <v>0</v>
      </c>
    </row>
    <row r="13" spans="1:14" x14ac:dyDescent="0.2">
      <c r="A13" s="1522" t="s">
        <v>747</v>
      </c>
      <c r="B13" s="613">
        <v>1400</v>
      </c>
      <c r="C13" s="467">
        <v>853648</v>
      </c>
      <c r="D13" s="466">
        <v>368628</v>
      </c>
      <c r="E13" s="466">
        <v>0</v>
      </c>
      <c r="F13" s="466">
        <v>50982</v>
      </c>
      <c r="G13" s="466">
        <v>1000</v>
      </c>
      <c r="H13" s="466">
        <v>0</v>
      </c>
      <c r="I13" s="467">
        <v>0</v>
      </c>
      <c r="J13" s="467">
        <v>0</v>
      </c>
      <c r="K13" s="1689">
        <f t="shared" si="0"/>
        <v>1274258</v>
      </c>
      <c r="L13" s="466">
        <v>1292707</v>
      </c>
    </row>
    <row r="14" spans="1:14" x14ac:dyDescent="0.2">
      <c r="A14" s="1522" t="s">
        <v>1020</v>
      </c>
      <c r="B14" s="613">
        <v>1500</v>
      </c>
      <c r="C14" s="467">
        <v>421029</v>
      </c>
      <c r="D14" s="466">
        <v>95641</v>
      </c>
      <c r="E14" s="466">
        <v>126046</v>
      </c>
      <c r="F14" s="466">
        <v>16938</v>
      </c>
      <c r="G14" s="466">
        <v>0</v>
      </c>
      <c r="H14" s="466">
        <v>16191</v>
      </c>
      <c r="I14" s="467">
        <v>0</v>
      </c>
      <c r="J14" s="467">
        <v>0</v>
      </c>
      <c r="K14" s="1689">
        <f t="shared" si="0"/>
        <v>675845</v>
      </c>
      <c r="L14" s="466">
        <v>713492</v>
      </c>
    </row>
    <row r="15" spans="1:14" x14ac:dyDescent="0.2">
      <c r="A15" s="1522" t="s">
        <v>1021</v>
      </c>
      <c r="B15" s="613">
        <v>1600</v>
      </c>
      <c r="C15" s="466">
        <v>26621</v>
      </c>
      <c r="D15" s="466">
        <v>4776</v>
      </c>
      <c r="E15" s="466">
        <v>0</v>
      </c>
      <c r="F15" s="466">
        <v>110</v>
      </c>
      <c r="G15" s="466">
        <v>0</v>
      </c>
      <c r="H15" s="466">
        <v>0</v>
      </c>
      <c r="I15" s="467">
        <v>0</v>
      </c>
      <c r="J15" s="467">
        <v>0</v>
      </c>
      <c r="K15" s="1689">
        <f t="shared" si="0"/>
        <v>31507</v>
      </c>
      <c r="L15" s="466">
        <v>65750</v>
      </c>
    </row>
    <row r="16" spans="1:14" x14ac:dyDescent="0.2">
      <c r="A16" s="1522" t="s">
        <v>1044</v>
      </c>
      <c r="B16" s="613" t="s">
        <v>444</v>
      </c>
      <c r="C16" s="466">
        <v>0</v>
      </c>
      <c r="D16" s="466">
        <v>0</v>
      </c>
      <c r="E16" s="466">
        <v>0</v>
      </c>
      <c r="F16" s="466">
        <v>0</v>
      </c>
      <c r="G16" s="466">
        <v>0</v>
      </c>
      <c r="H16" s="466">
        <v>0</v>
      </c>
      <c r="I16" s="467">
        <v>0</v>
      </c>
      <c r="J16" s="467">
        <v>0</v>
      </c>
      <c r="K16" s="1689">
        <f t="shared" si="0"/>
        <v>0</v>
      </c>
      <c r="L16" s="466">
        <v>0</v>
      </c>
    </row>
    <row r="17" spans="1:12" x14ac:dyDescent="0.2">
      <c r="A17" s="1522" t="s">
        <v>748</v>
      </c>
      <c r="B17" s="613" t="s">
        <v>164</v>
      </c>
      <c r="C17" s="467">
        <v>41544</v>
      </c>
      <c r="D17" s="467">
        <v>14801</v>
      </c>
      <c r="E17" s="467">
        <v>0</v>
      </c>
      <c r="F17" s="467">
        <v>0</v>
      </c>
      <c r="G17" s="467">
        <v>0</v>
      </c>
      <c r="H17" s="467">
        <v>0</v>
      </c>
      <c r="I17" s="467">
        <v>0</v>
      </c>
      <c r="J17" s="467">
        <v>0</v>
      </c>
      <c r="K17" s="1689">
        <f t="shared" si="0"/>
        <v>56345</v>
      </c>
      <c r="L17" s="466">
        <v>90648</v>
      </c>
    </row>
    <row r="18" spans="1:12" x14ac:dyDescent="0.2">
      <c r="A18" s="1522" t="s">
        <v>1148</v>
      </c>
      <c r="B18" s="613">
        <v>1800</v>
      </c>
      <c r="C18" s="466">
        <v>0</v>
      </c>
      <c r="D18" s="466">
        <v>0</v>
      </c>
      <c r="E18" s="466">
        <v>0</v>
      </c>
      <c r="F18" s="466">
        <v>0</v>
      </c>
      <c r="G18" s="466">
        <v>0</v>
      </c>
      <c r="H18" s="466">
        <v>0</v>
      </c>
      <c r="I18" s="467">
        <v>0</v>
      </c>
      <c r="J18" s="467">
        <v>0</v>
      </c>
      <c r="K18" s="1689">
        <f t="shared" si="0"/>
        <v>0</v>
      </c>
      <c r="L18" s="466">
        <v>0</v>
      </c>
    </row>
    <row r="19" spans="1:12" x14ac:dyDescent="0.2">
      <c r="A19" s="1522" t="s">
        <v>136</v>
      </c>
      <c r="B19" s="613">
        <v>1900</v>
      </c>
      <c r="C19" s="466">
        <v>0</v>
      </c>
      <c r="D19" s="466">
        <v>0</v>
      </c>
      <c r="E19" s="466">
        <v>0</v>
      </c>
      <c r="F19" s="466">
        <v>0</v>
      </c>
      <c r="G19" s="466">
        <v>0</v>
      </c>
      <c r="H19" s="466">
        <v>0</v>
      </c>
      <c r="I19" s="467">
        <v>0</v>
      </c>
      <c r="J19" s="467">
        <v>0</v>
      </c>
      <c r="K19" s="1689">
        <f t="shared" si="0"/>
        <v>0</v>
      </c>
      <c r="L19" s="466">
        <v>0</v>
      </c>
    </row>
    <row r="20" spans="1:12" x14ac:dyDescent="0.2">
      <c r="A20" s="1523" t="s">
        <v>762</v>
      </c>
      <c r="B20" s="601" t="s">
        <v>749</v>
      </c>
      <c r="C20" s="476"/>
      <c r="D20" s="476"/>
      <c r="E20" s="476"/>
      <c r="F20" s="476"/>
      <c r="G20" s="476"/>
      <c r="H20" s="467">
        <v>0</v>
      </c>
      <c r="I20" s="615"/>
      <c r="J20" s="475"/>
      <c r="K20" s="1689">
        <f t="shared" si="0"/>
        <v>0</v>
      </c>
      <c r="L20" s="466">
        <v>0</v>
      </c>
    </row>
    <row r="21" spans="1:12" x14ac:dyDescent="0.2">
      <c r="A21" s="1523" t="s">
        <v>763</v>
      </c>
      <c r="B21" s="601" t="s">
        <v>750</v>
      </c>
      <c r="C21" s="476"/>
      <c r="D21" s="476"/>
      <c r="E21" s="476"/>
      <c r="F21" s="476"/>
      <c r="G21" s="476"/>
      <c r="H21" s="474">
        <v>0</v>
      </c>
      <c r="I21" s="615"/>
      <c r="J21" s="476"/>
      <c r="K21" s="1689">
        <f t="shared" si="0"/>
        <v>0</v>
      </c>
      <c r="L21" s="466">
        <v>0</v>
      </c>
    </row>
    <row r="22" spans="1:12" x14ac:dyDescent="0.2">
      <c r="A22" s="1523" t="s">
        <v>764</v>
      </c>
      <c r="B22" s="601" t="s">
        <v>751</v>
      </c>
      <c r="C22" s="476"/>
      <c r="D22" s="476"/>
      <c r="E22" s="476"/>
      <c r="F22" s="476"/>
      <c r="G22" s="476"/>
      <c r="H22" s="474">
        <v>697592</v>
      </c>
      <c r="I22" s="615"/>
      <c r="J22" s="476"/>
      <c r="K22" s="1689">
        <f t="shared" si="0"/>
        <v>697592</v>
      </c>
      <c r="L22" s="466">
        <v>800000</v>
      </c>
    </row>
    <row r="23" spans="1:12" x14ac:dyDescent="0.2">
      <c r="A23" s="1523" t="s">
        <v>765</v>
      </c>
      <c r="B23" s="601" t="s">
        <v>752</v>
      </c>
      <c r="C23" s="476"/>
      <c r="D23" s="476"/>
      <c r="E23" s="476"/>
      <c r="F23" s="476"/>
      <c r="G23" s="476"/>
      <c r="H23" s="474">
        <v>0</v>
      </c>
      <c r="I23" s="615"/>
      <c r="J23" s="476"/>
      <c r="K23" s="1689">
        <f t="shared" si="0"/>
        <v>0</v>
      </c>
      <c r="L23" s="466">
        <v>0</v>
      </c>
    </row>
    <row r="24" spans="1:12" ht="12.75" customHeight="1" x14ac:dyDescent="0.2">
      <c r="A24" s="1523" t="s">
        <v>766</v>
      </c>
      <c r="B24" s="601" t="s">
        <v>753</v>
      </c>
      <c r="C24" s="476"/>
      <c r="D24" s="476"/>
      <c r="E24" s="476"/>
      <c r="F24" s="476"/>
      <c r="G24" s="476"/>
      <c r="H24" s="474">
        <v>0</v>
      </c>
      <c r="I24" s="615"/>
      <c r="J24" s="476"/>
      <c r="K24" s="1689">
        <f t="shared" si="0"/>
        <v>0</v>
      </c>
      <c r="L24" s="466">
        <v>0</v>
      </c>
    </row>
    <row r="25" spans="1:12" ht="12.75" customHeight="1" x14ac:dyDescent="0.2">
      <c r="A25" s="1523" t="s">
        <v>835</v>
      </c>
      <c r="B25" s="601" t="s">
        <v>754</v>
      </c>
      <c r="C25" s="476"/>
      <c r="D25" s="476"/>
      <c r="E25" s="476"/>
      <c r="F25" s="476"/>
      <c r="G25" s="476"/>
      <c r="H25" s="474">
        <v>0</v>
      </c>
      <c r="I25" s="615"/>
      <c r="J25" s="476"/>
      <c r="K25" s="1689">
        <f t="shared" si="0"/>
        <v>0</v>
      </c>
      <c r="L25" s="466">
        <v>0</v>
      </c>
    </row>
    <row r="26" spans="1:12" x14ac:dyDescent="0.2">
      <c r="A26" s="1523" t="s">
        <v>643</v>
      </c>
      <c r="B26" s="601" t="s">
        <v>755</v>
      </c>
      <c r="C26" s="476"/>
      <c r="D26" s="476"/>
      <c r="E26" s="476"/>
      <c r="F26" s="476"/>
      <c r="G26" s="476"/>
      <c r="H26" s="474">
        <v>0</v>
      </c>
      <c r="I26" s="615"/>
      <c r="J26" s="476"/>
      <c r="K26" s="1689">
        <f t="shared" si="0"/>
        <v>0</v>
      </c>
      <c r="L26" s="466">
        <v>0</v>
      </c>
    </row>
    <row r="27" spans="1:12" x14ac:dyDescent="0.2">
      <c r="A27" s="1523" t="s">
        <v>644</v>
      </c>
      <c r="B27" s="601" t="s">
        <v>756</v>
      </c>
      <c r="C27" s="476"/>
      <c r="D27" s="476"/>
      <c r="E27" s="476"/>
      <c r="F27" s="476"/>
      <c r="G27" s="476"/>
      <c r="H27" s="474">
        <v>0</v>
      </c>
      <c r="I27" s="615"/>
      <c r="J27" s="476"/>
      <c r="K27" s="1689">
        <f t="shared" si="0"/>
        <v>0</v>
      </c>
      <c r="L27" s="466">
        <v>0</v>
      </c>
    </row>
    <row r="28" spans="1:12" x14ac:dyDescent="0.2">
      <c r="A28" s="1523" t="s">
        <v>152</v>
      </c>
      <c r="B28" s="601" t="s">
        <v>757</v>
      </c>
      <c r="C28" s="476"/>
      <c r="D28" s="476"/>
      <c r="E28" s="476"/>
      <c r="F28" s="476"/>
      <c r="G28" s="476"/>
      <c r="H28" s="474">
        <v>0</v>
      </c>
      <c r="I28" s="615"/>
      <c r="J28" s="476"/>
      <c r="K28" s="1689">
        <f t="shared" si="0"/>
        <v>0</v>
      </c>
      <c r="L28" s="466">
        <v>0</v>
      </c>
    </row>
    <row r="29" spans="1:12" x14ac:dyDescent="0.2">
      <c r="A29" s="1523" t="s">
        <v>153</v>
      </c>
      <c r="B29" s="601" t="s">
        <v>758</v>
      </c>
      <c r="C29" s="476"/>
      <c r="D29" s="476"/>
      <c r="E29" s="476"/>
      <c r="F29" s="476"/>
      <c r="G29" s="476"/>
      <c r="H29" s="474">
        <v>0</v>
      </c>
      <c r="I29" s="615"/>
      <c r="J29" s="476"/>
      <c r="K29" s="1689">
        <f t="shared" si="0"/>
        <v>0</v>
      </c>
      <c r="L29" s="466">
        <v>0</v>
      </c>
    </row>
    <row r="30" spans="1:12" x14ac:dyDescent="0.2">
      <c r="A30" s="1523" t="s">
        <v>154</v>
      </c>
      <c r="B30" s="601" t="s">
        <v>759</v>
      </c>
      <c r="C30" s="476"/>
      <c r="D30" s="476"/>
      <c r="E30" s="476"/>
      <c r="F30" s="476"/>
      <c r="G30" s="476"/>
      <c r="H30" s="474">
        <v>0</v>
      </c>
      <c r="I30" s="615"/>
      <c r="J30" s="476"/>
      <c r="K30" s="1689">
        <f t="shared" si="0"/>
        <v>0</v>
      </c>
      <c r="L30" s="466">
        <v>0</v>
      </c>
    </row>
    <row r="31" spans="1:12" x14ac:dyDescent="0.2">
      <c r="A31" s="1523" t="s">
        <v>155</v>
      </c>
      <c r="B31" s="601" t="s">
        <v>760</v>
      </c>
      <c r="C31" s="476"/>
      <c r="D31" s="476"/>
      <c r="E31" s="476"/>
      <c r="F31" s="476"/>
      <c r="G31" s="476"/>
      <c r="H31" s="474">
        <v>0</v>
      </c>
      <c r="I31" s="615"/>
      <c r="J31" s="476"/>
      <c r="K31" s="1689">
        <f t="shared" si="0"/>
        <v>0</v>
      </c>
      <c r="L31" s="466">
        <v>0</v>
      </c>
    </row>
    <row r="32" spans="1:12" x14ac:dyDescent="0.2">
      <c r="A32" s="1524" t="s">
        <v>1191</v>
      </c>
      <c r="B32" s="613" t="s">
        <v>761</v>
      </c>
      <c r="C32" s="476"/>
      <c r="D32" s="476"/>
      <c r="E32" s="476"/>
      <c r="F32" s="476"/>
      <c r="G32" s="476"/>
      <c r="H32" s="474">
        <v>0</v>
      </c>
      <c r="I32" s="615"/>
      <c r="J32" s="479"/>
      <c r="K32" s="1689">
        <f t="shared" si="0"/>
        <v>0</v>
      </c>
      <c r="L32" s="466">
        <v>0</v>
      </c>
    </row>
    <row r="33" spans="1:14" ht="12.75" customHeight="1" thickBot="1" x14ac:dyDescent="0.25">
      <c r="A33" s="1686" t="s">
        <v>1767</v>
      </c>
      <c r="B33" s="1687" t="s">
        <v>591</v>
      </c>
      <c r="C33" s="1688">
        <f>SUM(C5:C32)</f>
        <v>9718326</v>
      </c>
      <c r="D33" s="1688">
        <f t="shared" ref="D33:L33" si="1">SUM(D5:D32)</f>
        <v>3948636</v>
      </c>
      <c r="E33" s="1688">
        <f t="shared" si="1"/>
        <v>814235</v>
      </c>
      <c r="F33" s="1688">
        <f t="shared" si="1"/>
        <v>603842</v>
      </c>
      <c r="G33" s="1688">
        <f t="shared" si="1"/>
        <v>34394</v>
      </c>
      <c r="H33" s="1688">
        <f t="shared" si="1"/>
        <v>715367</v>
      </c>
      <c r="I33" s="1688">
        <f t="shared" si="1"/>
        <v>0</v>
      </c>
      <c r="J33" s="1688">
        <f t="shared" si="1"/>
        <v>0</v>
      </c>
      <c r="K33" s="1688">
        <f t="shared" si="1"/>
        <v>15834800</v>
      </c>
      <c r="L33" s="1688">
        <f t="shared" si="1"/>
        <v>16247162</v>
      </c>
    </row>
    <row r="34" spans="1:14" s="619" customFormat="1" ht="15.75" customHeight="1" thickTop="1" x14ac:dyDescent="0.2">
      <c r="A34" s="1626" t="s">
        <v>48</v>
      </c>
      <c r="B34" s="1627" t="s">
        <v>590</v>
      </c>
      <c r="C34" s="617"/>
      <c r="D34" s="617"/>
      <c r="E34" s="617"/>
      <c r="F34" s="617"/>
      <c r="G34" s="617"/>
      <c r="H34" s="617"/>
      <c r="I34" s="615"/>
      <c r="J34" s="615"/>
      <c r="K34" s="615"/>
      <c r="L34" s="615"/>
      <c r="M34" s="618"/>
      <c r="N34" s="618"/>
    </row>
    <row r="35" spans="1:14" s="619" customFormat="1" ht="15.75" customHeight="1" x14ac:dyDescent="0.2">
      <c r="A35" s="620" t="s">
        <v>612</v>
      </c>
      <c r="B35" s="621"/>
      <c r="C35" s="622"/>
      <c r="D35" s="622"/>
      <c r="E35" s="622"/>
      <c r="F35" s="622"/>
      <c r="G35" s="622"/>
      <c r="H35" s="622"/>
      <c r="I35" s="615"/>
      <c r="J35" s="615"/>
      <c r="K35" s="615"/>
      <c r="L35" s="615"/>
      <c r="M35" s="618"/>
      <c r="N35" s="618"/>
    </row>
    <row r="36" spans="1:14" x14ac:dyDescent="0.2">
      <c r="A36" s="1522" t="s">
        <v>1150</v>
      </c>
      <c r="B36" s="613">
        <v>2110</v>
      </c>
      <c r="C36" s="480">
        <v>263786</v>
      </c>
      <c r="D36" s="480">
        <v>97686</v>
      </c>
      <c r="E36" s="480">
        <v>0</v>
      </c>
      <c r="F36" s="480">
        <v>222</v>
      </c>
      <c r="G36" s="480">
        <v>0</v>
      </c>
      <c r="H36" s="480">
        <v>99</v>
      </c>
      <c r="I36" s="467">
        <v>0</v>
      </c>
      <c r="J36" s="467">
        <v>0</v>
      </c>
      <c r="K36" s="1689">
        <f t="shared" ref="K36:K41" si="2">SUM(C36:J36)</f>
        <v>361793</v>
      </c>
      <c r="L36" s="466">
        <v>368785</v>
      </c>
    </row>
    <row r="37" spans="1:14" x14ac:dyDescent="0.2">
      <c r="A37" s="1522" t="s">
        <v>1151</v>
      </c>
      <c r="B37" s="613">
        <v>2120</v>
      </c>
      <c r="C37" s="466">
        <v>713537</v>
      </c>
      <c r="D37" s="466">
        <v>293135</v>
      </c>
      <c r="E37" s="466">
        <v>564</v>
      </c>
      <c r="F37" s="466">
        <v>139626</v>
      </c>
      <c r="G37" s="466">
        <v>0</v>
      </c>
      <c r="H37" s="466">
        <v>0</v>
      </c>
      <c r="I37" s="467">
        <v>0</v>
      </c>
      <c r="J37" s="467">
        <v>0</v>
      </c>
      <c r="K37" s="1689">
        <f t="shared" si="2"/>
        <v>1146862</v>
      </c>
      <c r="L37" s="466">
        <v>1128839</v>
      </c>
    </row>
    <row r="38" spans="1:14" x14ac:dyDescent="0.2">
      <c r="A38" s="1522" t="s">
        <v>207</v>
      </c>
      <c r="B38" s="613">
        <v>2130</v>
      </c>
      <c r="C38" s="466">
        <v>135194</v>
      </c>
      <c r="D38" s="466">
        <v>80691</v>
      </c>
      <c r="E38" s="466">
        <v>161</v>
      </c>
      <c r="F38" s="466">
        <v>123</v>
      </c>
      <c r="G38" s="466">
        <v>0</v>
      </c>
      <c r="H38" s="466">
        <v>0</v>
      </c>
      <c r="I38" s="467">
        <v>0</v>
      </c>
      <c r="J38" s="467">
        <v>0</v>
      </c>
      <c r="K38" s="1689">
        <f t="shared" si="2"/>
        <v>216169</v>
      </c>
      <c r="L38" s="466">
        <v>254910</v>
      </c>
    </row>
    <row r="39" spans="1:14" x14ac:dyDescent="0.2">
      <c r="A39" s="1522" t="s">
        <v>208</v>
      </c>
      <c r="B39" s="613">
        <v>2140</v>
      </c>
      <c r="C39" s="466">
        <v>184808</v>
      </c>
      <c r="D39" s="466">
        <v>87628</v>
      </c>
      <c r="E39" s="466">
        <v>0</v>
      </c>
      <c r="F39" s="466">
        <v>0</v>
      </c>
      <c r="G39" s="466">
        <v>0</v>
      </c>
      <c r="H39" s="466">
        <v>350</v>
      </c>
      <c r="I39" s="467">
        <v>0</v>
      </c>
      <c r="J39" s="467">
        <v>0</v>
      </c>
      <c r="K39" s="1689">
        <f t="shared" si="2"/>
        <v>272786</v>
      </c>
      <c r="L39" s="466">
        <v>265950</v>
      </c>
    </row>
    <row r="40" spans="1:14" x14ac:dyDescent="0.2">
      <c r="A40" s="1522" t="s">
        <v>209</v>
      </c>
      <c r="B40" s="613">
        <v>2150</v>
      </c>
      <c r="C40" s="466">
        <v>0</v>
      </c>
      <c r="D40" s="466">
        <v>0</v>
      </c>
      <c r="E40" s="466">
        <v>0</v>
      </c>
      <c r="F40" s="466">
        <v>0</v>
      </c>
      <c r="G40" s="466">
        <v>0</v>
      </c>
      <c r="H40" s="466">
        <v>0</v>
      </c>
      <c r="I40" s="467">
        <v>0</v>
      </c>
      <c r="J40" s="467">
        <v>0</v>
      </c>
      <c r="K40" s="1689">
        <f t="shared" si="2"/>
        <v>0</v>
      </c>
      <c r="L40" s="466">
        <v>0</v>
      </c>
    </row>
    <row r="41" spans="1:14" x14ac:dyDescent="0.2">
      <c r="A41" s="1522" t="s">
        <v>1768</v>
      </c>
      <c r="B41" s="613">
        <v>2190</v>
      </c>
      <c r="C41" s="466">
        <v>0</v>
      </c>
      <c r="D41" s="466">
        <v>0</v>
      </c>
      <c r="E41" s="466">
        <v>0</v>
      </c>
      <c r="F41" s="466">
        <v>0</v>
      </c>
      <c r="G41" s="466">
        <v>0</v>
      </c>
      <c r="H41" s="466">
        <v>0</v>
      </c>
      <c r="I41" s="467">
        <v>0</v>
      </c>
      <c r="J41" s="467">
        <v>0</v>
      </c>
      <c r="K41" s="1689">
        <f t="shared" si="2"/>
        <v>0</v>
      </c>
      <c r="L41" s="466">
        <v>0</v>
      </c>
    </row>
    <row r="42" spans="1:14" ht="12.75" customHeight="1" thickBot="1" x14ac:dyDescent="0.25">
      <c r="A42" s="1686" t="s">
        <v>581</v>
      </c>
      <c r="B42" s="1687" t="s">
        <v>740</v>
      </c>
      <c r="C42" s="1688">
        <f>SUM(C36:C41)</f>
        <v>1297325</v>
      </c>
      <c r="D42" s="1688">
        <f t="shared" ref="D42:L42" si="3">SUM(D36:D41)</f>
        <v>559140</v>
      </c>
      <c r="E42" s="1688">
        <f t="shared" si="3"/>
        <v>725</v>
      </c>
      <c r="F42" s="1688">
        <f t="shared" si="3"/>
        <v>139971</v>
      </c>
      <c r="G42" s="1688">
        <f t="shared" si="3"/>
        <v>0</v>
      </c>
      <c r="H42" s="1688">
        <f t="shared" si="3"/>
        <v>449</v>
      </c>
      <c r="I42" s="1688">
        <f t="shared" si="3"/>
        <v>0</v>
      </c>
      <c r="J42" s="1688">
        <f t="shared" si="3"/>
        <v>0</v>
      </c>
      <c r="K42" s="1688">
        <f t="shared" si="3"/>
        <v>1997610</v>
      </c>
      <c r="L42" s="1688">
        <f t="shared" si="3"/>
        <v>2018484</v>
      </c>
    </row>
    <row r="43" spans="1:14" ht="15.75" customHeight="1" thickTop="1" x14ac:dyDescent="0.2">
      <c r="A43" s="623" t="s">
        <v>613</v>
      </c>
      <c r="B43" s="624"/>
      <c r="C43" s="625"/>
      <c r="D43" s="625"/>
      <c r="E43" s="625"/>
      <c r="F43" s="625"/>
      <c r="G43" s="625"/>
      <c r="H43" s="625"/>
      <c r="I43" s="615"/>
      <c r="J43" s="615"/>
      <c r="K43" s="625"/>
      <c r="L43" s="625"/>
    </row>
    <row r="44" spans="1:14" x14ac:dyDescent="0.2">
      <c r="A44" s="1522" t="s">
        <v>868</v>
      </c>
      <c r="B44" s="613">
        <v>2210</v>
      </c>
      <c r="C44" s="480">
        <v>6607</v>
      </c>
      <c r="D44" s="480">
        <v>956</v>
      </c>
      <c r="E44" s="480">
        <v>0</v>
      </c>
      <c r="F44" s="480">
        <v>1445</v>
      </c>
      <c r="G44" s="480">
        <v>0</v>
      </c>
      <c r="H44" s="480">
        <v>0</v>
      </c>
      <c r="I44" s="467">
        <v>0</v>
      </c>
      <c r="J44" s="467">
        <v>0</v>
      </c>
      <c r="K44" s="1690">
        <f>SUM(C44:J44)</f>
        <v>9008</v>
      </c>
      <c r="L44" s="480">
        <v>17600</v>
      </c>
    </row>
    <row r="45" spans="1:14" x14ac:dyDescent="0.2">
      <c r="A45" s="1522" t="s">
        <v>869</v>
      </c>
      <c r="B45" s="613">
        <v>2220</v>
      </c>
      <c r="C45" s="467">
        <v>130126</v>
      </c>
      <c r="D45" s="466">
        <v>25918</v>
      </c>
      <c r="E45" s="466">
        <v>0</v>
      </c>
      <c r="F45" s="466">
        <v>14474</v>
      </c>
      <c r="G45" s="466">
        <v>0</v>
      </c>
      <c r="H45" s="466">
        <v>197</v>
      </c>
      <c r="I45" s="467">
        <v>0</v>
      </c>
      <c r="J45" s="467">
        <v>0</v>
      </c>
      <c r="K45" s="1690">
        <f>SUM(C45:J45)</f>
        <v>170715</v>
      </c>
      <c r="L45" s="466">
        <v>177840</v>
      </c>
    </row>
    <row r="46" spans="1:14" x14ac:dyDescent="0.2">
      <c r="A46" s="1522" t="s">
        <v>870</v>
      </c>
      <c r="B46" s="613">
        <v>2230</v>
      </c>
      <c r="C46" s="467">
        <v>0</v>
      </c>
      <c r="D46" s="466">
        <v>0</v>
      </c>
      <c r="E46" s="466">
        <v>0</v>
      </c>
      <c r="F46" s="466">
        <v>0</v>
      </c>
      <c r="G46" s="466">
        <v>0</v>
      </c>
      <c r="H46" s="466">
        <v>0</v>
      </c>
      <c r="I46" s="467">
        <v>0</v>
      </c>
      <c r="J46" s="467">
        <v>0</v>
      </c>
      <c r="K46" s="1690">
        <f>SUM(C46:J46)</f>
        <v>0</v>
      </c>
      <c r="L46" s="466">
        <v>0</v>
      </c>
    </row>
    <row r="47" spans="1:14" ht="12.75" customHeight="1" thickBot="1" x14ac:dyDescent="0.25">
      <c r="A47" s="1686" t="s">
        <v>582</v>
      </c>
      <c r="B47" s="1687" t="s">
        <v>32</v>
      </c>
      <c r="C47" s="1688">
        <f>SUM(C44:C46)</f>
        <v>136733</v>
      </c>
      <c r="D47" s="1688">
        <f t="shared" ref="D47:K47" si="4">SUM(D44:D46)</f>
        <v>26874</v>
      </c>
      <c r="E47" s="1688">
        <f t="shared" si="4"/>
        <v>0</v>
      </c>
      <c r="F47" s="1688">
        <f t="shared" si="4"/>
        <v>15919</v>
      </c>
      <c r="G47" s="1688">
        <f t="shared" si="4"/>
        <v>0</v>
      </c>
      <c r="H47" s="1688">
        <f t="shared" si="4"/>
        <v>197</v>
      </c>
      <c r="I47" s="1688">
        <f t="shared" si="4"/>
        <v>0</v>
      </c>
      <c r="J47" s="1688">
        <f t="shared" si="4"/>
        <v>0</v>
      </c>
      <c r="K47" s="1688">
        <f t="shared" si="4"/>
        <v>179723</v>
      </c>
      <c r="L47" s="1688">
        <f>SUM(L44:L46)</f>
        <v>195440</v>
      </c>
    </row>
    <row r="48" spans="1:14" ht="15.75" customHeight="1" thickTop="1" x14ac:dyDescent="0.2">
      <c r="A48" s="623" t="s">
        <v>631</v>
      </c>
      <c r="B48" s="624"/>
      <c r="C48" s="625"/>
      <c r="D48" s="625"/>
      <c r="E48" s="625"/>
      <c r="F48" s="625"/>
      <c r="G48" s="625"/>
      <c r="H48" s="625"/>
      <c r="I48" s="615"/>
      <c r="J48" s="615"/>
      <c r="K48" s="625"/>
      <c r="L48" s="625"/>
    </row>
    <row r="49" spans="1:14" x14ac:dyDescent="0.2">
      <c r="A49" s="1522" t="s">
        <v>871</v>
      </c>
      <c r="B49" s="613">
        <v>2310</v>
      </c>
      <c r="C49" s="480">
        <v>0</v>
      </c>
      <c r="D49" s="480">
        <v>0</v>
      </c>
      <c r="E49" s="480">
        <v>256818</v>
      </c>
      <c r="F49" s="480">
        <v>1898</v>
      </c>
      <c r="G49" s="480">
        <v>0</v>
      </c>
      <c r="H49" s="480">
        <v>0</v>
      </c>
      <c r="I49" s="467">
        <v>0</v>
      </c>
      <c r="J49" s="467">
        <v>0</v>
      </c>
      <c r="K49" s="1690">
        <f>SUM(C49:J49)</f>
        <v>258716</v>
      </c>
      <c r="L49" s="466">
        <v>109150</v>
      </c>
    </row>
    <row r="50" spans="1:14" x14ac:dyDescent="0.2">
      <c r="A50" s="1522" t="s">
        <v>872</v>
      </c>
      <c r="B50" s="613">
        <v>2320</v>
      </c>
      <c r="C50" s="466">
        <v>467236</v>
      </c>
      <c r="D50" s="466">
        <v>163069</v>
      </c>
      <c r="E50" s="466">
        <v>25620</v>
      </c>
      <c r="F50" s="466">
        <v>4885</v>
      </c>
      <c r="G50" s="466">
        <v>0</v>
      </c>
      <c r="H50" s="466">
        <v>499</v>
      </c>
      <c r="I50" s="467">
        <v>0</v>
      </c>
      <c r="J50" s="467">
        <v>0</v>
      </c>
      <c r="K50" s="1690">
        <f>SUM(C50:J50)</f>
        <v>661309</v>
      </c>
      <c r="L50" s="466">
        <v>631550</v>
      </c>
    </row>
    <row r="51" spans="1:14" x14ac:dyDescent="0.2">
      <c r="A51" s="1522" t="s">
        <v>44</v>
      </c>
      <c r="B51" s="613">
        <v>2330</v>
      </c>
      <c r="C51" s="466">
        <v>0</v>
      </c>
      <c r="D51" s="466">
        <v>0</v>
      </c>
      <c r="E51" s="466">
        <v>0</v>
      </c>
      <c r="F51" s="466">
        <v>0</v>
      </c>
      <c r="G51" s="466">
        <v>0</v>
      </c>
      <c r="H51" s="466">
        <v>0</v>
      </c>
      <c r="I51" s="467">
        <v>0</v>
      </c>
      <c r="J51" s="467">
        <v>0</v>
      </c>
      <c r="K51" s="1690">
        <f>SUM(C51:J51)</f>
        <v>0</v>
      </c>
      <c r="L51" s="466">
        <v>0</v>
      </c>
    </row>
    <row r="52" spans="1:14" ht="22.5" x14ac:dyDescent="0.2">
      <c r="A52" s="1523" t="s">
        <v>316</v>
      </c>
      <c r="B52" s="626" t="s">
        <v>384</v>
      </c>
      <c r="C52" s="474">
        <v>0</v>
      </c>
      <c r="D52" s="474">
        <v>0</v>
      </c>
      <c r="E52" s="474">
        <v>0</v>
      </c>
      <c r="F52" s="474">
        <v>0</v>
      </c>
      <c r="G52" s="474">
        <v>0</v>
      </c>
      <c r="H52" s="474">
        <v>0</v>
      </c>
      <c r="I52" s="474">
        <v>0</v>
      </c>
      <c r="J52" s="474">
        <v>0</v>
      </c>
      <c r="K52" s="1690">
        <f>SUM(C52:J52)</f>
        <v>0</v>
      </c>
      <c r="L52" s="466">
        <v>0</v>
      </c>
    </row>
    <row r="53" spans="1:14" ht="12.75" customHeight="1" thickBot="1" x14ac:dyDescent="0.25">
      <c r="A53" s="1686" t="s">
        <v>741</v>
      </c>
      <c r="B53" s="1687" t="s">
        <v>33</v>
      </c>
      <c r="C53" s="1688">
        <f>SUM(C49:C52)</f>
        <v>467236</v>
      </c>
      <c r="D53" s="1688">
        <f t="shared" ref="D53:L53" si="5">SUM(D49:D52)</f>
        <v>163069</v>
      </c>
      <c r="E53" s="1688">
        <f t="shared" si="5"/>
        <v>282438</v>
      </c>
      <c r="F53" s="1688">
        <f t="shared" si="5"/>
        <v>6783</v>
      </c>
      <c r="G53" s="1688">
        <f t="shared" si="5"/>
        <v>0</v>
      </c>
      <c r="H53" s="1688">
        <f t="shared" si="5"/>
        <v>499</v>
      </c>
      <c r="I53" s="1688">
        <f t="shared" si="5"/>
        <v>0</v>
      </c>
      <c r="J53" s="1688">
        <f t="shared" si="5"/>
        <v>0</v>
      </c>
      <c r="K53" s="1688">
        <f t="shared" si="5"/>
        <v>920025</v>
      </c>
      <c r="L53" s="1688">
        <f t="shared" si="5"/>
        <v>740700</v>
      </c>
    </row>
    <row r="54" spans="1:14" ht="15.75" customHeight="1" thickTop="1" x14ac:dyDescent="0.2">
      <c r="A54" s="623" t="s">
        <v>632</v>
      </c>
      <c r="B54" s="624"/>
      <c r="C54" s="625"/>
      <c r="D54" s="625"/>
      <c r="E54" s="625"/>
      <c r="F54" s="625"/>
      <c r="G54" s="625"/>
      <c r="H54" s="625"/>
      <c r="I54" s="615"/>
      <c r="J54" s="615"/>
      <c r="K54" s="625"/>
      <c r="L54" s="625"/>
    </row>
    <row r="55" spans="1:14" x14ac:dyDescent="0.2">
      <c r="A55" s="1522" t="s">
        <v>1127</v>
      </c>
      <c r="B55" s="613">
        <v>2410</v>
      </c>
      <c r="C55" s="480">
        <v>764356</v>
      </c>
      <c r="D55" s="480">
        <v>413609</v>
      </c>
      <c r="E55" s="480">
        <v>3895</v>
      </c>
      <c r="F55" s="480">
        <v>3595</v>
      </c>
      <c r="G55" s="480">
        <v>0</v>
      </c>
      <c r="H55" s="480">
        <v>2165</v>
      </c>
      <c r="I55" s="467">
        <v>0</v>
      </c>
      <c r="J55" s="467">
        <v>0</v>
      </c>
      <c r="K55" s="1690">
        <f>SUM(C55:J55)</f>
        <v>1187620</v>
      </c>
      <c r="L55" s="480">
        <v>1235531</v>
      </c>
    </row>
    <row r="56" spans="1:14" ht="12.75" customHeight="1" x14ac:dyDescent="0.2">
      <c r="A56" s="1526" t="s">
        <v>394</v>
      </c>
      <c r="B56" s="627">
        <v>2490</v>
      </c>
      <c r="C56" s="466">
        <v>0</v>
      </c>
      <c r="D56" s="466">
        <v>0</v>
      </c>
      <c r="E56" s="466">
        <v>0</v>
      </c>
      <c r="F56" s="466">
        <v>0</v>
      </c>
      <c r="G56" s="466">
        <v>0</v>
      </c>
      <c r="H56" s="466">
        <v>0</v>
      </c>
      <c r="I56" s="467">
        <v>0</v>
      </c>
      <c r="J56" s="467">
        <v>0</v>
      </c>
      <c r="K56" s="1690">
        <f>SUM(C56:J56)</f>
        <v>0</v>
      </c>
      <c r="L56" s="466">
        <v>0</v>
      </c>
    </row>
    <row r="57" spans="1:14" s="343" customFormat="1" ht="12.75" customHeight="1" thickBot="1" x14ac:dyDescent="0.25">
      <c r="A57" s="1686" t="s">
        <v>281</v>
      </c>
      <c r="B57" s="1691" t="s">
        <v>34</v>
      </c>
      <c r="C57" s="1692">
        <f>SUM(C55:C56)</f>
        <v>764356</v>
      </c>
      <c r="D57" s="1692">
        <f t="shared" ref="D57:K57" si="6">SUM(D55:D56)</f>
        <v>413609</v>
      </c>
      <c r="E57" s="1692">
        <f t="shared" si="6"/>
        <v>3895</v>
      </c>
      <c r="F57" s="1692">
        <f t="shared" si="6"/>
        <v>3595</v>
      </c>
      <c r="G57" s="1692">
        <f t="shared" si="6"/>
        <v>0</v>
      </c>
      <c r="H57" s="1692">
        <f t="shared" si="6"/>
        <v>2165</v>
      </c>
      <c r="I57" s="1692">
        <f t="shared" si="6"/>
        <v>0</v>
      </c>
      <c r="J57" s="1692">
        <f t="shared" si="6"/>
        <v>0</v>
      </c>
      <c r="K57" s="1692">
        <f t="shared" si="6"/>
        <v>1187620</v>
      </c>
      <c r="L57" s="1688">
        <f>SUM(L55:L56)</f>
        <v>1235531</v>
      </c>
      <c r="M57" s="608"/>
      <c r="N57" s="608"/>
    </row>
    <row r="58" spans="1:14" s="343" customFormat="1" ht="15.75" customHeight="1" thickTop="1" x14ac:dyDescent="0.2">
      <c r="A58" s="623" t="s">
        <v>633</v>
      </c>
      <c r="B58" s="624"/>
      <c r="C58" s="628"/>
      <c r="D58" s="625"/>
      <c r="E58" s="625"/>
      <c r="F58" s="625"/>
      <c r="G58" s="625"/>
      <c r="H58" s="625"/>
      <c r="I58" s="615"/>
      <c r="J58" s="615"/>
      <c r="K58" s="625"/>
      <c r="L58" s="625"/>
      <c r="M58" s="608"/>
      <c r="N58" s="608"/>
    </row>
    <row r="59" spans="1:14" s="343" customFormat="1" x14ac:dyDescent="0.2">
      <c r="A59" s="1522" t="s">
        <v>1128</v>
      </c>
      <c r="B59" s="613">
        <v>2510</v>
      </c>
      <c r="C59" s="480">
        <v>0</v>
      </c>
      <c r="D59" s="480">
        <v>0</v>
      </c>
      <c r="E59" s="480">
        <v>0</v>
      </c>
      <c r="F59" s="480">
        <v>0</v>
      </c>
      <c r="G59" s="480">
        <v>0</v>
      </c>
      <c r="H59" s="480">
        <v>0</v>
      </c>
      <c r="I59" s="467">
        <v>0</v>
      </c>
      <c r="J59" s="467">
        <v>0</v>
      </c>
      <c r="K59" s="1690">
        <f t="shared" ref="K59:K64" si="7">SUM(C59:J59)</f>
        <v>0</v>
      </c>
      <c r="L59" s="480">
        <v>0</v>
      </c>
      <c r="M59" s="608"/>
      <c r="N59" s="608"/>
    </row>
    <row r="60" spans="1:14" s="343" customFormat="1" x14ac:dyDescent="0.2">
      <c r="A60" s="1522" t="s">
        <v>483</v>
      </c>
      <c r="B60" s="613">
        <v>2520</v>
      </c>
      <c r="C60" s="466">
        <v>103387</v>
      </c>
      <c r="D60" s="466">
        <v>61956</v>
      </c>
      <c r="E60" s="466">
        <v>206417</v>
      </c>
      <c r="F60" s="466">
        <v>629</v>
      </c>
      <c r="G60" s="466">
        <v>0</v>
      </c>
      <c r="H60" s="466">
        <v>0</v>
      </c>
      <c r="I60" s="467">
        <v>0</v>
      </c>
      <c r="J60" s="467">
        <v>0</v>
      </c>
      <c r="K60" s="1690">
        <f t="shared" si="7"/>
        <v>372389</v>
      </c>
      <c r="L60" s="466">
        <v>433500</v>
      </c>
      <c r="M60" s="608"/>
      <c r="N60" s="608"/>
    </row>
    <row r="61" spans="1:14" s="343" customFormat="1" x14ac:dyDescent="0.2">
      <c r="A61" s="1522" t="s">
        <v>206</v>
      </c>
      <c r="B61" s="613">
        <v>2540</v>
      </c>
      <c r="C61" s="467">
        <v>0</v>
      </c>
      <c r="D61" s="466">
        <v>0</v>
      </c>
      <c r="E61" s="466">
        <v>0</v>
      </c>
      <c r="F61" s="466">
        <v>0</v>
      </c>
      <c r="G61" s="466">
        <v>0</v>
      </c>
      <c r="H61" s="466">
        <v>0</v>
      </c>
      <c r="I61" s="467">
        <v>0</v>
      </c>
      <c r="J61" s="467">
        <v>0</v>
      </c>
      <c r="K61" s="1690">
        <f t="shared" si="7"/>
        <v>0</v>
      </c>
      <c r="L61" s="466">
        <v>0</v>
      </c>
      <c r="M61" s="608"/>
      <c r="N61" s="608"/>
    </row>
    <row r="62" spans="1:14" s="343" customFormat="1" x14ac:dyDescent="0.2">
      <c r="A62" s="1522" t="s">
        <v>1010</v>
      </c>
      <c r="B62" s="613">
        <v>2550</v>
      </c>
      <c r="C62" s="467">
        <v>0</v>
      </c>
      <c r="D62" s="466">
        <v>0</v>
      </c>
      <c r="E62" s="466">
        <v>0</v>
      </c>
      <c r="F62" s="466">
        <v>0</v>
      </c>
      <c r="G62" s="466">
        <v>0</v>
      </c>
      <c r="H62" s="466">
        <v>0</v>
      </c>
      <c r="I62" s="467">
        <v>0</v>
      </c>
      <c r="J62" s="467">
        <v>0</v>
      </c>
      <c r="K62" s="1690">
        <f t="shared" si="7"/>
        <v>0</v>
      </c>
      <c r="L62" s="466">
        <v>0</v>
      </c>
      <c r="M62" s="608"/>
      <c r="N62" s="608"/>
    </row>
    <row r="63" spans="1:14" s="608" customFormat="1" x14ac:dyDescent="0.2">
      <c r="A63" s="1522" t="s">
        <v>102</v>
      </c>
      <c r="B63" s="613">
        <v>2560</v>
      </c>
      <c r="C63" s="466">
        <v>245580</v>
      </c>
      <c r="D63" s="466">
        <v>116295</v>
      </c>
      <c r="E63" s="466">
        <v>1669</v>
      </c>
      <c r="F63" s="466">
        <v>394859</v>
      </c>
      <c r="G63" s="466">
        <v>1489</v>
      </c>
      <c r="H63" s="466">
        <v>0</v>
      </c>
      <c r="I63" s="467">
        <v>1787</v>
      </c>
      <c r="J63" s="467">
        <v>0</v>
      </c>
      <c r="K63" s="1690">
        <f t="shared" si="7"/>
        <v>761679</v>
      </c>
      <c r="L63" s="466">
        <v>798961</v>
      </c>
    </row>
    <row r="64" spans="1:14" s="608" customFormat="1" x14ac:dyDescent="0.2">
      <c r="A64" s="1527" t="s">
        <v>103</v>
      </c>
      <c r="B64" s="629">
        <v>2570</v>
      </c>
      <c r="C64" s="480">
        <v>0</v>
      </c>
      <c r="D64" s="480">
        <v>0</v>
      </c>
      <c r="E64" s="480">
        <v>24755</v>
      </c>
      <c r="F64" s="480">
        <v>0</v>
      </c>
      <c r="G64" s="480">
        <v>0</v>
      </c>
      <c r="H64" s="480">
        <v>0</v>
      </c>
      <c r="I64" s="467">
        <v>0</v>
      </c>
      <c r="J64" s="467">
        <v>0</v>
      </c>
      <c r="K64" s="1690">
        <f t="shared" si="7"/>
        <v>24755</v>
      </c>
      <c r="L64" s="480">
        <v>31000</v>
      </c>
    </row>
    <row r="65" spans="1:14" s="343" customFormat="1" ht="12.75" customHeight="1" thickBot="1" x14ac:dyDescent="0.25">
      <c r="A65" s="1686" t="s">
        <v>743</v>
      </c>
      <c r="B65" s="1687" t="s">
        <v>35</v>
      </c>
      <c r="C65" s="1688">
        <f>SUM(C59:C64)</f>
        <v>348967</v>
      </c>
      <c r="D65" s="1688">
        <f t="shared" ref="D65:L65" si="8">SUM(D59:D64)</f>
        <v>178251</v>
      </c>
      <c r="E65" s="1688">
        <f t="shared" si="8"/>
        <v>232841</v>
      </c>
      <c r="F65" s="1688">
        <f t="shared" si="8"/>
        <v>395488</v>
      </c>
      <c r="G65" s="1688">
        <f t="shared" si="8"/>
        <v>1489</v>
      </c>
      <c r="H65" s="1688">
        <f t="shared" si="8"/>
        <v>0</v>
      </c>
      <c r="I65" s="1688">
        <f t="shared" si="8"/>
        <v>1787</v>
      </c>
      <c r="J65" s="1688">
        <f t="shared" si="8"/>
        <v>0</v>
      </c>
      <c r="K65" s="1688">
        <f t="shared" si="8"/>
        <v>1158823</v>
      </c>
      <c r="L65" s="1688">
        <f t="shared" si="8"/>
        <v>1263461</v>
      </c>
      <c r="M65" s="608"/>
      <c r="N65" s="608"/>
    </row>
    <row r="66" spans="1:14" s="343" customFormat="1" ht="15.75" customHeight="1" thickTop="1" x14ac:dyDescent="0.2">
      <c r="A66" s="623" t="s">
        <v>634</v>
      </c>
      <c r="B66" s="630"/>
      <c r="C66" s="615"/>
      <c r="D66" s="615"/>
      <c r="E66" s="615"/>
      <c r="F66" s="615"/>
      <c r="G66" s="615"/>
      <c r="H66" s="615"/>
      <c r="I66" s="615"/>
      <c r="J66" s="615"/>
      <c r="K66" s="625"/>
      <c r="L66" s="625"/>
      <c r="M66" s="608"/>
      <c r="N66" s="608"/>
    </row>
    <row r="67" spans="1:14" s="343" customFormat="1" x14ac:dyDescent="0.2">
      <c r="A67" s="1522" t="s">
        <v>1120</v>
      </c>
      <c r="B67" s="613">
        <v>2610</v>
      </c>
      <c r="C67" s="466">
        <v>0</v>
      </c>
      <c r="D67" s="466">
        <v>0</v>
      </c>
      <c r="E67" s="466">
        <v>0</v>
      </c>
      <c r="F67" s="466">
        <v>0</v>
      </c>
      <c r="G67" s="466">
        <v>0</v>
      </c>
      <c r="H67" s="466">
        <v>0</v>
      </c>
      <c r="I67" s="467">
        <v>0</v>
      </c>
      <c r="J67" s="467">
        <v>0</v>
      </c>
      <c r="K67" s="1690">
        <f>SUM(C67:J67)</f>
        <v>0</v>
      </c>
      <c r="L67" s="480">
        <v>0</v>
      </c>
      <c r="M67" s="608"/>
      <c r="N67" s="608"/>
    </row>
    <row r="68" spans="1:14" s="343" customFormat="1" x14ac:dyDescent="0.2">
      <c r="A68" s="1522" t="s">
        <v>628</v>
      </c>
      <c r="B68" s="613">
        <v>2620</v>
      </c>
      <c r="C68" s="466">
        <v>0</v>
      </c>
      <c r="D68" s="466">
        <v>0</v>
      </c>
      <c r="E68" s="466">
        <v>0</v>
      </c>
      <c r="F68" s="466">
        <v>0</v>
      </c>
      <c r="G68" s="466">
        <v>0</v>
      </c>
      <c r="H68" s="466">
        <v>0</v>
      </c>
      <c r="I68" s="467">
        <v>0</v>
      </c>
      <c r="J68" s="467">
        <v>0</v>
      </c>
      <c r="K68" s="1690">
        <f>SUM(C68:J68)</f>
        <v>0</v>
      </c>
      <c r="L68" s="466">
        <v>0</v>
      </c>
      <c r="M68" s="608"/>
      <c r="N68" s="608"/>
    </row>
    <row r="69" spans="1:14" s="343" customFormat="1" x14ac:dyDescent="0.2">
      <c r="A69" s="1522" t="s">
        <v>1121</v>
      </c>
      <c r="B69" s="613">
        <v>2630</v>
      </c>
      <c r="C69" s="466">
        <v>0</v>
      </c>
      <c r="D69" s="466">
        <v>0</v>
      </c>
      <c r="E69" s="466">
        <v>10202</v>
      </c>
      <c r="F69" s="466">
        <v>0</v>
      </c>
      <c r="G69" s="466">
        <v>0</v>
      </c>
      <c r="H69" s="466">
        <v>0</v>
      </c>
      <c r="I69" s="467">
        <v>0</v>
      </c>
      <c r="J69" s="467">
        <v>0</v>
      </c>
      <c r="K69" s="1690">
        <f>SUM(C69:J69)</f>
        <v>10202</v>
      </c>
      <c r="L69" s="466">
        <v>18000</v>
      </c>
      <c r="M69" s="608"/>
      <c r="N69" s="608"/>
    </row>
    <row r="70" spans="1:14" s="343" customFormat="1" x14ac:dyDescent="0.2">
      <c r="A70" s="1522" t="s">
        <v>423</v>
      </c>
      <c r="B70" s="613">
        <v>2640</v>
      </c>
      <c r="C70" s="466">
        <v>0</v>
      </c>
      <c r="D70" s="466">
        <v>0</v>
      </c>
      <c r="E70" s="466">
        <v>0</v>
      </c>
      <c r="F70" s="466">
        <v>0</v>
      </c>
      <c r="G70" s="466">
        <v>0</v>
      </c>
      <c r="H70" s="466">
        <v>0</v>
      </c>
      <c r="I70" s="467">
        <v>0</v>
      </c>
      <c r="J70" s="467">
        <v>0</v>
      </c>
      <c r="K70" s="1690">
        <f>SUM(C70:J70)</f>
        <v>0</v>
      </c>
      <c r="L70" s="466">
        <v>0</v>
      </c>
      <c r="M70" s="608"/>
      <c r="N70" s="608"/>
    </row>
    <row r="71" spans="1:14" s="343" customFormat="1" x14ac:dyDescent="0.2">
      <c r="A71" s="1522" t="s">
        <v>424</v>
      </c>
      <c r="B71" s="613">
        <v>2660</v>
      </c>
      <c r="C71" s="466">
        <v>196194</v>
      </c>
      <c r="D71" s="466">
        <v>65399</v>
      </c>
      <c r="E71" s="466">
        <v>12542</v>
      </c>
      <c r="F71" s="466">
        <v>140469</v>
      </c>
      <c r="G71" s="466">
        <v>21338</v>
      </c>
      <c r="H71" s="466">
        <v>0</v>
      </c>
      <c r="I71" s="467">
        <v>0</v>
      </c>
      <c r="J71" s="467">
        <v>0</v>
      </c>
      <c r="K71" s="1690">
        <f>SUM(C71:J71)</f>
        <v>435942</v>
      </c>
      <c r="L71" s="466">
        <v>581500</v>
      </c>
      <c r="M71" s="608"/>
      <c r="N71" s="608"/>
    </row>
    <row r="72" spans="1:14" s="343" customFormat="1" ht="12.75" customHeight="1" thickBot="1" x14ac:dyDescent="0.25">
      <c r="A72" s="1686" t="s">
        <v>37</v>
      </c>
      <c r="B72" s="1693" t="s">
        <v>36</v>
      </c>
      <c r="C72" s="1688">
        <f>SUM(C67:C71)</f>
        <v>196194</v>
      </c>
      <c r="D72" s="1688">
        <f t="shared" ref="D72:K72" si="9">SUM(D67:D71)</f>
        <v>65399</v>
      </c>
      <c r="E72" s="1688">
        <f t="shared" si="9"/>
        <v>22744</v>
      </c>
      <c r="F72" s="1688">
        <f t="shared" si="9"/>
        <v>140469</v>
      </c>
      <c r="G72" s="1688">
        <f t="shared" si="9"/>
        <v>21338</v>
      </c>
      <c r="H72" s="1688">
        <f t="shared" si="9"/>
        <v>0</v>
      </c>
      <c r="I72" s="1688">
        <f t="shared" si="9"/>
        <v>0</v>
      </c>
      <c r="J72" s="1688">
        <f t="shared" si="9"/>
        <v>0</v>
      </c>
      <c r="K72" s="1688">
        <f t="shared" si="9"/>
        <v>446144</v>
      </c>
      <c r="L72" s="1688">
        <f>SUM(L67:L71)</f>
        <v>599500</v>
      </c>
      <c r="M72" s="608"/>
      <c r="N72" s="608"/>
    </row>
    <row r="73" spans="1:14" s="343" customFormat="1" ht="14.25" thickTop="1" thickBot="1" x14ac:dyDescent="0.25">
      <c r="A73" s="1528" t="s">
        <v>1037</v>
      </c>
      <c r="B73" s="631" t="s">
        <v>595</v>
      </c>
      <c r="C73" s="571">
        <v>0</v>
      </c>
      <c r="D73" s="571">
        <v>0</v>
      </c>
      <c r="E73" s="571">
        <v>0</v>
      </c>
      <c r="F73" s="571">
        <v>0</v>
      </c>
      <c r="G73" s="571">
        <v>0</v>
      </c>
      <c r="H73" s="571">
        <v>0</v>
      </c>
      <c r="I73" s="529">
        <v>0</v>
      </c>
      <c r="J73" s="529">
        <v>0</v>
      </c>
      <c r="K73" s="1688">
        <f>SUM(C73:J73)</f>
        <v>0</v>
      </c>
      <c r="L73" s="574">
        <v>0</v>
      </c>
      <c r="M73" s="608"/>
      <c r="N73" s="608"/>
    </row>
    <row r="74" spans="1:14" ht="12.75" customHeight="1" thickTop="1" thickBot="1" x14ac:dyDescent="0.25">
      <c r="A74" s="1686" t="s">
        <v>865</v>
      </c>
      <c r="B74" s="1694">
        <v>2000</v>
      </c>
      <c r="C74" s="1695">
        <f>SUM(C42,C47,C53,C57,C65,C72,C73)</f>
        <v>3210811</v>
      </c>
      <c r="D74" s="1695">
        <f t="shared" ref="D74:K74" si="10">SUM(D42,D47,D53,D57,D65,D72,D73)</f>
        <v>1406342</v>
      </c>
      <c r="E74" s="1695">
        <f t="shared" si="10"/>
        <v>542643</v>
      </c>
      <c r="F74" s="1695">
        <f t="shared" si="10"/>
        <v>702225</v>
      </c>
      <c r="G74" s="1695">
        <f t="shared" si="10"/>
        <v>22827</v>
      </c>
      <c r="H74" s="1695">
        <f t="shared" si="10"/>
        <v>3310</v>
      </c>
      <c r="I74" s="1695">
        <f t="shared" si="10"/>
        <v>1787</v>
      </c>
      <c r="J74" s="1695">
        <f t="shared" si="10"/>
        <v>0</v>
      </c>
      <c r="K74" s="1695">
        <f t="shared" si="10"/>
        <v>5889945</v>
      </c>
      <c r="L74" s="1695">
        <f>SUM(L42,L47,L53,L57,L65,L72,L73)</f>
        <v>6053116</v>
      </c>
    </row>
    <row r="75" spans="1:14" s="259" customFormat="1" ht="15.75" customHeight="1" thickTop="1" thickBot="1" x14ac:dyDescent="0.25">
      <c r="A75" s="1628" t="s">
        <v>49</v>
      </c>
      <c r="B75" s="1629" t="s">
        <v>596</v>
      </c>
      <c r="C75" s="571">
        <v>0</v>
      </c>
      <c r="D75" s="571">
        <v>0</v>
      </c>
      <c r="E75" s="571">
        <v>0</v>
      </c>
      <c r="F75" s="571">
        <v>0</v>
      </c>
      <c r="G75" s="571">
        <v>0</v>
      </c>
      <c r="H75" s="571">
        <v>0</v>
      </c>
      <c r="I75" s="529">
        <v>0</v>
      </c>
      <c r="J75" s="529">
        <v>0</v>
      </c>
      <c r="K75" s="1688">
        <f>SUM(C75:J75)</f>
        <v>0</v>
      </c>
      <c r="L75" s="574">
        <v>0</v>
      </c>
      <c r="M75" s="612"/>
      <c r="N75" s="612"/>
    </row>
    <row r="76" spans="1:14" s="632" customFormat="1" ht="15.75" customHeight="1" thickTop="1" x14ac:dyDescent="0.2">
      <c r="A76" s="1630" t="s">
        <v>383</v>
      </c>
      <c r="B76" s="1627" t="s">
        <v>915</v>
      </c>
      <c r="C76" s="617"/>
      <c r="D76" s="617"/>
      <c r="E76" s="615"/>
      <c r="F76" s="617"/>
      <c r="G76" s="617"/>
      <c r="H76" s="615"/>
      <c r="I76" s="615"/>
      <c r="J76" s="615"/>
      <c r="K76" s="615"/>
      <c r="L76" s="615"/>
      <c r="M76" s="184"/>
      <c r="N76" s="184"/>
    </row>
    <row r="77" spans="1:14" s="259" customFormat="1" ht="15.75" customHeight="1" x14ac:dyDescent="0.2">
      <c r="A77" s="620" t="s">
        <v>635</v>
      </c>
      <c r="B77" s="621"/>
      <c r="C77" s="615"/>
      <c r="D77" s="615"/>
      <c r="E77" s="622"/>
      <c r="F77" s="615"/>
      <c r="G77" s="615"/>
      <c r="H77" s="622"/>
      <c r="I77" s="615"/>
      <c r="J77" s="615"/>
      <c r="K77" s="622"/>
      <c r="L77" s="622"/>
      <c r="M77" s="612"/>
      <c r="N77" s="612"/>
    </row>
    <row r="78" spans="1:14" x14ac:dyDescent="0.2">
      <c r="A78" s="1522" t="s">
        <v>517</v>
      </c>
      <c r="B78" s="613">
        <v>4110</v>
      </c>
      <c r="C78" s="615"/>
      <c r="D78" s="615"/>
      <c r="E78" s="480">
        <v>0</v>
      </c>
      <c r="F78" s="615"/>
      <c r="G78" s="615"/>
      <c r="H78" s="633">
        <v>0</v>
      </c>
      <c r="I78" s="476"/>
      <c r="J78" s="476"/>
      <c r="K78" s="1689">
        <f t="shared" ref="K78:K83" si="11">SUM(C78:J78)</f>
        <v>0</v>
      </c>
      <c r="L78" s="480">
        <v>0</v>
      </c>
    </row>
    <row r="79" spans="1:14" x14ac:dyDescent="0.2">
      <c r="A79" s="1522" t="s">
        <v>322</v>
      </c>
      <c r="B79" s="613">
        <v>4120</v>
      </c>
      <c r="C79" s="615"/>
      <c r="D79" s="615"/>
      <c r="E79" s="466">
        <v>0</v>
      </c>
      <c r="F79" s="615"/>
      <c r="G79" s="615"/>
      <c r="H79" s="466">
        <v>0</v>
      </c>
      <c r="I79" s="476"/>
      <c r="J79" s="476"/>
      <c r="K79" s="1689">
        <f t="shared" si="11"/>
        <v>0</v>
      </c>
      <c r="L79" s="466">
        <v>0</v>
      </c>
    </row>
    <row r="80" spans="1:14" x14ac:dyDescent="0.2">
      <c r="A80" s="1522" t="s">
        <v>323</v>
      </c>
      <c r="B80" s="613">
        <v>4130</v>
      </c>
      <c r="C80" s="615"/>
      <c r="D80" s="615"/>
      <c r="E80" s="466">
        <v>0</v>
      </c>
      <c r="F80" s="615"/>
      <c r="G80" s="615"/>
      <c r="H80" s="466">
        <v>0</v>
      </c>
      <c r="I80" s="476"/>
      <c r="J80" s="476"/>
      <c r="K80" s="1689">
        <f t="shared" si="11"/>
        <v>0</v>
      </c>
      <c r="L80" s="466">
        <v>0</v>
      </c>
    </row>
    <row r="81" spans="1:12" x14ac:dyDescent="0.2">
      <c r="A81" s="1522" t="s">
        <v>721</v>
      </c>
      <c r="B81" s="613">
        <v>4140</v>
      </c>
      <c r="C81" s="615"/>
      <c r="D81" s="615"/>
      <c r="E81" s="466">
        <v>0</v>
      </c>
      <c r="F81" s="615"/>
      <c r="G81" s="615"/>
      <c r="H81" s="466">
        <v>0</v>
      </c>
      <c r="I81" s="476"/>
      <c r="J81" s="476"/>
      <c r="K81" s="1689">
        <f t="shared" si="11"/>
        <v>0</v>
      </c>
      <c r="L81" s="466">
        <v>0</v>
      </c>
    </row>
    <row r="82" spans="1:12" x14ac:dyDescent="0.2">
      <c r="A82" s="1522" t="s">
        <v>88</v>
      </c>
      <c r="B82" s="613">
        <v>4170</v>
      </c>
      <c r="C82" s="615"/>
      <c r="D82" s="615"/>
      <c r="E82" s="466">
        <v>0</v>
      </c>
      <c r="F82" s="615"/>
      <c r="G82" s="615"/>
      <c r="H82" s="466">
        <v>0</v>
      </c>
      <c r="I82" s="476"/>
      <c r="J82" s="476"/>
      <c r="K82" s="1689">
        <f t="shared" si="11"/>
        <v>0</v>
      </c>
      <c r="L82" s="466">
        <v>0</v>
      </c>
    </row>
    <row r="83" spans="1:12" x14ac:dyDescent="0.2">
      <c r="A83" s="1526" t="s">
        <v>722</v>
      </c>
      <c r="B83" s="627">
        <v>4190</v>
      </c>
      <c r="C83" s="615"/>
      <c r="D83" s="615"/>
      <c r="E83" s="466">
        <v>0</v>
      </c>
      <c r="F83" s="615"/>
      <c r="G83" s="615"/>
      <c r="H83" s="466">
        <v>0</v>
      </c>
      <c r="I83" s="476"/>
      <c r="J83" s="476"/>
      <c r="K83" s="1689">
        <f t="shared" si="11"/>
        <v>0</v>
      </c>
      <c r="L83" s="466">
        <v>0</v>
      </c>
    </row>
    <row r="84" spans="1:12" ht="13.5" thickBot="1" x14ac:dyDescent="0.25">
      <c r="A84" s="1686" t="s">
        <v>1565</v>
      </c>
      <c r="B84" s="1696">
        <v>4100</v>
      </c>
      <c r="C84" s="615"/>
      <c r="D84" s="615"/>
      <c r="E84" s="1688">
        <f>SUM(E78:E83)</f>
        <v>0</v>
      </c>
      <c r="F84" s="615"/>
      <c r="G84" s="615"/>
      <c r="H84" s="1688">
        <f>SUM(H78:H83)</f>
        <v>0</v>
      </c>
      <c r="I84" s="476"/>
      <c r="J84" s="476"/>
      <c r="K84" s="1688">
        <f>SUM(K78:K83)</f>
        <v>0</v>
      </c>
      <c r="L84" s="1688">
        <f>SUM(L78:L83)</f>
        <v>0</v>
      </c>
    </row>
    <row r="85" spans="1:12" ht="12.75" customHeight="1" thickTop="1" thickBot="1" x14ac:dyDescent="0.25">
      <c r="A85" s="1529" t="s">
        <v>273</v>
      </c>
      <c r="B85" s="634">
        <v>4210</v>
      </c>
      <c r="C85" s="615"/>
      <c r="D85" s="615"/>
      <c r="E85" s="635"/>
      <c r="F85" s="615"/>
      <c r="G85" s="615"/>
      <c r="H85" s="533">
        <v>174752</v>
      </c>
      <c r="I85" s="476"/>
      <c r="J85" s="476"/>
      <c r="K85" s="1695">
        <f>H85</f>
        <v>174752</v>
      </c>
      <c r="L85" s="528">
        <v>150000</v>
      </c>
    </row>
    <row r="86" spans="1:12" ht="12.75" customHeight="1" thickTop="1" thickBot="1" x14ac:dyDescent="0.25">
      <c r="A86" s="1530" t="s">
        <v>723</v>
      </c>
      <c r="B86" s="636">
        <v>4220</v>
      </c>
      <c r="C86" s="615"/>
      <c r="D86" s="615"/>
      <c r="E86" s="637"/>
      <c r="F86" s="615"/>
      <c r="G86" s="615"/>
      <c r="H86" s="467">
        <v>0</v>
      </c>
      <c r="I86" s="476"/>
      <c r="J86" s="476"/>
      <c r="K86" s="1695">
        <f t="shared" ref="K86:K98" si="12">H86</f>
        <v>0</v>
      </c>
      <c r="L86" s="528">
        <v>0</v>
      </c>
    </row>
    <row r="87" spans="1:12" ht="14.25" thickTop="1" thickBot="1" x14ac:dyDescent="0.25">
      <c r="A87" s="1531" t="s">
        <v>724</v>
      </c>
      <c r="B87" s="638">
        <v>4230</v>
      </c>
      <c r="C87" s="615"/>
      <c r="D87" s="615"/>
      <c r="E87" s="637"/>
      <c r="F87" s="615"/>
      <c r="G87" s="615"/>
      <c r="H87" s="467">
        <v>0</v>
      </c>
      <c r="I87" s="476"/>
      <c r="J87" s="476"/>
      <c r="K87" s="1695">
        <f t="shared" si="12"/>
        <v>0</v>
      </c>
      <c r="L87" s="528">
        <v>0</v>
      </c>
    </row>
    <row r="88" spans="1:12" ht="12.75" customHeight="1" thickTop="1" thickBot="1" x14ac:dyDescent="0.25">
      <c r="A88" s="1531" t="s">
        <v>789</v>
      </c>
      <c r="B88" s="638">
        <v>4240</v>
      </c>
      <c r="C88" s="615"/>
      <c r="D88" s="615"/>
      <c r="E88" s="637"/>
      <c r="F88" s="615"/>
      <c r="G88" s="615"/>
      <c r="H88" s="467">
        <v>0</v>
      </c>
      <c r="I88" s="476"/>
      <c r="J88" s="476"/>
      <c r="K88" s="1695">
        <f t="shared" si="12"/>
        <v>0</v>
      </c>
      <c r="L88" s="528">
        <v>0</v>
      </c>
    </row>
    <row r="89" spans="1:12" ht="12.75" customHeight="1" thickTop="1" thickBot="1" x14ac:dyDescent="0.25">
      <c r="A89" s="1531" t="s">
        <v>725</v>
      </c>
      <c r="B89" s="638">
        <v>4270</v>
      </c>
      <c r="C89" s="615"/>
      <c r="D89" s="615"/>
      <c r="E89" s="637"/>
      <c r="F89" s="615"/>
      <c r="G89" s="615"/>
      <c r="H89" s="467">
        <v>0</v>
      </c>
      <c r="I89" s="476"/>
      <c r="J89" s="476"/>
      <c r="K89" s="1695">
        <f t="shared" si="12"/>
        <v>0</v>
      </c>
      <c r="L89" s="528">
        <v>0</v>
      </c>
    </row>
    <row r="90" spans="1:12" ht="12.75" customHeight="1" thickTop="1" thickBot="1" x14ac:dyDescent="0.25">
      <c r="A90" s="1531" t="s">
        <v>710</v>
      </c>
      <c r="B90" s="638">
        <v>4280</v>
      </c>
      <c r="C90" s="615"/>
      <c r="D90" s="615"/>
      <c r="E90" s="637"/>
      <c r="F90" s="615"/>
      <c r="G90" s="615"/>
      <c r="H90" s="467">
        <v>0</v>
      </c>
      <c r="I90" s="476"/>
      <c r="J90" s="476"/>
      <c r="K90" s="1695">
        <f t="shared" si="12"/>
        <v>0</v>
      </c>
      <c r="L90" s="528">
        <v>0</v>
      </c>
    </row>
    <row r="91" spans="1:12" ht="12.75" customHeight="1" thickTop="1" thickBot="1" x14ac:dyDescent="0.25">
      <c r="A91" s="1531" t="s">
        <v>711</v>
      </c>
      <c r="B91" s="638">
        <v>4290</v>
      </c>
      <c r="C91" s="615"/>
      <c r="D91" s="615"/>
      <c r="E91" s="637"/>
      <c r="F91" s="615"/>
      <c r="G91" s="615"/>
      <c r="H91" s="467">
        <v>0</v>
      </c>
      <c r="I91" s="476"/>
      <c r="J91" s="476"/>
      <c r="K91" s="1695">
        <f t="shared" si="12"/>
        <v>0</v>
      </c>
      <c r="L91" s="528">
        <v>0</v>
      </c>
    </row>
    <row r="92" spans="1:12" ht="14.25" thickTop="1" thickBot="1" x14ac:dyDescent="0.25">
      <c r="A92" s="1698" t="s">
        <v>1641</v>
      </c>
      <c r="B92" s="1696">
        <v>4200</v>
      </c>
      <c r="C92" s="615"/>
      <c r="D92" s="615"/>
      <c r="E92" s="637"/>
      <c r="F92" s="615"/>
      <c r="G92" s="615"/>
      <c r="H92" s="1688">
        <f>SUM(H85:H91)</f>
        <v>174752</v>
      </c>
      <c r="I92" s="476"/>
      <c r="J92" s="476"/>
      <c r="K92" s="1695">
        <f t="shared" si="12"/>
        <v>174752</v>
      </c>
      <c r="L92" s="1688">
        <f>SUM(L85:L91)</f>
        <v>150000</v>
      </c>
    </row>
    <row r="93" spans="1:12" ht="14.25" thickTop="1" thickBot="1" x14ac:dyDescent="0.25">
      <c r="A93" s="1530" t="s">
        <v>712</v>
      </c>
      <c r="B93" s="639">
        <v>4310</v>
      </c>
      <c r="C93" s="615"/>
      <c r="D93" s="615"/>
      <c r="E93" s="637"/>
      <c r="F93" s="615"/>
      <c r="G93" s="615"/>
      <c r="H93" s="640">
        <v>0</v>
      </c>
      <c r="I93" s="476"/>
      <c r="J93" s="476"/>
      <c r="K93" s="1695">
        <f t="shared" si="12"/>
        <v>0</v>
      </c>
      <c r="L93" s="530">
        <v>0</v>
      </c>
    </row>
    <row r="94" spans="1:12" ht="12.75" customHeight="1" thickTop="1" thickBot="1" x14ac:dyDescent="0.25">
      <c r="A94" s="1531" t="s">
        <v>713</v>
      </c>
      <c r="B94" s="638">
        <v>4320</v>
      </c>
      <c r="C94" s="615"/>
      <c r="D94" s="615"/>
      <c r="E94" s="637"/>
      <c r="F94" s="615"/>
      <c r="G94" s="615"/>
      <c r="H94" s="467">
        <v>0</v>
      </c>
      <c r="I94" s="476"/>
      <c r="J94" s="476"/>
      <c r="K94" s="1695">
        <f t="shared" si="12"/>
        <v>0</v>
      </c>
      <c r="L94" s="528">
        <v>0</v>
      </c>
    </row>
    <row r="95" spans="1:12" ht="15" customHeight="1" thickTop="1" thickBot="1" x14ac:dyDescent="0.25">
      <c r="A95" s="1531" t="s">
        <v>1568</v>
      </c>
      <c r="B95" s="638">
        <v>4330</v>
      </c>
      <c r="C95" s="615"/>
      <c r="D95" s="615"/>
      <c r="E95" s="637"/>
      <c r="F95" s="615"/>
      <c r="G95" s="615"/>
      <c r="H95" s="467">
        <v>0</v>
      </c>
      <c r="I95" s="476"/>
      <c r="J95" s="476"/>
      <c r="K95" s="1695">
        <f t="shared" si="12"/>
        <v>0</v>
      </c>
      <c r="L95" s="528">
        <v>0</v>
      </c>
    </row>
    <row r="96" spans="1:12" ht="14.25" thickTop="1" thickBot="1" x14ac:dyDescent="0.25">
      <c r="A96" s="1531" t="s">
        <v>714</v>
      </c>
      <c r="B96" s="638">
        <v>4340</v>
      </c>
      <c r="C96" s="615"/>
      <c r="D96" s="615"/>
      <c r="E96" s="637"/>
      <c r="F96" s="615"/>
      <c r="G96" s="615"/>
      <c r="H96" s="467">
        <v>0</v>
      </c>
      <c r="I96" s="476"/>
      <c r="J96" s="476"/>
      <c r="K96" s="1695">
        <f t="shared" si="12"/>
        <v>0</v>
      </c>
      <c r="L96" s="528">
        <v>0</v>
      </c>
    </row>
    <row r="97" spans="1:14" ht="12.75" customHeight="1" thickTop="1" thickBot="1" x14ac:dyDescent="0.25">
      <c r="A97" s="1531" t="s">
        <v>787</v>
      </c>
      <c r="B97" s="638">
        <v>4370</v>
      </c>
      <c r="C97" s="615"/>
      <c r="D97" s="615"/>
      <c r="E97" s="637"/>
      <c r="F97" s="615"/>
      <c r="G97" s="615"/>
      <c r="H97" s="467">
        <v>0</v>
      </c>
      <c r="I97" s="476"/>
      <c r="J97" s="476"/>
      <c r="K97" s="1695">
        <f t="shared" si="12"/>
        <v>0</v>
      </c>
      <c r="L97" s="528">
        <v>0</v>
      </c>
    </row>
    <row r="98" spans="1:14" ht="14.25" thickTop="1" thickBot="1" x14ac:dyDescent="0.25">
      <c r="A98" s="1531" t="s">
        <v>788</v>
      </c>
      <c r="B98" s="638">
        <v>4380</v>
      </c>
      <c r="C98" s="615"/>
      <c r="D98" s="615"/>
      <c r="E98" s="641"/>
      <c r="F98" s="615"/>
      <c r="G98" s="615"/>
      <c r="H98" s="467">
        <v>0</v>
      </c>
      <c r="I98" s="476"/>
      <c r="J98" s="476"/>
      <c r="K98" s="1695">
        <f t="shared" si="12"/>
        <v>0</v>
      </c>
      <c r="L98" s="528">
        <v>0</v>
      </c>
    </row>
    <row r="99" spans="1:14" ht="14.25" thickTop="1" thickBot="1" x14ac:dyDescent="0.25">
      <c r="A99" s="1531" t="s">
        <v>385</v>
      </c>
      <c r="B99" s="638">
        <v>4390</v>
      </c>
      <c r="C99" s="615"/>
      <c r="D99" s="615"/>
      <c r="E99" s="530">
        <v>0</v>
      </c>
      <c r="F99" s="615"/>
      <c r="G99" s="615"/>
      <c r="H99" s="467">
        <v>0</v>
      </c>
      <c r="I99" s="476"/>
      <c r="J99" s="476"/>
      <c r="K99" s="1695">
        <f>SUM(E99,H99)</f>
        <v>0</v>
      </c>
      <c r="L99" s="528">
        <v>0</v>
      </c>
    </row>
    <row r="100" spans="1:14" ht="14.25" thickTop="1" thickBot="1" x14ac:dyDescent="0.25">
      <c r="A100" s="1698" t="s">
        <v>1566</v>
      </c>
      <c r="B100" s="1699">
        <v>4300</v>
      </c>
      <c r="C100" s="615"/>
      <c r="D100" s="615"/>
      <c r="E100" s="1695">
        <f>SUM(E93:E99)</f>
        <v>0</v>
      </c>
      <c r="F100" s="615"/>
      <c r="G100" s="615"/>
      <c r="H100" s="1695">
        <f>SUM(H93:H99)</f>
        <v>0</v>
      </c>
      <c r="I100" s="476"/>
      <c r="J100" s="476"/>
      <c r="K100" s="1695">
        <f>SUM(K93:K99)</f>
        <v>0</v>
      </c>
      <c r="L100" s="1695">
        <f>SUM(L93:L99)</f>
        <v>0</v>
      </c>
    </row>
    <row r="101" spans="1:14" ht="12.75" customHeight="1" thickTop="1" thickBot="1" x14ac:dyDescent="0.25">
      <c r="A101" s="1528" t="s">
        <v>1569</v>
      </c>
      <c r="B101" s="642" t="s">
        <v>988</v>
      </c>
      <c r="C101" s="615"/>
      <c r="D101" s="615"/>
      <c r="E101" s="529">
        <v>0</v>
      </c>
      <c r="F101" s="615"/>
      <c r="G101" s="615"/>
      <c r="H101" s="529">
        <v>0</v>
      </c>
      <c r="I101" s="476"/>
      <c r="J101" s="476"/>
      <c r="K101" s="1697">
        <f>SUM(C101:J101)</f>
        <v>0</v>
      </c>
      <c r="L101" s="528">
        <v>0</v>
      </c>
    </row>
    <row r="102" spans="1:14" ht="12.75" customHeight="1" thickTop="1" thickBot="1" x14ac:dyDescent="0.25">
      <c r="A102" s="1686" t="s">
        <v>1567</v>
      </c>
      <c r="B102" s="1696">
        <v>4000</v>
      </c>
      <c r="C102" s="615"/>
      <c r="D102" s="615"/>
      <c r="E102" s="1695">
        <f>SUM(E84,E92,E100,E101)</f>
        <v>0</v>
      </c>
      <c r="F102" s="615"/>
      <c r="G102" s="615"/>
      <c r="H102" s="1695">
        <f>SUM(H84,H92,H100,H101)</f>
        <v>174752</v>
      </c>
      <c r="I102" s="476"/>
      <c r="J102" s="476"/>
      <c r="K102" s="1695">
        <f>SUM(K84,K92,K100,K101)</f>
        <v>174752</v>
      </c>
      <c r="L102" s="1695">
        <f>SUM(L84,L92,L100,L101)</f>
        <v>150000</v>
      </c>
    </row>
    <row r="103" spans="1:14" s="632" customFormat="1" ht="15.75" customHeight="1" thickTop="1" x14ac:dyDescent="0.2">
      <c r="A103" s="1630" t="s">
        <v>534</v>
      </c>
      <c r="B103" s="1627" t="s">
        <v>513</v>
      </c>
      <c r="C103" s="615"/>
      <c r="D103" s="615"/>
      <c r="E103" s="615"/>
      <c r="F103" s="615"/>
      <c r="G103" s="615"/>
      <c r="H103" s="617"/>
      <c r="I103" s="468"/>
      <c r="J103" s="468"/>
      <c r="K103" s="617"/>
      <c r="L103" s="617"/>
      <c r="M103" s="184"/>
      <c r="N103" s="184"/>
    </row>
    <row r="104" spans="1:14" s="645" customFormat="1" ht="15.75" customHeight="1" x14ac:dyDescent="0.2">
      <c r="A104" s="643" t="s">
        <v>636</v>
      </c>
      <c r="B104" s="644"/>
      <c r="C104" s="615"/>
      <c r="D104" s="615"/>
      <c r="E104" s="615"/>
      <c r="F104" s="615"/>
      <c r="G104" s="615"/>
      <c r="H104" s="622"/>
      <c r="I104" s="468"/>
      <c r="J104" s="468"/>
      <c r="K104" s="622"/>
      <c r="L104" s="622"/>
      <c r="M104" s="612"/>
      <c r="N104" s="612"/>
    </row>
    <row r="105" spans="1:14" s="596" customFormat="1" x14ac:dyDescent="0.2">
      <c r="A105" s="1522" t="s">
        <v>89</v>
      </c>
      <c r="B105" s="613">
        <v>5110</v>
      </c>
      <c r="C105" s="615"/>
      <c r="D105" s="615"/>
      <c r="E105" s="615"/>
      <c r="F105" s="615"/>
      <c r="G105" s="615"/>
      <c r="H105" s="480">
        <v>0</v>
      </c>
      <c r="I105" s="468"/>
      <c r="J105" s="468"/>
      <c r="K105" s="1689">
        <f>H105</f>
        <v>0</v>
      </c>
      <c r="L105" s="480">
        <v>0</v>
      </c>
      <c r="M105" s="210"/>
      <c r="N105" s="210"/>
    </row>
    <row r="106" spans="1:14" s="596" customFormat="1" x14ac:dyDescent="0.2">
      <c r="A106" s="1522" t="s">
        <v>90</v>
      </c>
      <c r="B106" s="613">
        <v>5120</v>
      </c>
      <c r="C106" s="615"/>
      <c r="D106" s="615"/>
      <c r="E106" s="615"/>
      <c r="F106" s="615"/>
      <c r="G106" s="615"/>
      <c r="H106" s="466">
        <v>0</v>
      </c>
      <c r="I106" s="468"/>
      <c r="J106" s="468"/>
      <c r="K106" s="1689">
        <f>H106</f>
        <v>0</v>
      </c>
      <c r="L106" s="466">
        <v>0</v>
      </c>
      <c r="M106" s="210"/>
      <c r="N106" s="210"/>
    </row>
    <row r="107" spans="1:14" s="596" customFormat="1" ht="12.75" customHeight="1" x14ac:dyDescent="0.2">
      <c r="A107" s="1522" t="s">
        <v>1232</v>
      </c>
      <c r="B107" s="613">
        <v>5130</v>
      </c>
      <c r="C107" s="615"/>
      <c r="D107" s="615"/>
      <c r="E107" s="615"/>
      <c r="F107" s="615"/>
      <c r="G107" s="615"/>
      <c r="H107" s="466">
        <v>0</v>
      </c>
      <c r="I107" s="468"/>
      <c r="J107" s="468"/>
      <c r="K107" s="1689">
        <f>H107</f>
        <v>0</v>
      </c>
      <c r="L107" s="466">
        <v>0</v>
      </c>
      <c r="M107" s="210"/>
      <c r="N107" s="210"/>
    </row>
    <row r="108" spans="1:14" s="596" customFormat="1" x14ac:dyDescent="0.2">
      <c r="A108" s="1522" t="s">
        <v>91</v>
      </c>
      <c r="B108" s="613" t="s">
        <v>610</v>
      </c>
      <c r="C108" s="615"/>
      <c r="D108" s="615"/>
      <c r="E108" s="615"/>
      <c r="F108" s="615"/>
      <c r="G108" s="615"/>
      <c r="H108" s="466">
        <v>0</v>
      </c>
      <c r="I108" s="468"/>
      <c r="J108" s="468"/>
      <c r="K108" s="1689">
        <f>H108</f>
        <v>0</v>
      </c>
      <c r="L108" s="466">
        <v>0</v>
      </c>
      <c r="M108" s="210"/>
      <c r="N108" s="210"/>
    </row>
    <row r="109" spans="1:14" s="596" customFormat="1" x14ac:dyDescent="0.2">
      <c r="A109" s="1522" t="s">
        <v>272</v>
      </c>
      <c r="B109" s="627">
        <v>5150</v>
      </c>
      <c r="C109" s="615"/>
      <c r="D109" s="615"/>
      <c r="E109" s="615"/>
      <c r="F109" s="615"/>
      <c r="G109" s="615"/>
      <c r="H109" s="466">
        <v>0</v>
      </c>
      <c r="I109" s="468"/>
      <c r="J109" s="468"/>
      <c r="K109" s="1689">
        <f>H109</f>
        <v>0</v>
      </c>
      <c r="L109" s="466">
        <v>0</v>
      </c>
      <c r="M109" s="210"/>
      <c r="N109" s="210"/>
    </row>
    <row r="110" spans="1:14" s="596" customFormat="1" ht="12.75" customHeight="1" thickBot="1" x14ac:dyDescent="0.25">
      <c r="A110" s="1686" t="s">
        <v>1164</v>
      </c>
      <c r="B110" s="1693" t="s">
        <v>742</v>
      </c>
      <c r="C110" s="615"/>
      <c r="D110" s="615"/>
      <c r="E110" s="615"/>
      <c r="F110" s="615"/>
      <c r="G110" s="615"/>
      <c r="H110" s="1688">
        <f>SUM(H105:H109)</f>
        <v>0</v>
      </c>
      <c r="I110" s="468"/>
      <c r="J110" s="468"/>
      <c r="K110" s="1688">
        <f>SUM(K105:K109)</f>
        <v>0</v>
      </c>
      <c r="L110" s="1688">
        <f>SUM(L105:L109)</f>
        <v>0</v>
      </c>
      <c r="M110" s="210"/>
      <c r="N110" s="210"/>
    </row>
    <row r="111" spans="1:14" s="596" customFormat="1" ht="12.75" customHeight="1" thickTop="1" thickBot="1" x14ac:dyDescent="0.25">
      <c r="A111" s="1532" t="s">
        <v>386</v>
      </c>
      <c r="B111" s="646" t="s">
        <v>38</v>
      </c>
      <c r="C111" s="615"/>
      <c r="D111" s="615"/>
      <c r="E111" s="615"/>
      <c r="F111" s="615"/>
      <c r="G111" s="615"/>
      <c r="H111" s="533">
        <v>0</v>
      </c>
      <c r="I111" s="468"/>
      <c r="J111" s="468"/>
      <c r="K111" s="1701">
        <f>H111</f>
        <v>0</v>
      </c>
      <c r="L111" s="530">
        <v>0</v>
      </c>
      <c r="M111" s="210"/>
      <c r="N111" s="210"/>
    </row>
    <row r="112" spans="1:14" s="596" customFormat="1" ht="12.75" customHeight="1" thickTop="1" thickBot="1" x14ac:dyDescent="0.25">
      <c r="A112" s="1686" t="s">
        <v>659</v>
      </c>
      <c r="B112" s="1687" t="s">
        <v>513</v>
      </c>
      <c r="C112" s="615"/>
      <c r="D112" s="615"/>
      <c r="E112" s="615"/>
      <c r="F112" s="615"/>
      <c r="G112" s="615"/>
      <c r="H112" s="1688">
        <f>SUM(H110:H111)</f>
        <v>0</v>
      </c>
      <c r="I112" s="468"/>
      <c r="J112" s="468"/>
      <c r="K112" s="1688">
        <f>SUM(K110:K111)</f>
        <v>0</v>
      </c>
      <c r="L112" s="1695">
        <f>SUM(L110,L111)</f>
        <v>0</v>
      </c>
      <c r="M112" s="210"/>
      <c r="N112" s="210"/>
    </row>
    <row r="113" spans="1:14" s="259" customFormat="1" ht="15.75" customHeight="1" thickTop="1" thickBot="1" x14ac:dyDescent="0.25">
      <c r="A113" s="1624" t="s">
        <v>535</v>
      </c>
      <c r="B113" s="1631" t="s">
        <v>916</v>
      </c>
      <c r="C113" s="622"/>
      <c r="D113" s="622"/>
      <c r="E113" s="615"/>
      <c r="F113" s="615"/>
      <c r="G113" s="615"/>
      <c r="H113" s="622"/>
      <c r="I113" s="468"/>
      <c r="J113" s="468"/>
      <c r="K113" s="622"/>
      <c r="L113" s="529">
        <v>0</v>
      </c>
      <c r="M113" s="612"/>
      <c r="N113" s="612"/>
    </row>
    <row r="114" spans="1:14" ht="12.75" customHeight="1" thickTop="1" thickBot="1" x14ac:dyDescent="0.25">
      <c r="A114" s="1686" t="s">
        <v>50</v>
      </c>
      <c r="B114" s="1700"/>
      <c r="C114" s="1688">
        <f>SUM(C33,C74,C75,C102,C112,C113)</f>
        <v>12929137</v>
      </c>
      <c r="D114" s="1688">
        <f t="shared" ref="D114:K114" si="13">SUM(D33,D74,D75,D102,D112,D113)</f>
        <v>5354978</v>
      </c>
      <c r="E114" s="1688">
        <f t="shared" si="13"/>
        <v>1356878</v>
      </c>
      <c r="F114" s="1688">
        <f t="shared" si="13"/>
        <v>1306067</v>
      </c>
      <c r="G114" s="1688">
        <f t="shared" si="13"/>
        <v>57221</v>
      </c>
      <c r="H114" s="1688">
        <f>SUM(H33,H74,H75,H102,H112,H113)</f>
        <v>893429</v>
      </c>
      <c r="I114" s="1688">
        <f t="shared" si="13"/>
        <v>1787</v>
      </c>
      <c r="J114" s="1688">
        <f t="shared" si="13"/>
        <v>0</v>
      </c>
      <c r="K114" s="1688">
        <f t="shared" si="13"/>
        <v>21899497</v>
      </c>
      <c r="L114" s="1688">
        <f>SUM(L33,L74,L75,L102,L112,L113)</f>
        <v>22450278</v>
      </c>
    </row>
    <row r="115" spans="1:14" ht="13.5" thickTop="1" x14ac:dyDescent="0.2">
      <c r="A115" s="2359" t="s">
        <v>1053</v>
      </c>
      <c r="B115" s="2360"/>
      <c r="C115" s="617"/>
      <c r="D115" s="617"/>
      <c r="E115" s="617"/>
      <c r="F115" s="617"/>
      <c r="G115" s="617"/>
      <c r="H115" s="617"/>
      <c r="I115" s="617"/>
      <c r="J115" s="617"/>
      <c r="K115" s="1702">
        <f>'Revenues 9-14'!C275-'Expenditures 15-22'!K114</f>
        <v>262512</v>
      </c>
      <c r="L115" s="617"/>
    </row>
    <row r="116" spans="1:14" s="180" customFormat="1" ht="9" customHeight="1" x14ac:dyDescent="0.2">
      <c r="A116" s="647"/>
      <c r="B116" s="648"/>
      <c r="C116" s="649"/>
      <c r="D116" s="649"/>
      <c r="E116" s="649"/>
      <c r="F116" s="649"/>
      <c r="G116" s="649"/>
      <c r="H116" s="649"/>
      <c r="I116" s="649"/>
      <c r="J116" s="649"/>
      <c r="K116" s="649"/>
      <c r="L116" s="649"/>
      <c r="M116" s="210"/>
      <c r="N116" s="210"/>
    </row>
    <row r="117" spans="1:14" s="650" customFormat="1" ht="16.7" customHeight="1" x14ac:dyDescent="0.2">
      <c r="A117" s="2364" t="s">
        <v>314</v>
      </c>
      <c r="B117" s="2365"/>
      <c r="C117" s="1644"/>
      <c r="D117" s="1645"/>
      <c r="E117" s="1645"/>
      <c r="F117" s="1645"/>
      <c r="G117" s="1645"/>
      <c r="H117" s="1645"/>
      <c r="I117" s="1645"/>
      <c r="J117" s="1645"/>
      <c r="K117" s="1645"/>
      <c r="L117" s="1646"/>
      <c r="M117" s="175"/>
      <c r="N117" s="175"/>
    </row>
    <row r="118" spans="1:14" ht="15.75" customHeight="1" x14ac:dyDescent="0.2">
      <c r="A118" s="1632" t="s">
        <v>1095</v>
      </c>
      <c r="B118" s="1633" t="s">
        <v>590</v>
      </c>
      <c r="C118" s="615"/>
      <c r="D118" s="615"/>
      <c r="E118" s="615"/>
      <c r="F118" s="615"/>
      <c r="G118" s="615"/>
      <c r="H118" s="615"/>
      <c r="I118" s="615"/>
      <c r="J118" s="615"/>
      <c r="K118" s="615"/>
      <c r="L118" s="615"/>
    </row>
    <row r="119" spans="1:14" ht="15.75" customHeight="1" x14ac:dyDescent="0.2">
      <c r="A119" s="651" t="s">
        <v>612</v>
      </c>
      <c r="B119" s="621"/>
      <c r="C119" s="622"/>
      <c r="D119" s="622"/>
      <c r="E119" s="622"/>
      <c r="F119" s="615"/>
      <c r="G119" s="615"/>
      <c r="H119" s="622"/>
      <c r="I119" s="615"/>
      <c r="J119" s="615"/>
      <c r="K119" s="622"/>
      <c r="L119" s="622"/>
    </row>
    <row r="120" spans="1:14" ht="12.75" customHeight="1" x14ac:dyDescent="0.2">
      <c r="A120" s="1526" t="s">
        <v>167</v>
      </c>
      <c r="B120" s="627">
        <v>2190</v>
      </c>
      <c r="C120" s="466">
        <v>0</v>
      </c>
      <c r="D120" s="466">
        <v>0</v>
      </c>
      <c r="E120" s="466">
        <v>0</v>
      </c>
      <c r="F120" s="466">
        <v>0</v>
      </c>
      <c r="G120" s="466">
        <v>0</v>
      </c>
      <c r="H120" s="466">
        <v>0</v>
      </c>
      <c r="I120" s="467">
        <v>0</v>
      </c>
      <c r="J120" s="467">
        <v>0</v>
      </c>
      <c r="K120" s="1689">
        <f>SUM(C120:J120)</f>
        <v>0</v>
      </c>
      <c r="L120" s="466">
        <v>0</v>
      </c>
    </row>
    <row r="121" spans="1:14" ht="15.75" customHeight="1" x14ac:dyDescent="0.2">
      <c r="A121" s="652" t="s">
        <v>633</v>
      </c>
      <c r="B121" s="621"/>
      <c r="C121" s="519"/>
      <c r="D121" s="519"/>
      <c r="E121" s="519"/>
      <c r="F121" s="519"/>
      <c r="G121" s="519"/>
      <c r="H121" s="519"/>
      <c r="I121" s="615"/>
      <c r="J121" s="615"/>
      <c r="K121" s="622"/>
      <c r="L121" s="519"/>
    </row>
    <row r="122" spans="1:14" ht="13.5" thickBot="1" x14ac:dyDescent="0.25">
      <c r="A122" s="1522" t="s">
        <v>1128</v>
      </c>
      <c r="B122" s="613">
        <v>2510</v>
      </c>
      <c r="C122" s="466">
        <v>0</v>
      </c>
      <c r="D122" s="466">
        <v>0</v>
      </c>
      <c r="E122" s="466">
        <v>0</v>
      </c>
      <c r="F122" s="466">
        <v>0</v>
      </c>
      <c r="G122" s="466">
        <v>0</v>
      </c>
      <c r="H122" s="466">
        <v>0</v>
      </c>
      <c r="I122" s="467">
        <v>0</v>
      </c>
      <c r="J122" s="467">
        <v>0</v>
      </c>
      <c r="K122" s="1688">
        <f>SUM(C122:J122)</f>
        <v>0</v>
      </c>
      <c r="L122" s="466">
        <v>0</v>
      </c>
    </row>
    <row r="123" spans="1:14" ht="14.25" thickTop="1" thickBot="1" x14ac:dyDescent="0.25">
      <c r="A123" s="1522" t="s">
        <v>4</v>
      </c>
      <c r="B123" s="613">
        <v>2530</v>
      </c>
      <c r="C123" s="466">
        <v>0</v>
      </c>
      <c r="D123" s="466">
        <v>0</v>
      </c>
      <c r="E123" s="466">
        <v>0</v>
      </c>
      <c r="F123" s="466">
        <v>0</v>
      </c>
      <c r="G123" s="466">
        <v>0</v>
      </c>
      <c r="H123" s="466">
        <v>0</v>
      </c>
      <c r="I123" s="467">
        <v>0</v>
      </c>
      <c r="J123" s="467">
        <v>0</v>
      </c>
      <c r="K123" s="1688">
        <f>SUM(C123:J123)</f>
        <v>0</v>
      </c>
      <c r="L123" s="466">
        <v>0</v>
      </c>
    </row>
    <row r="124" spans="1:14" ht="14.25" thickTop="1" thickBot="1" x14ac:dyDescent="0.25">
      <c r="A124" s="1522" t="s">
        <v>206</v>
      </c>
      <c r="B124" s="613">
        <v>2540</v>
      </c>
      <c r="C124" s="466">
        <v>749898</v>
      </c>
      <c r="D124" s="466">
        <v>327137</v>
      </c>
      <c r="E124" s="466">
        <v>188430</v>
      </c>
      <c r="F124" s="466">
        <v>681593</v>
      </c>
      <c r="G124" s="466">
        <v>115070</v>
      </c>
      <c r="H124" s="466">
        <v>0</v>
      </c>
      <c r="I124" s="467">
        <v>0</v>
      </c>
      <c r="J124" s="467">
        <v>0</v>
      </c>
      <c r="K124" s="1688">
        <f>SUM(C124:J124)</f>
        <v>2062128</v>
      </c>
      <c r="L124" s="466">
        <v>2233808</v>
      </c>
    </row>
    <row r="125" spans="1:14" ht="14.25" thickTop="1" thickBot="1" x14ac:dyDescent="0.25">
      <c r="A125" s="1522" t="s">
        <v>1010</v>
      </c>
      <c r="B125" s="613">
        <v>2550</v>
      </c>
      <c r="C125" s="466">
        <v>0</v>
      </c>
      <c r="D125" s="466">
        <v>0</v>
      </c>
      <c r="E125" s="466">
        <v>0</v>
      </c>
      <c r="F125" s="466">
        <v>0</v>
      </c>
      <c r="G125" s="466">
        <v>0</v>
      </c>
      <c r="H125" s="466">
        <v>0</v>
      </c>
      <c r="I125" s="467">
        <v>0</v>
      </c>
      <c r="J125" s="467">
        <v>0</v>
      </c>
      <c r="K125" s="1688">
        <f>SUM(C125:J125)</f>
        <v>0</v>
      </c>
      <c r="L125" s="466">
        <v>0</v>
      </c>
    </row>
    <row r="126" spans="1:14" ht="14.25" thickTop="1" thickBot="1" x14ac:dyDescent="0.25">
      <c r="A126" s="1522" t="s">
        <v>102</v>
      </c>
      <c r="B126" s="613">
        <v>2560</v>
      </c>
      <c r="C126" s="653"/>
      <c r="D126" s="653"/>
      <c r="E126" s="653"/>
      <c r="F126" s="653"/>
      <c r="G126" s="466">
        <v>0</v>
      </c>
      <c r="H126" s="653"/>
      <c r="I126" s="474">
        <v>0</v>
      </c>
      <c r="J126" s="615"/>
      <c r="K126" s="1688">
        <f>SUM(C126:J126)</f>
        <v>0</v>
      </c>
      <c r="L126" s="466">
        <v>0</v>
      </c>
    </row>
    <row r="127" spans="1:14" ht="12.75" customHeight="1" thickTop="1" thickBot="1" x14ac:dyDescent="0.25">
      <c r="A127" s="1686" t="s">
        <v>743</v>
      </c>
      <c r="B127" s="1687" t="s">
        <v>35</v>
      </c>
      <c r="C127" s="1688">
        <f>SUM(C122:C126)</f>
        <v>749898</v>
      </c>
      <c r="D127" s="1688">
        <f t="shared" ref="D127:L127" si="14">SUM(D122:D126)</f>
        <v>327137</v>
      </c>
      <c r="E127" s="1688">
        <f t="shared" si="14"/>
        <v>188430</v>
      </c>
      <c r="F127" s="1688">
        <f t="shared" si="14"/>
        <v>681593</v>
      </c>
      <c r="G127" s="1688">
        <f t="shared" si="14"/>
        <v>115070</v>
      </c>
      <c r="H127" s="1688">
        <f t="shared" si="14"/>
        <v>0</v>
      </c>
      <c r="I127" s="1688">
        <f t="shared" si="14"/>
        <v>0</v>
      </c>
      <c r="J127" s="1688">
        <f t="shared" si="14"/>
        <v>0</v>
      </c>
      <c r="K127" s="1688">
        <f t="shared" si="14"/>
        <v>2062128</v>
      </c>
      <c r="L127" s="1688">
        <f t="shared" si="14"/>
        <v>2233808</v>
      </c>
    </row>
    <row r="128" spans="1:14" ht="12.75" customHeight="1" thickTop="1" x14ac:dyDescent="0.2">
      <c r="A128" s="1529" t="s">
        <v>1037</v>
      </c>
      <c r="B128" s="654" t="s">
        <v>595</v>
      </c>
      <c r="C128" s="655">
        <v>0</v>
      </c>
      <c r="D128" s="655">
        <v>0</v>
      </c>
      <c r="E128" s="655">
        <v>11918</v>
      </c>
      <c r="F128" s="655">
        <v>0</v>
      </c>
      <c r="G128" s="655">
        <v>0</v>
      </c>
      <c r="H128" s="655">
        <v>0</v>
      </c>
      <c r="I128" s="533">
        <v>0</v>
      </c>
      <c r="J128" s="533">
        <v>0</v>
      </c>
      <c r="K128" s="1703">
        <f>SUM(C128:J128)</f>
        <v>11918</v>
      </c>
      <c r="L128" s="655">
        <v>15000</v>
      </c>
    </row>
    <row r="129" spans="1:14" ht="12.75" customHeight="1" thickBot="1" x14ac:dyDescent="0.25">
      <c r="A129" s="1704" t="s">
        <v>865</v>
      </c>
      <c r="B129" s="1705" t="s">
        <v>590</v>
      </c>
      <c r="C129" s="1695">
        <f>SUM(C120,C127,C128)</f>
        <v>749898</v>
      </c>
      <c r="D129" s="1695">
        <f t="shared" ref="D129:L129" si="15">SUM(D120,D127,D128)</f>
        <v>327137</v>
      </c>
      <c r="E129" s="1695">
        <f t="shared" si="15"/>
        <v>200348</v>
      </c>
      <c r="F129" s="1695">
        <f t="shared" si="15"/>
        <v>681593</v>
      </c>
      <c r="G129" s="1695">
        <f t="shared" si="15"/>
        <v>115070</v>
      </c>
      <c r="H129" s="1695">
        <f t="shared" si="15"/>
        <v>0</v>
      </c>
      <c r="I129" s="1695">
        <f t="shared" si="15"/>
        <v>0</v>
      </c>
      <c r="J129" s="1695">
        <f t="shared" si="15"/>
        <v>0</v>
      </c>
      <c r="K129" s="1695">
        <f t="shared" si="15"/>
        <v>2074046</v>
      </c>
      <c r="L129" s="1695">
        <f t="shared" si="15"/>
        <v>2248808</v>
      </c>
    </row>
    <row r="130" spans="1:14" ht="15.75" customHeight="1" thickTop="1" thickBot="1" x14ac:dyDescent="0.25">
      <c r="A130" s="1628" t="s">
        <v>1096</v>
      </c>
      <c r="B130" s="1629" t="s">
        <v>596</v>
      </c>
      <c r="C130" s="574">
        <v>0</v>
      </c>
      <c r="D130" s="574">
        <v>0</v>
      </c>
      <c r="E130" s="574">
        <v>0</v>
      </c>
      <c r="F130" s="574">
        <v>0</v>
      </c>
      <c r="G130" s="574">
        <v>0</v>
      </c>
      <c r="H130" s="574">
        <v>0</v>
      </c>
      <c r="I130" s="529">
        <v>0</v>
      </c>
      <c r="J130" s="529">
        <v>0</v>
      </c>
      <c r="K130" s="1688">
        <f>SUM(C130:J130)</f>
        <v>0</v>
      </c>
      <c r="L130" s="574">
        <v>0</v>
      </c>
    </row>
    <row r="131" spans="1:14" ht="15.75" customHeight="1" thickTop="1" x14ac:dyDescent="0.2">
      <c r="A131" s="1634" t="s">
        <v>637</v>
      </c>
      <c r="B131" s="1627" t="s">
        <v>915</v>
      </c>
      <c r="C131" s="468"/>
      <c r="D131" s="468"/>
      <c r="E131" s="564"/>
      <c r="F131" s="468"/>
      <c r="G131" s="468"/>
      <c r="H131" s="564"/>
      <c r="I131" s="468"/>
      <c r="J131" s="468"/>
      <c r="K131" s="564"/>
      <c r="L131" s="564"/>
    </row>
    <row r="132" spans="1:14" s="384" customFormat="1" ht="13.5" customHeight="1" x14ac:dyDescent="0.2">
      <c r="A132" s="656" t="s">
        <v>635</v>
      </c>
      <c r="B132" s="657"/>
      <c r="C132" s="468"/>
      <c r="D132" s="468"/>
      <c r="E132" s="519"/>
      <c r="F132" s="468"/>
      <c r="G132" s="468"/>
      <c r="H132" s="519"/>
      <c r="I132" s="468"/>
      <c r="J132" s="468"/>
      <c r="K132" s="519"/>
      <c r="L132" s="519"/>
      <c r="M132" s="206"/>
      <c r="N132" s="206"/>
    </row>
    <row r="133" spans="1:14" s="384" customFormat="1" ht="13.5" customHeight="1" x14ac:dyDescent="0.2">
      <c r="A133" s="1508" t="s">
        <v>517</v>
      </c>
      <c r="B133" s="1860" t="s">
        <v>1954</v>
      </c>
      <c r="C133" s="468"/>
      <c r="D133" s="468"/>
      <c r="E133" s="640">
        <v>0</v>
      </c>
      <c r="F133" s="468"/>
      <c r="G133" s="468"/>
      <c r="H133" s="640">
        <v>0</v>
      </c>
      <c r="I133" s="468"/>
      <c r="J133" s="468"/>
      <c r="K133" s="1840">
        <f>SUM(E133,H133)</f>
        <v>0</v>
      </c>
      <c r="L133" s="640">
        <v>0</v>
      </c>
      <c r="M133" s="206"/>
      <c r="N133" s="206"/>
    </row>
    <row r="134" spans="1:14" x14ac:dyDescent="0.2">
      <c r="A134" s="1522" t="s">
        <v>322</v>
      </c>
      <c r="B134" s="613">
        <v>4120</v>
      </c>
      <c r="C134" s="615"/>
      <c r="D134" s="615"/>
      <c r="E134" s="477">
        <v>0</v>
      </c>
      <c r="F134" s="615"/>
      <c r="G134" s="615"/>
      <c r="H134" s="480">
        <v>0</v>
      </c>
      <c r="I134" s="476"/>
      <c r="J134" s="615"/>
      <c r="K134" s="1690">
        <f>SUM(E134,H134)</f>
        <v>0</v>
      </c>
      <c r="L134" s="640">
        <v>0</v>
      </c>
    </row>
    <row r="135" spans="1:14" x14ac:dyDescent="0.2">
      <c r="A135" s="1522" t="s">
        <v>721</v>
      </c>
      <c r="B135" s="613">
        <v>4140</v>
      </c>
      <c r="C135" s="615"/>
      <c r="D135" s="615"/>
      <c r="E135" s="467">
        <v>0</v>
      </c>
      <c r="F135" s="615"/>
      <c r="G135" s="615"/>
      <c r="H135" s="466">
        <v>0</v>
      </c>
      <c r="I135" s="476"/>
      <c r="J135" s="615"/>
      <c r="K135" s="1690">
        <f>SUM(E135,H135)</f>
        <v>0</v>
      </c>
      <c r="L135" s="466">
        <v>0</v>
      </c>
    </row>
    <row r="136" spans="1:14" x14ac:dyDescent="0.2">
      <c r="A136" s="1526" t="s">
        <v>722</v>
      </c>
      <c r="B136" s="627">
        <v>4190</v>
      </c>
      <c r="C136" s="615"/>
      <c r="D136" s="615"/>
      <c r="E136" s="467">
        <v>0</v>
      </c>
      <c r="F136" s="615"/>
      <c r="G136" s="615"/>
      <c r="H136" s="466">
        <v>0</v>
      </c>
      <c r="I136" s="476"/>
      <c r="J136" s="615"/>
      <c r="K136" s="1690">
        <f>SUM(E136,H136)</f>
        <v>0</v>
      </c>
      <c r="L136" s="466">
        <v>0</v>
      </c>
    </row>
    <row r="137" spans="1:14" ht="12.75" customHeight="1" thickBot="1" x14ac:dyDescent="0.25">
      <c r="A137" s="1686" t="s">
        <v>501</v>
      </c>
      <c r="B137" s="1696">
        <v>4100</v>
      </c>
      <c r="C137" s="615"/>
      <c r="D137" s="615"/>
      <c r="E137" s="1688">
        <f>SUM(E133:E136)</f>
        <v>0</v>
      </c>
      <c r="F137" s="615"/>
      <c r="G137" s="615"/>
      <c r="H137" s="1688">
        <f>SUM(H133:H136)</f>
        <v>0</v>
      </c>
      <c r="I137" s="476"/>
      <c r="J137" s="615"/>
      <c r="K137" s="1688">
        <f>SUM(K133:K136)</f>
        <v>0</v>
      </c>
      <c r="L137" s="1688">
        <f>SUM(L133:L136)</f>
        <v>0</v>
      </c>
    </row>
    <row r="138" spans="1:14" ht="12.75" customHeight="1" thickTop="1" thickBot="1" x14ac:dyDescent="0.25">
      <c r="A138" s="1528" t="s">
        <v>98</v>
      </c>
      <c r="B138" s="642" t="s">
        <v>988</v>
      </c>
      <c r="C138" s="615"/>
      <c r="D138" s="615"/>
      <c r="E138" s="478">
        <v>0</v>
      </c>
      <c r="F138" s="615"/>
      <c r="G138" s="615"/>
      <c r="H138" s="574">
        <v>0</v>
      </c>
      <c r="I138" s="476"/>
      <c r="J138" s="615"/>
      <c r="K138" s="1690">
        <f>SUM(E138,H138)</f>
        <v>0</v>
      </c>
      <c r="L138" s="574">
        <v>0</v>
      </c>
    </row>
    <row r="139" spans="1:14" ht="12.75" customHeight="1" thickTop="1" thickBot="1" x14ac:dyDescent="0.25">
      <c r="A139" s="1686" t="s">
        <v>1567</v>
      </c>
      <c r="B139" s="1696">
        <v>4000</v>
      </c>
      <c r="C139" s="615"/>
      <c r="D139" s="615"/>
      <c r="E139" s="1688">
        <f>SUM(E137,E138)</f>
        <v>0</v>
      </c>
      <c r="F139" s="615"/>
      <c r="G139" s="615"/>
      <c r="H139" s="1697">
        <f>SUM(H137:H138)</f>
        <v>0</v>
      </c>
      <c r="I139" s="476"/>
      <c r="J139" s="615"/>
      <c r="K139" s="1690">
        <f>SUM(K137,K138)</f>
        <v>0</v>
      </c>
      <c r="L139" s="1697">
        <f>SUM(L137,L138)</f>
        <v>0</v>
      </c>
    </row>
    <row r="140" spans="1:14" ht="15.75" customHeight="1" thickTop="1" x14ac:dyDescent="0.2">
      <c r="A140" s="1630" t="s">
        <v>1097</v>
      </c>
      <c r="B140" s="1631" t="s">
        <v>513</v>
      </c>
      <c r="C140" s="615"/>
      <c r="D140" s="615"/>
      <c r="E140" s="637"/>
      <c r="F140" s="637"/>
      <c r="G140" s="637"/>
      <c r="H140" s="635"/>
      <c r="I140" s="476"/>
      <c r="J140" s="637"/>
      <c r="K140" s="635"/>
      <c r="L140" s="635"/>
    </row>
    <row r="141" spans="1:14" ht="15.75" customHeight="1" x14ac:dyDescent="0.2">
      <c r="A141" s="652" t="s">
        <v>636</v>
      </c>
      <c r="B141" s="621"/>
      <c r="C141" s="615"/>
      <c r="D141" s="615"/>
      <c r="E141" s="615"/>
      <c r="F141" s="615"/>
      <c r="G141" s="615"/>
      <c r="H141" s="622"/>
      <c r="I141" s="468"/>
      <c r="J141" s="615"/>
      <c r="K141" s="622"/>
      <c r="L141" s="622"/>
    </row>
    <row r="142" spans="1:14" x14ac:dyDescent="0.2">
      <c r="A142" s="1522" t="s">
        <v>89</v>
      </c>
      <c r="B142" s="613">
        <v>5110</v>
      </c>
      <c r="C142" s="615"/>
      <c r="D142" s="615"/>
      <c r="E142" s="615"/>
      <c r="F142" s="615"/>
      <c r="G142" s="615"/>
      <c r="H142" s="480">
        <v>0</v>
      </c>
      <c r="I142" s="468"/>
      <c r="J142" s="615"/>
      <c r="K142" s="1690">
        <f>SUM(H142)</f>
        <v>0</v>
      </c>
      <c r="L142" s="480">
        <v>0</v>
      </c>
    </row>
    <row r="143" spans="1:14" x14ac:dyDescent="0.2">
      <c r="A143" s="1522" t="s">
        <v>90</v>
      </c>
      <c r="B143" s="613">
        <v>5120</v>
      </c>
      <c r="C143" s="615"/>
      <c r="D143" s="615"/>
      <c r="E143" s="615"/>
      <c r="F143" s="615"/>
      <c r="G143" s="615"/>
      <c r="H143" s="466">
        <v>0</v>
      </c>
      <c r="I143" s="468"/>
      <c r="J143" s="615"/>
      <c r="K143" s="1690">
        <f>SUM(H143)</f>
        <v>0</v>
      </c>
      <c r="L143" s="466">
        <v>0</v>
      </c>
    </row>
    <row r="144" spans="1:14" ht="12.75" customHeight="1" x14ac:dyDescent="0.2">
      <c r="A144" s="1522" t="s">
        <v>1232</v>
      </c>
      <c r="B144" s="627" t="s">
        <v>638</v>
      </c>
      <c r="C144" s="615"/>
      <c r="D144" s="615"/>
      <c r="E144" s="615"/>
      <c r="F144" s="615"/>
      <c r="G144" s="615"/>
      <c r="H144" s="466">
        <v>0</v>
      </c>
      <c r="I144" s="468"/>
      <c r="J144" s="615"/>
      <c r="K144" s="1690">
        <f>SUM(H144)</f>
        <v>0</v>
      </c>
      <c r="L144" s="466">
        <v>0</v>
      </c>
    </row>
    <row r="145" spans="1:14" x14ac:dyDescent="0.2">
      <c r="A145" s="1522" t="s">
        <v>91</v>
      </c>
      <c r="B145" s="613" t="s">
        <v>610</v>
      </c>
      <c r="C145" s="615"/>
      <c r="D145" s="615"/>
      <c r="E145" s="615"/>
      <c r="F145" s="615"/>
      <c r="G145" s="615"/>
      <c r="H145" s="466">
        <v>0</v>
      </c>
      <c r="I145" s="468"/>
      <c r="J145" s="615"/>
      <c r="K145" s="1690">
        <f>SUM(H145)</f>
        <v>0</v>
      </c>
      <c r="L145" s="466">
        <v>0</v>
      </c>
    </row>
    <row r="146" spans="1:14" ht="12.75" customHeight="1" x14ac:dyDescent="0.2">
      <c r="A146" s="1522" t="s">
        <v>640</v>
      </c>
      <c r="B146" s="613" t="s">
        <v>639</v>
      </c>
      <c r="C146" s="615"/>
      <c r="D146" s="615"/>
      <c r="E146" s="615"/>
      <c r="F146" s="615"/>
      <c r="G146" s="615"/>
      <c r="H146" s="466">
        <v>0</v>
      </c>
      <c r="I146" s="468"/>
      <c r="J146" s="615"/>
      <c r="K146" s="1690">
        <f>SUM(H146)</f>
        <v>0</v>
      </c>
      <c r="L146" s="466">
        <v>0</v>
      </c>
    </row>
    <row r="147" spans="1:14" ht="12.75" customHeight="1" thickBot="1" x14ac:dyDescent="0.25">
      <c r="A147" s="1533" t="s">
        <v>647</v>
      </c>
      <c r="B147" s="658" t="s">
        <v>742</v>
      </c>
      <c r="C147" s="615"/>
      <c r="D147" s="615"/>
      <c r="E147" s="615"/>
      <c r="F147" s="615"/>
      <c r="G147" s="615"/>
      <c r="H147" s="1706">
        <f>SUM(H142:H146)</f>
        <v>0</v>
      </c>
      <c r="I147" s="468"/>
      <c r="J147" s="615"/>
      <c r="K147" s="1688">
        <f>SUM(K142:K146)</f>
        <v>0</v>
      </c>
      <c r="L147" s="1706">
        <f>SUM(L142:L146)</f>
        <v>0</v>
      </c>
    </row>
    <row r="148" spans="1:14" ht="15.75" customHeight="1" thickTop="1" x14ac:dyDescent="0.2">
      <c r="A148" s="659" t="s">
        <v>1165</v>
      </c>
      <c r="B148" s="660" t="s">
        <v>38</v>
      </c>
      <c r="C148" s="615"/>
      <c r="D148" s="615"/>
      <c r="E148" s="615"/>
      <c r="F148" s="615"/>
      <c r="G148" s="615"/>
      <c r="H148" s="478">
        <v>0</v>
      </c>
      <c r="I148" s="468"/>
      <c r="J148" s="615"/>
      <c r="K148" s="1690">
        <f>SUM(H148)</f>
        <v>0</v>
      </c>
      <c r="L148" s="490">
        <v>0</v>
      </c>
    </row>
    <row r="149" spans="1:14" ht="12.75" customHeight="1" thickBot="1" x14ac:dyDescent="0.25">
      <c r="A149" s="1525" t="s">
        <v>659</v>
      </c>
      <c r="B149" s="616" t="s">
        <v>513</v>
      </c>
      <c r="C149" s="615"/>
      <c r="D149" s="615"/>
      <c r="E149" s="615"/>
      <c r="F149" s="615"/>
      <c r="G149" s="615"/>
      <c r="H149" s="1688">
        <f>SUM(H147,H148)</f>
        <v>0</v>
      </c>
      <c r="I149" s="468"/>
      <c r="J149" s="615"/>
      <c r="K149" s="1688">
        <f>SUM(K147:K148)</f>
        <v>0</v>
      </c>
      <c r="L149" s="1688">
        <f>SUM(L142:L146,L148)</f>
        <v>0</v>
      </c>
    </row>
    <row r="150" spans="1:14" ht="15.75" customHeight="1" thickTop="1" thickBot="1" x14ac:dyDescent="0.25">
      <c r="A150" s="1624" t="s">
        <v>1098</v>
      </c>
      <c r="B150" s="1631" t="s">
        <v>916</v>
      </c>
      <c r="C150" s="615"/>
      <c r="D150" s="615"/>
      <c r="E150" s="615"/>
      <c r="F150" s="615"/>
      <c r="G150" s="615"/>
      <c r="H150" s="661"/>
      <c r="I150" s="519"/>
      <c r="J150" s="615"/>
      <c r="K150" s="622"/>
      <c r="L150" s="571">
        <v>0</v>
      </c>
    </row>
    <row r="151" spans="1:14" ht="12.75" customHeight="1" thickTop="1" thickBot="1" x14ac:dyDescent="0.25">
      <c r="A151" s="2376" t="s">
        <v>641</v>
      </c>
      <c r="B151" s="2356"/>
      <c r="C151" s="1688">
        <f>SUM(C129,C130,C139,C149,C150)</f>
        <v>749898</v>
      </c>
      <c r="D151" s="1688">
        <f t="shared" ref="D151:K151" si="16">SUM(D129,D130,D139,D149,D150)</f>
        <v>327137</v>
      </c>
      <c r="E151" s="1688">
        <f t="shared" si="16"/>
        <v>200348</v>
      </c>
      <c r="F151" s="1688">
        <f t="shared" si="16"/>
        <v>681593</v>
      </c>
      <c r="G151" s="1688">
        <f t="shared" si="16"/>
        <v>115070</v>
      </c>
      <c r="H151" s="1688">
        <f t="shared" si="16"/>
        <v>0</v>
      </c>
      <c r="I151" s="1688">
        <f t="shared" si="16"/>
        <v>0</v>
      </c>
      <c r="J151" s="1688">
        <f t="shared" si="16"/>
        <v>0</v>
      </c>
      <c r="K151" s="1688">
        <f t="shared" si="16"/>
        <v>2074046</v>
      </c>
      <c r="L151" s="1688">
        <f>SUM(L129,L130,L139,L149,L150)</f>
        <v>2248808</v>
      </c>
    </row>
    <row r="152" spans="1:14" ht="12.75" customHeight="1" thickTop="1" x14ac:dyDescent="0.2">
      <c r="A152" s="2379" t="s">
        <v>1240</v>
      </c>
      <c r="B152" s="2380"/>
      <c r="C152" s="617"/>
      <c r="D152" s="617"/>
      <c r="E152" s="617"/>
      <c r="F152" s="617"/>
      <c r="G152" s="617"/>
      <c r="H152" s="617"/>
      <c r="I152" s="617"/>
      <c r="J152" s="615"/>
      <c r="K152" s="1702">
        <f>'Revenues 9-14'!D275-'Expenditures 15-22'!K151</f>
        <v>-232983</v>
      </c>
      <c r="L152" s="617"/>
    </row>
    <row r="153" spans="1:14" s="665" customFormat="1" ht="9" customHeight="1" x14ac:dyDescent="0.2">
      <c r="A153" s="662"/>
      <c r="B153" s="663"/>
      <c r="C153" s="649"/>
      <c r="D153" s="649"/>
      <c r="E153" s="649"/>
      <c r="F153" s="649"/>
      <c r="G153" s="649"/>
      <c r="H153" s="649"/>
      <c r="I153" s="649"/>
      <c r="J153" s="649"/>
      <c r="K153" s="649"/>
      <c r="L153" s="649"/>
      <c r="M153" s="664"/>
      <c r="N153" s="664"/>
    </row>
    <row r="154" spans="1:14" s="667" customFormat="1" ht="16.7" customHeight="1" x14ac:dyDescent="0.2">
      <c r="A154" s="2364" t="s">
        <v>642</v>
      </c>
      <c r="B154" s="2366"/>
      <c r="C154" s="1644"/>
      <c r="D154" s="1645"/>
      <c r="E154" s="1645"/>
      <c r="F154" s="1645"/>
      <c r="G154" s="1645"/>
      <c r="H154" s="1645"/>
      <c r="I154" s="1645"/>
      <c r="J154" s="1645"/>
      <c r="K154" s="1645"/>
      <c r="L154" s="1646"/>
      <c r="M154" s="666"/>
      <c r="N154" s="666"/>
    </row>
    <row r="155" spans="1:14" s="619" customFormat="1" ht="15.75" customHeight="1" thickBot="1" x14ac:dyDescent="0.25">
      <c r="A155" s="1635" t="s">
        <v>83</v>
      </c>
      <c r="B155" s="1636" t="s">
        <v>915</v>
      </c>
      <c r="C155" s="615"/>
      <c r="D155" s="615"/>
      <c r="E155" s="615"/>
      <c r="F155" s="615"/>
      <c r="G155" s="615"/>
      <c r="H155" s="1861"/>
      <c r="I155" s="615"/>
      <c r="J155" s="615"/>
      <c r="K155" s="1844"/>
      <c r="L155" s="1861"/>
      <c r="M155" s="618"/>
      <c r="N155" s="618"/>
    </row>
    <row r="156" spans="1:14" s="619" customFormat="1" ht="15.75" customHeight="1" thickTop="1" x14ac:dyDescent="0.2">
      <c r="A156" s="1841" t="s">
        <v>1955</v>
      </c>
      <c r="B156" s="1842"/>
      <c r="C156" s="615"/>
      <c r="D156" s="615"/>
      <c r="E156" s="615"/>
      <c r="F156" s="615"/>
      <c r="G156" s="615"/>
      <c r="H156" s="1862"/>
      <c r="I156" s="615"/>
      <c r="J156" s="615"/>
      <c r="K156" s="1843"/>
      <c r="L156" s="1862"/>
      <c r="M156" s="618"/>
      <c r="N156" s="618"/>
    </row>
    <row r="157" spans="1:14" s="619" customFormat="1" ht="12" x14ac:dyDescent="0.2">
      <c r="A157" s="1845" t="s">
        <v>517</v>
      </c>
      <c r="B157" s="1846" t="s">
        <v>1954</v>
      </c>
      <c r="C157" s="615"/>
      <c r="D157" s="615"/>
      <c r="E157" s="615"/>
      <c r="F157" s="615"/>
      <c r="G157" s="615"/>
      <c r="H157" s="640">
        <v>0</v>
      </c>
      <c r="I157" s="615"/>
      <c r="J157" s="615"/>
      <c r="K157" s="1689">
        <f>H157</f>
        <v>0</v>
      </c>
      <c r="L157" s="640">
        <v>0</v>
      </c>
      <c r="M157" s="618"/>
      <c r="N157" s="618"/>
    </row>
    <row r="158" spans="1:14" s="619" customFormat="1" ht="12" x14ac:dyDescent="0.2">
      <c r="A158" s="1845" t="s">
        <v>322</v>
      </c>
      <c r="B158" s="1846" t="s">
        <v>1956</v>
      </c>
      <c r="C158" s="615"/>
      <c r="D158" s="615"/>
      <c r="E158" s="615"/>
      <c r="F158" s="615"/>
      <c r="G158" s="615"/>
      <c r="H158" s="467">
        <v>0</v>
      </c>
      <c r="I158" s="615"/>
      <c r="J158" s="615"/>
      <c r="K158" s="1689">
        <f>H158</f>
        <v>0</v>
      </c>
      <c r="L158" s="467">
        <v>0</v>
      </c>
      <c r="M158" s="618"/>
      <c r="N158" s="618"/>
    </row>
    <row r="159" spans="1:14" s="619" customFormat="1" ht="12" x14ac:dyDescent="0.2">
      <c r="A159" s="1845" t="s">
        <v>1957</v>
      </c>
      <c r="B159" s="1846" t="s">
        <v>579</v>
      </c>
      <c r="C159" s="615"/>
      <c r="D159" s="615"/>
      <c r="E159" s="615"/>
      <c r="F159" s="615"/>
      <c r="G159" s="615"/>
      <c r="H159" s="467">
        <v>0</v>
      </c>
      <c r="I159" s="615"/>
      <c r="J159" s="615"/>
      <c r="K159" s="1689">
        <f>H159</f>
        <v>0</v>
      </c>
      <c r="L159" s="467">
        <v>0</v>
      </c>
      <c r="M159" s="618"/>
      <c r="N159" s="618"/>
    </row>
    <row r="160" spans="1:14" s="619" customFormat="1" ht="15.75" customHeight="1" thickBot="1" x14ac:dyDescent="0.25">
      <c r="A160" s="1847" t="s">
        <v>1958</v>
      </c>
      <c r="B160" s="1848" t="s">
        <v>915</v>
      </c>
      <c r="C160" s="615"/>
      <c r="D160" s="615"/>
      <c r="E160" s="615"/>
      <c r="F160" s="615"/>
      <c r="G160" s="615"/>
      <c r="H160" s="1706">
        <f>SUM(H157:H159)</f>
        <v>0</v>
      </c>
      <c r="I160" s="615"/>
      <c r="J160" s="615"/>
      <c r="K160" s="1688">
        <f>SUM(K157:K159)</f>
        <v>0</v>
      </c>
      <c r="L160" s="1706">
        <f>SUM(L157:L159)</f>
        <v>0</v>
      </c>
      <c r="M160" s="618"/>
      <c r="N160" s="618"/>
    </row>
    <row r="161" spans="1:14" s="259" customFormat="1" ht="15.75" customHeight="1" thickTop="1" x14ac:dyDescent="0.2">
      <c r="A161" s="1630" t="s">
        <v>84</v>
      </c>
      <c r="B161" s="1631" t="s">
        <v>513</v>
      </c>
      <c r="C161" s="615"/>
      <c r="D161" s="615"/>
      <c r="E161" s="615"/>
      <c r="F161" s="615"/>
      <c r="G161" s="615"/>
      <c r="H161" s="615"/>
      <c r="I161" s="615"/>
      <c r="J161" s="615"/>
      <c r="K161" s="615"/>
      <c r="L161" s="615"/>
      <c r="M161" s="612"/>
      <c r="N161" s="612"/>
    </row>
    <row r="162" spans="1:14" s="259" customFormat="1" ht="15.75" customHeight="1" x14ac:dyDescent="0.2">
      <c r="A162" s="652" t="s">
        <v>636</v>
      </c>
      <c r="B162" s="621"/>
      <c r="C162" s="615"/>
      <c r="D162" s="615"/>
      <c r="E162" s="615"/>
      <c r="F162" s="615"/>
      <c r="G162" s="615"/>
      <c r="H162" s="615"/>
      <c r="I162" s="615"/>
      <c r="J162" s="615"/>
      <c r="K162" s="622"/>
      <c r="L162" s="622"/>
      <c r="M162" s="612"/>
      <c r="N162" s="612"/>
    </row>
    <row r="163" spans="1:14" x14ac:dyDescent="0.2">
      <c r="A163" s="1522" t="s">
        <v>89</v>
      </c>
      <c r="B163" s="613">
        <v>5110</v>
      </c>
      <c r="C163" s="615"/>
      <c r="D163" s="615"/>
      <c r="E163" s="615"/>
      <c r="F163" s="615"/>
      <c r="G163" s="615"/>
      <c r="H163" s="640">
        <v>0</v>
      </c>
      <c r="I163" s="615"/>
      <c r="J163" s="615"/>
      <c r="K163" s="1689">
        <f>SUM(C163:J163)</f>
        <v>0</v>
      </c>
      <c r="L163" s="640">
        <v>0</v>
      </c>
    </row>
    <row r="164" spans="1:14" x14ac:dyDescent="0.2">
      <c r="A164" s="1522" t="s">
        <v>90</v>
      </c>
      <c r="B164" s="613">
        <v>5120</v>
      </c>
      <c r="C164" s="615"/>
      <c r="D164" s="615"/>
      <c r="E164" s="615"/>
      <c r="F164" s="615"/>
      <c r="G164" s="615"/>
      <c r="H164" s="466">
        <v>0</v>
      </c>
      <c r="I164" s="615"/>
      <c r="J164" s="615"/>
      <c r="K164" s="1689">
        <f>SUM(C164:J164)</f>
        <v>0</v>
      </c>
      <c r="L164" s="466">
        <v>0</v>
      </c>
    </row>
    <row r="165" spans="1:14" ht="12.75" customHeight="1" x14ac:dyDescent="0.2">
      <c r="A165" s="1522" t="s">
        <v>1232</v>
      </c>
      <c r="B165" s="613" t="s">
        <v>638</v>
      </c>
      <c r="C165" s="615"/>
      <c r="D165" s="615"/>
      <c r="E165" s="615"/>
      <c r="F165" s="615"/>
      <c r="G165" s="615"/>
      <c r="H165" s="466">
        <v>0</v>
      </c>
      <c r="I165" s="615"/>
      <c r="J165" s="615"/>
      <c r="K165" s="1689">
        <f>SUM(C165:J165)</f>
        <v>0</v>
      </c>
      <c r="L165" s="466">
        <v>0</v>
      </c>
    </row>
    <row r="166" spans="1:14" x14ac:dyDescent="0.2">
      <c r="A166" s="1522" t="s">
        <v>91</v>
      </c>
      <c r="B166" s="627" t="s">
        <v>610</v>
      </c>
      <c r="C166" s="615"/>
      <c r="D166" s="615"/>
      <c r="E166" s="615"/>
      <c r="F166" s="615"/>
      <c r="G166" s="615"/>
      <c r="H166" s="466">
        <v>0</v>
      </c>
      <c r="I166" s="615"/>
      <c r="J166" s="615"/>
      <c r="K166" s="1689">
        <f>SUM(C166:J166)</f>
        <v>0</v>
      </c>
      <c r="L166" s="466">
        <v>0</v>
      </c>
    </row>
    <row r="167" spans="1:14" ht="12.75" customHeight="1" x14ac:dyDescent="0.2">
      <c r="A167" s="1522" t="s">
        <v>640</v>
      </c>
      <c r="B167" s="613" t="s">
        <v>639</v>
      </c>
      <c r="C167" s="615"/>
      <c r="D167" s="615"/>
      <c r="E167" s="615"/>
      <c r="F167" s="615"/>
      <c r="G167" s="615"/>
      <c r="H167" s="466">
        <v>0</v>
      </c>
      <c r="I167" s="615"/>
      <c r="J167" s="615"/>
      <c r="K167" s="1689">
        <f>SUM(C167:J167)</f>
        <v>0</v>
      </c>
      <c r="L167" s="466">
        <v>0</v>
      </c>
    </row>
    <row r="168" spans="1:14" ht="13.5" thickBot="1" x14ac:dyDescent="0.25">
      <c r="A168" s="1686" t="s">
        <v>294</v>
      </c>
      <c r="B168" s="1693" t="s">
        <v>742</v>
      </c>
      <c r="C168" s="615"/>
      <c r="D168" s="615"/>
      <c r="E168" s="615"/>
      <c r="F168" s="615"/>
      <c r="G168" s="615"/>
      <c r="H168" s="1688">
        <f>SUM(H163:H167)</f>
        <v>0</v>
      </c>
      <c r="I168" s="615"/>
      <c r="J168" s="615"/>
      <c r="K168" s="1688">
        <f>SUM(K163:K167)</f>
        <v>0</v>
      </c>
      <c r="L168" s="1688">
        <f>SUM(L163:L167)</f>
        <v>0</v>
      </c>
    </row>
    <row r="169" spans="1:14" ht="15.75" customHeight="1" thickTop="1" x14ac:dyDescent="0.2">
      <c r="A169" s="668" t="s">
        <v>85</v>
      </c>
      <c r="B169" s="669" t="s">
        <v>38</v>
      </c>
      <c r="C169" s="615"/>
      <c r="D169" s="615"/>
      <c r="E169" s="615"/>
      <c r="F169" s="615"/>
      <c r="G169" s="615"/>
      <c r="H169" s="655">
        <v>327157</v>
      </c>
      <c r="I169" s="615"/>
      <c r="J169" s="615"/>
      <c r="K169" s="1689">
        <f>SUM(C169:H169)</f>
        <v>327157</v>
      </c>
      <c r="L169" s="655">
        <v>124400</v>
      </c>
    </row>
    <row r="170" spans="1:14" ht="33.75" customHeight="1" x14ac:dyDescent="0.2">
      <c r="A170" s="668" t="s">
        <v>1769</v>
      </c>
      <c r="B170" s="670" t="s">
        <v>31</v>
      </c>
      <c r="C170" s="615"/>
      <c r="D170" s="615"/>
      <c r="E170" s="615"/>
      <c r="F170" s="615"/>
      <c r="G170" s="615"/>
      <c r="H170" s="567">
        <v>645000</v>
      </c>
      <c r="I170" s="615"/>
      <c r="J170" s="615"/>
      <c r="K170" s="1689">
        <f>SUM(C170:J170)</f>
        <v>645000</v>
      </c>
      <c r="L170" s="567">
        <v>645000</v>
      </c>
    </row>
    <row r="171" spans="1:14" ht="15.75" customHeight="1" x14ac:dyDescent="0.2">
      <c r="A171" s="620" t="s">
        <v>790</v>
      </c>
      <c r="B171" s="671" t="s">
        <v>86</v>
      </c>
      <c r="C171" s="615"/>
      <c r="D171" s="615"/>
      <c r="E171" s="466">
        <v>0</v>
      </c>
      <c r="F171" s="615"/>
      <c r="G171" s="615"/>
      <c r="H171" s="567">
        <v>1425</v>
      </c>
      <c r="I171" s="476"/>
      <c r="J171" s="615"/>
      <c r="K171" s="1689">
        <f>SUM(C171:J171)</f>
        <v>1425</v>
      </c>
      <c r="L171" s="567">
        <v>0</v>
      </c>
    </row>
    <row r="172" spans="1:14" ht="12.75" customHeight="1" thickBot="1" x14ac:dyDescent="0.25">
      <c r="A172" s="1686" t="s">
        <v>659</v>
      </c>
      <c r="B172" s="1687" t="s">
        <v>513</v>
      </c>
      <c r="C172" s="615"/>
      <c r="D172" s="615"/>
      <c r="E172" s="1695">
        <f>SUM(E168,E169,E170,E171)</f>
        <v>0</v>
      </c>
      <c r="F172" s="615"/>
      <c r="G172" s="615"/>
      <c r="H172" s="1695">
        <f>SUM(H168,H169,H170,H171)</f>
        <v>973582</v>
      </c>
      <c r="I172" s="637"/>
      <c r="J172" s="615"/>
      <c r="K172" s="1695">
        <f>SUM(K168,K169,K170,K171)</f>
        <v>973582</v>
      </c>
      <c r="L172" s="1695">
        <f>SUM(L168,L169,L170,L171)</f>
        <v>769400</v>
      </c>
    </row>
    <row r="173" spans="1:14" ht="15.75" customHeight="1" thickTop="1" thickBot="1" x14ac:dyDescent="0.25">
      <c r="A173" s="1637" t="s">
        <v>87</v>
      </c>
      <c r="B173" s="1629" t="s">
        <v>916</v>
      </c>
      <c r="C173" s="615"/>
      <c r="D173" s="615"/>
      <c r="E173" s="622"/>
      <c r="F173" s="615"/>
      <c r="G173" s="615"/>
      <c r="H173" s="625"/>
      <c r="I173" s="637"/>
      <c r="J173" s="615"/>
      <c r="K173" s="622"/>
      <c r="L173" s="574">
        <v>0</v>
      </c>
    </row>
    <row r="174" spans="1:14" ht="12.75" customHeight="1" thickTop="1" thickBot="1" x14ac:dyDescent="0.25">
      <c r="A174" s="1707" t="s">
        <v>92</v>
      </c>
      <c r="B174" s="1708"/>
      <c r="C174" s="615"/>
      <c r="D174" s="615"/>
      <c r="E174" s="1695">
        <f>SUM(E155,E172,E173)</f>
        <v>0</v>
      </c>
      <c r="F174" s="615"/>
      <c r="G174" s="615"/>
      <c r="H174" s="1695">
        <f>SUM(H160,H172,H173)</f>
        <v>973582</v>
      </c>
      <c r="I174" s="637"/>
      <c r="J174" s="615"/>
      <c r="K174" s="1695">
        <f>SUM(K160,K172,K173)</f>
        <v>973582</v>
      </c>
      <c r="L174" s="1695">
        <f>SUM(L160,L172,L173)</f>
        <v>769400</v>
      </c>
    </row>
    <row r="175" spans="1:14" ht="13.5" thickTop="1" x14ac:dyDescent="0.2">
      <c r="A175" s="2359" t="s">
        <v>1053</v>
      </c>
      <c r="B175" s="2360"/>
      <c r="C175" s="615"/>
      <c r="D175" s="615"/>
      <c r="E175" s="615"/>
      <c r="F175" s="615"/>
      <c r="G175" s="615"/>
      <c r="H175" s="617"/>
      <c r="I175" s="615"/>
      <c r="J175" s="615"/>
      <c r="K175" s="1702">
        <f>'Revenues 9-14'!E275-'Expenditures 15-22'!K174</f>
        <v>-196246</v>
      </c>
      <c r="L175" s="617"/>
    </row>
    <row r="176" spans="1:14" s="665" customFormat="1" ht="9" customHeight="1" x14ac:dyDescent="0.2">
      <c r="A176" s="662"/>
      <c r="B176" s="672"/>
      <c r="C176" s="649"/>
      <c r="D176" s="649"/>
      <c r="E176" s="649"/>
      <c r="F176" s="649"/>
      <c r="G176" s="649"/>
      <c r="H176" s="649"/>
      <c r="I176" s="649"/>
      <c r="J176" s="649"/>
      <c r="K176" s="649"/>
      <c r="L176" s="649"/>
      <c r="M176" s="664"/>
      <c r="N176" s="664"/>
    </row>
    <row r="177" spans="1:14" s="343" customFormat="1" ht="16.7" customHeight="1" x14ac:dyDescent="0.2">
      <c r="A177" s="1572" t="s">
        <v>994</v>
      </c>
      <c r="B177" s="1573"/>
      <c r="C177" s="1569"/>
      <c r="D177" s="1570"/>
      <c r="E177" s="1570"/>
      <c r="F177" s="1570"/>
      <c r="G177" s="1570"/>
      <c r="H177" s="1570"/>
      <c r="I177" s="1570"/>
      <c r="J177" s="1570"/>
      <c r="K177" s="1570"/>
      <c r="L177" s="1571"/>
      <c r="M177" s="608"/>
      <c r="N177" s="608"/>
    </row>
    <row r="178" spans="1:14" s="673" customFormat="1" ht="15.75" customHeight="1" x14ac:dyDescent="0.2">
      <c r="A178" s="1638" t="s">
        <v>995</v>
      </c>
      <c r="B178" s="1639"/>
      <c r="C178" s="615"/>
      <c r="D178" s="615"/>
      <c r="E178" s="615"/>
      <c r="F178" s="615"/>
      <c r="G178" s="615"/>
      <c r="H178" s="615"/>
      <c r="I178" s="615"/>
      <c r="J178" s="615"/>
      <c r="K178" s="615"/>
      <c r="L178" s="615"/>
      <c r="M178" s="664"/>
      <c r="N178" s="664"/>
    </row>
    <row r="179" spans="1:14" s="673" customFormat="1" ht="15.75" customHeight="1" x14ac:dyDescent="0.2">
      <c r="A179" s="674" t="s">
        <v>612</v>
      </c>
      <c r="B179" s="621"/>
      <c r="C179" s="622"/>
      <c r="D179" s="622"/>
      <c r="E179" s="622"/>
      <c r="F179" s="615"/>
      <c r="G179" s="615"/>
      <c r="H179" s="622"/>
      <c r="I179" s="615"/>
      <c r="J179" s="615"/>
      <c r="K179" s="622"/>
      <c r="L179" s="622"/>
      <c r="M179" s="664"/>
      <c r="N179" s="664"/>
    </row>
    <row r="180" spans="1:14" ht="12.75" customHeight="1" x14ac:dyDescent="0.2">
      <c r="A180" s="1522" t="s">
        <v>167</v>
      </c>
      <c r="B180" s="613">
        <v>2190</v>
      </c>
      <c r="C180" s="466">
        <v>0</v>
      </c>
      <c r="D180" s="466">
        <v>0</v>
      </c>
      <c r="E180" s="466">
        <v>0</v>
      </c>
      <c r="F180" s="466">
        <v>0</v>
      </c>
      <c r="G180" s="466">
        <v>0</v>
      </c>
      <c r="H180" s="466">
        <v>0</v>
      </c>
      <c r="I180" s="467">
        <v>0</v>
      </c>
      <c r="J180" s="467">
        <v>0</v>
      </c>
      <c r="K180" s="1689">
        <f>SUM(C180:J180)</f>
        <v>0</v>
      </c>
      <c r="L180" s="466">
        <v>0</v>
      </c>
    </row>
    <row r="181" spans="1:14" ht="15.75" customHeight="1" x14ac:dyDescent="0.2">
      <c r="A181" s="623" t="s">
        <v>633</v>
      </c>
      <c r="B181" s="675"/>
      <c r="C181" s="568"/>
      <c r="D181" s="568"/>
      <c r="E181" s="568"/>
      <c r="F181" s="568"/>
      <c r="G181" s="568"/>
      <c r="H181" s="568"/>
      <c r="I181" s="468"/>
      <c r="J181" s="468"/>
      <c r="K181" s="568"/>
      <c r="L181" s="568"/>
    </row>
    <row r="182" spans="1:14" ht="12.75" customHeight="1" x14ac:dyDescent="0.2">
      <c r="A182" s="1522" t="s">
        <v>1010</v>
      </c>
      <c r="B182" s="613">
        <v>2550</v>
      </c>
      <c r="C182" s="467">
        <v>0</v>
      </c>
      <c r="D182" s="467">
        <v>0</v>
      </c>
      <c r="E182" s="467">
        <v>1183140</v>
      </c>
      <c r="F182" s="467">
        <v>0</v>
      </c>
      <c r="G182" s="467">
        <v>0</v>
      </c>
      <c r="H182" s="466">
        <v>0</v>
      </c>
      <c r="I182" s="467">
        <v>0</v>
      </c>
      <c r="J182" s="467">
        <v>0</v>
      </c>
      <c r="K182" s="1689">
        <f>SUM(C182:J182)</f>
        <v>1183140</v>
      </c>
      <c r="L182" s="466">
        <v>1273334</v>
      </c>
    </row>
    <row r="183" spans="1:14" ht="12.75" customHeight="1" thickBot="1" x14ac:dyDescent="0.25">
      <c r="A183" s="1527" t="s">
        <v>1037</v>
      </c>
      <c r="B183" s="676">
        <v>2900</v>
      </c>
      <c r="C183" s="571">
        <v>0</v>
      </c>
      <c r="D183" s="571">
        <v>0</v>
      </c>
      <c r="E183" s="571">
        <v>0</v>
      </c>
      <c r="F183" s="571">
        <v>0</v>
      </c>
      <c r="G183" s="571">
        <v>0</v>
      </c>
      <c r="H183" s="571">
        <v>0</v>
      </c>
      <c r="I183" s="530">
        <v>0</v>
      </c>
      <c r="J183" s="530">
        <v>0</v>
      </c>
      <c r="K183" s="1695">
        <f>SUM(C183:J183)</f>
        <v>0</v>
      </c>
      <c r="L183" s="571">
        <v>0</v>
      </c>
    </row>
    <row r="184" spans="1:14" ht="12.75" customHeight="1" thickTop="1" thickBot="1" x14ac:dyDescent="0.25">
      <c r="A184" s="1709" t="s">
        <v>865</v>
      </c>
      <c r="B184" s="1687" t="s">
        <v>590</v>
      </c>
      <c r="C184" s="1695">
        <f>SUM(C180,C182,C183)</f>
        <v>0</v>
      </c>
      <c r="D184" s="1695">
        <f t="shared" ref="D184:J184" si="17">SUM(D180,D182,D183)</f>
        <v>0</v>
      </c>
      <c r="E184" s="1695">
        <f t="shared" si="17"/>
        <v>1183140</v>
      </c>
      <c r="F184" s="1695">
        <f t="shared" si="17"/>
        <v>0</v>
      </c>
      <c r="G184" s="1695">
        <f t="shared" si="17"/>
        <v>0</v>
      </c>
      <c r="H184" s="1695">
        <f t="shared" si="17"/>
        <v>0</v>
      </c>
      <c r="I184" s="1695">
        <f t="shared" si="17"/>
        <v>0</v>
      </c>
      <c r="J184" s="1695">
        <f t="shared" si="17"/>
        <v>0</v>
      </c>
      <c r="K184" s="1695">
        <f>SUM(K180,K182,K183)</f>
        <v>1183140</v>
      </c>
      <c r="L184" s="1695">
        <f>SUM(L180, L182:L183)</f>
        <v>1273334</v>
      </c>
    </row>
    <row r="185" spans="1:14" ht="15.75" customHeight="1" thickTop="1" thickBot="1" x14ac:dyDescent="0.25">
      <c r="A185" s="1640" t="s">
        <v>996</v>
      </c>
      <c r="B185" s="1629">
        <v>3000</v>
      </c>
      <c r="C185" s="574">
        <v>0</v>
      </c>
      <c r="D185" s="574">
        <v>0</v>
      </c>
      <c r="E185" s="574">
        <v>0</v>
      </c>
      <c r="F185" s="574">
        <v>0</v>
      </c>
      <c r="G185" s="574">
        <v>0</v>
      </c>
      <c r="H185" s="574">
        <v>0</v>
      </c>
      <c r="I185" s="529">
        <v>0</v>
      </c>
      <c r="J185" s="529">
        <v>0</v>
      </c>
      <c r="K185" s="1688">
        <f>SUM(C185:J185)</f>
        <v>0</v>
      </c>
      <c r="L185" s="574">
        <v>0</v>
      </c>
    </row>
    <row r="186" spans="1:14" s="673" customFormat="1" ht="15.75" customHeight="1" thickTop="1" x14ac:dyDescent="0.2">
      <c r="A186" s="1624" t="s">
        <v>93</v>
      </c>
      <c r="B186" s="1627" t="s">
        <v>915</v>
      </c>
      <c r="C186" s="615"/>
      <c r="D186" s="615"/>
      <c r="E186" s="615"/>
      <c r="F186" s="615"/>
      <c r="G186" s="615"/>
      <c r="H186" s="615"/>
      <c r="I186" s="615"/>
      <c r="J186" s="615"/>
      <c r="K186" s="615"/>
      <c r="L186" s="615"/>
      <c r="M186" s="664"/>
      <c r="N186" s="664"/>
    </row>
    <row r="187" spans="1:14" s="673" customFormat="1" ht="15.75" customHeight="1" x14ac:dyDescent="0.2">
      <c r="A187" s="620" t="s">
        <v>1193</v>
      </c>
      <c r="B187" s="621"/>
      <c r="C187" s="615"/>
      <c r="D187" s="615"/>
      <c r="E187" s="615"/>
      <c r="F187" s="615"/>
      <c r="G187" s="615"/>
      <c r="H187" s="615"/>
      <c r="I187" s="615"/>
      <c r="J187" s="615"/>
      <c r="K187" s="615"/>
      <c r="L187" s="615"/>
      <c r="M187" s="664"/>
      <c r="N187" s="664"/>
    </row>
    <row r="188" spans="1:14" x14ac:dyDescent="0.2">
      <c r="A188" s="1522" t="s">
        <v>517</v>
      </c>
      <c r="B188" s="613">
        <v>4110</v>
      </c>
      <c r="C188" s="615"/>
      <c r="D188" s="615"/>
      <c r="E188" s="466">
        <v>0</v>
      </c>
      <c r="F188" s="615"/>
      <c r="G188" s="615"/>
      <c r="H188" s="466">
        <v>0</v>
      </c>
      <c r="I188" s="476"/>
      <c r="J188" s="615"/>
      <c r="K188" s="1689">
        <f t="shared" ref="K188:K193" si="18">SUM(E188,H188)</f>
        <v>0</v>
      </c>
      <c r="L188" s="466">
        <v>0</v>
      </c>
    </row>
    <row r="189" spans="1:14" x14ac:dyDescent="0.2">
      <c r="A189" s="1522" t="s">
        <v>322</v>
      </c>
      <c r="B189" s="613">
        <v>4120</v>
      </c>
      <c r="C189" s="615"/>
      <c r="D189" s="615"/>
      <c r="E189" s="466">
        <v>0</v>
      </c>
      <c r="F189" s="615"/>
      <c r="G189" s="615"/>
      <c r="H189" s="466">
        <v>0</v>
      </c>
      <c r="I189" s="476"/>
      <c r="J189" s="615"/>
      <c r="K189" s="1689">
        <f t="shared" si="18"/>
        <v>0</v>
      </c>
      <c r="L189" s="466">
        <v>0</v>
      </c>
    </row>
    <row r="190" spans="1:14" x14ac:dyDescent="0.2">
      <c r="A190" s="1522" t="s">
        <v>323</v>
      </c>
      <c r="B190" s="627">
        <v>4130</v>
      </c>
      <c r="C190" s="615"/>
      <c r="D190" s="615"/>
      <c r="E190" s="466">
        <v>0</v>
      </c>
      <c r="F190" s="615"/>
      <c r="G190" s="615"/>
      <c r="H190" s="466">
        <v>0</v>
      </c>
      <c r="I190" s="476"/>
      <c r="J190" s="615"/>
      <c r="K190" s="1689">
        <f t="shared" si="18"/>
        <v>0</v>
      </c>
      <c r="L190" s="466">
        <v>0</v>
      </c>
    </row>
    <row r="191" spans="1:14" x14ac:dyDescent="0.2">
      <c r="A191" s="1522" t="s">
        <v>721</v>
      </c>
      <c r="B191" s="613">
        <v>4140</v>
      </c>
      <c r="C191" s="615"/>
      <c r="D191" s="615"/>
      <c r="E191" s="466">
        <v>0</v>
      </c>
      <c r="F191" s="615"/>
      <c r="G191" s="615"/>
      <c r="H191" s="466">
        <v>0</v>
      </c>
      <c r="I191" s="476"/>
      <c r="J191" s="615"/>
      <c r="K191" s="1689">
        <f t="shared" si="18"/>
        <v>0</v>
      </c>
      <c r="L191" s="466">
        <v>0</v>
      </c>
    </row>
    <row r="192" spans="1:14" x14ac:dyDescent="0.2">
      <c r="A192" s="1522" t="s">
        <v>88</v>
      </c>
      <c r="B192" s="613">
        <v>4170</v>
      </c>
      <c r="C192" s="615"/>
      <c r="D192" s="615"/>
      <c r="E192" s="466">
        <v>0</v>
      </c>
      <c r="F192" s="615"/>
      <c r="G192" s="615"/>
      <c r="H192" s="466">
        <v>0</v>
      </c>
      <c r="I192" s="476"/>
      <c r="J192" s="615"/>
      <c r="K192" s="1689">
        <f t="shared" si="18"/>
        <v>0</v>
      </c>
      <c r="L192" s="466">
        <v>0</v>
      </c>
    </row>
    <row r="193" spans="1:14" x14ac:dyDescent="0.2">
      <c r="A193" s="1526" t="s">
        <v>722</v>
      </c>
      <c r="B193" s="627">
        <v>4190</v>
      </c>
      <c r="C193" s="615"/>
      <c r="D193" s="615"/>
      <c r="E193" s="466">
        <v>0</v>
      </c>
      <c r="F193" s="615"/>
      <c r="G193" s="615"/>
      <c r="H193" s="466">
        <v>0</v>
      </c>
      <c r="I193" s="476"/>
      <c r="J193" s="615"/>
      <c r="K193" s="1689">
        <f t="shared" si="18"/>
        <v>0</v>
      </c>
      <c r="L193" s="466">
        <v>0</v>
      </c>
    </row>
    <row r="194" spans="1:14" ht="12.75" customHeight="1" thickBot="1" x14ac:dyDescent="0.25">
      <c r="A194" s="1686" t="s">
        <v>1202</v>
      </c>
      <c r="B194" s="1687" t="s">
        <v>580</v>
      </c>
      <c r="C194" s="615"/>
      <c r="D194" s="615"/>
      <c r="E194" s="1688">
        <f>SUM(E188:E193)</f>
        <v>0</v>
      </c>
      <c r="F194" s="615"/>
      <c r="G194" s="615"/>
      <c r="H194" s="1688">
        <f>SUM(H188:H193)</f>
        <v>0</v>
      </c>
      <c r="I194" s="476"/>
      <c r="J194" s="615"/>
      <c r="K194" s="1688">
        <f>SUM(K188:K193)</f>
        <v>0</v>
      </c>
      <c r="L194" s="1688">
        <f>SUM(L188:L193)</f>
        <v>0</v>
      </c>
    </row>
    <row r="195" spans="1:14" ht="15.75" customHeight="1" thickTop="1" x14ac:dyDescent="0.2">
      <c r="A195" s="668" t="s">
        <v>94</v>
      </c>
      <c r="B195" s="677" t="s">
        <v>988</v>
      </c>
      <c r="C195" s="615"/>
      <c r="D195" s="615"/>
      <c r="E195" s="655">
        <v>0</v>
      </c>
      <c r="F195" s="615"/>
      <c r="G195" s="615"/>
      <c r="H195" s="655">
        <v>0</v>
      </c>
      <c r="I195" s="476"/>
      <c r="J195" s="615"/>
      <c r="K195" s="1703">
        <f>SUM(E195,H195)</f>
        <v>0</v>
      </c>
      <c r="L195" s="655">
        <v>0</v>
      </c>
    </row>
    <row r="196" spans="1:14" ht="12.75" customHeight="1" thickBot="1" x14ac:dyDescent="0.25">
      <c r="A196" s="1686" t="s">
        <v>1567</v>
      </c>
      <c r="B196" s="1687" t="s">
        <v>915</v>
      </c>
      <c r="C196" s="615"/>
      <c r="D196" s="615"/>
      <c r="E196" s="1695">
        <f>SUM(E194,E195)</f>
        <v>0</v>
      </c>
      <c r="F196" s="615"/>
      <c r="G196" s="615"/>
      <c r="H196" s="1695">
        <f>SUM(H194,H195)</f>
        <v>0</v>
      </c>
      <c r="I196" s="476"/>
      <c r="J196" s="615"/>
      <c r="K196" s="1695">
        <f>SUM(K194,K195)</f>
        <v>0</v>
      </c>
      <c r="L196" s="1695">
        <f>SUM(L194,L195)</f>
        <v>0</v>
      </c>
    </row>
    <row r="197" spans="1:14" s="673" customFormat="1" ht="15.75" customHeight="1" thickTop="1" x14ac:dyDescent="0.2">
      <c r="A197" s="1630" t="s">
        <v>997</v>
      </c>
      <c r="B197" s="1627" t="s">
        <v>513</v>
      </c>
      <c r="C197" s="615"/>
      <c r="D197" s="615"/>
      <c r="E197" s="615"/>
      <c r="F197" s="615"/>
      <c r="G197" s="615"/>
      <c r="H197" s="615"/>
      <c r="I197" s="615"/>
      <c r="J197" s="615"/>
      <c r="K197" s="615"/>
      <c r="L197" s="615"/>
      <c r="M197" s="664"/>
      <c r="N197" s="664"/>
    </row>
    <row r="198" spans="1:14" s="673" customFormat="1" ht="15.75" customHeight="1" x14ac:dyDescent="0.2">
      <c r="A198" s="652" t="s">
        <v>95</v>
      </c>
      <c r="B198" s="621"/>
      <c r="C198" s="615"/>
      <c r="D198" s="615"/>
      <c r="E198" s="615"/>
      <c r="F198" s="615"/>
      <c r="G198" s="615"/>
      <c r="H198" s="615"/>
      <c r="I198" s="615"/>
      <c r="J198" s="615"/>
      <c r="K198" s="615"/>
      <c r="L198" s="615"/>
      <c r="M198" s="664"/>
      <c r="N198" s="664"/>
    </row>
    <row r="199" spans="1:14" x14ac:dyDescent="0.2">
      <c r="A199" s="1522" t="s">
        <v>89</v>
      </c>
      <c r="B199" s="613">
        <v>5110</v>
      </c>
      <c r="C199" s="615"/>
      <c r="D199" s="615"/>
      <c r="E199" s="615"/>
      <c r="F199" s="615"/>
      <c r="G199" s="615"/>
      <c r="H199" s="466">
        <v>0</v>
      </c>
      <c r="I199" s="615"/>
      <c r="J199" s="615"/>
      <c r="K199" s="1689">
        <f>SUM(H199)</f>
        <v>0</v>
      </c>
      <c r="L199" s="466">
        <v>0</v>
      </c>
    </row>
    <row r="200" spans="1:14" x14ac:dyDescent="0.2">
      <c r="A200" s="1522" t="s">
        <v>90</v>
      </c>
      <c r="B200" s="613">
        <v>5120</v>
      </c>
      <c r="C200" s="615"/>
      <c r="D200" s="615"/>
      <c r="E200" s="615"/>
      <c r="F200" s="615"/>
      <c r="G200" s="615"/>
      <c r="H200" s="466">
        <v>0</v>
      </c>
      <c r="I200" s="615"/>
      <c r="J200" s="615"/>
      <c r="K200" s="1689">
        <f>SUM(H200)</f>
        <v>0</v>
      </c>
      <c r="L200" s="466">
        <v>0</v>
      </c>
    </row>
    <row r="201" spans="1:14" ht="12.75" customHeight="1" x14ac:dyDescent="0.2">
      <c r="A201" s="1522" t="s">
        <v>1232</v>
      </c>
      <c r="B201" s="627" t="s">
        <v>638</v>
      </c>
      <c r="C201" s="615"/>
      <c r="D201" s="615"/>
      <c r="E201" s="615"/>
      <c r="F201" s="615"/>
      <c r="G201" s="615"/>
      <c r="H201" s="466">
        <v>0</v>
      </c>
      <c r="I201" s="615"/>
      <c r="J201" s="615"/>
      <c r="K201" s="1689">
        <f>SUM(H201)</f>
        <v>0</v>
      </c>
      <c r="L201" s="466">
        <v>0</v>
      </c>
    </row>
    <row r="202" spans="1:14" x14ac:dyDescent="0.2">
      <c r="A202" s="1522" t="s">
        <v>91</v>
      </c>
      <c r="B202" s="613" t="s">
        <v>610</v>
      </c>
      <c r="C202" s="615"/>
      <c r="D202" s="615"/>
      <c r="E202" s="615"/>
      <c r="F202" s="615"/>
      <c r="G202" s="615"/>
      <c r="H202" s="466">
        <v>0</v>
      </c>
      <c r="I202" s="615"/>
      <c r="J202" s="615"/>
      <c r="K202" s="1689">
        <f>SUM(H202)</f>
        <v>0</v>
      </c>
      <c r="L202" s="466">
        <v>0</v>
      </c>
    </row>
    <row r="203" spans="1:14" x14ac:dyDescent="0.2">
      <c r="A203" s="1534" t="s">
        <v>640</v>
      </c>
      <c r="B203" s="613" t="s">
        <v>639</v>
      </c>
      <c r="C203" s="615"/>
      <c r="D203" s="615"/>
      <c r="E203" s="615"/>
      <c r="F203" s="615"/>
      <c r="G203" s="615"/>
      <c r="H203" s="471">
        <v>0</v>
      </c>
      <c r="I203" s="615"/>
      <c r="J203" s="615"/>
      <c r="K203" s="1689">
        <f>SUM(H203)</f>
        <v>0</v>
      </c>
      <c r="L203" s="471">
        <v>0</v>
      </c>
    </row>
    <row r="204" spans="1:14" ht="13.5" thickBot="1" x14ac:dyDescent="0.25">
      <c r="A204" s="1686" t="s">
        <v>294</v>
      </c>
      <c r="B204" s="1687" t="s">
        <v>742</v>
      </c>
      <c r="C204" s="615"/>
      <c r="D204" s="615"/>
      <c r="E204" s="615"/>
      <c r="F204" s="615"/>
      <c r="G204" s="615"/>
      <c r="H204" s="1688">
        <f>SUM(H199:H203)</f>
        <v>0</v>
      </c>
      <c r="I204" s="615"/>
      <c r="J204" s="615"/>
      <c r="K204" s="1688">
        <f>SUM(K199:K203)</f>
        <v>0</v>
      </c>
      <c r="L204" s="1688">
        <f>SUM(L199:L203)</f>
        <v>0</v>
      </c>
    </row>
    <row r="205" spans="1:14" ht="15.75" customHeight="1" thickTop="1" x14ac:dyDescent="0.2">
      <c r="A205" s="678" t="s">
        <v>85</v>
      </c>
      <c r="B205" s="679" t="s">
        <v>38</v>
      </c>
      <c r="C205" s="615"/>
      <c r="D205" s="615"/>
      <c r="E205" s="615"/>
      <c r="F205" s="615"/>
      <c r="G205" s="615"/>
      <c r="H205" s="533">
        <v>0</v>
      </c>
      <c r="I205" s="615"/>
      <c r="J205" s="615"/>
      <c r="K205" s="1703">
        <f>SUM(H205)</f>
        <v>0</v>
      </c>
      <c r="L205" s="533">
        <v>0</v>
      </c>
    </row>
    <row r="206" spans="1:14" ht="30" customHeight="1" x14ac:dyDescent="0.2">
      <c r="A206" s="680" t="s">
        <v>1770</v>
      </c>
      <c r="B206" s="671" t="s">
        <v>31</v>
      </c>
      <c r="C206" s="615"/>
      <c r="D206" s="615"/>
      <c r="E206" s="615"/>
      <c r="F206" s="615"/>
      <c r="G206" s="615"/>
      <c r="H206" s="466">
        <v>0</v>
      </c>
      <c r="I206" s="615"/>
      <c r="J206" s="615"/>
      <c r="K206" s="1689">
        <f>SUM(H206)</f>
        <v>0</v>
      </c>
      <c r="L206" s="466">
        <v>0</v>
      </c>
    </row>
    <row r="207" spans="1:14" ht="15.75" customHeight="1" x14ac:dyDescent="0.2">
      <c r="A207" s="620" t="s">
        <v>790</v>
      </c>
      <c r="B207" s="671" t="s">
        <v>86</v>
      </c>
      <c r="C207" s="615"/>
      <c r="D207" s="615"/>
      <c r="E207" s="615"/>
      <c r="F207" s="615"/>
      <c r="G207" s="615"/>
      <c r="H207" s="467">
        <v>0</v>
      </c>
      <c r="I207" s="615"/>
      <c r="J207" s="615"/>
      <c r="K207" s="1689">
        <f>H207</f>
        <v>0</v>
      </c>
      <c r="L207" s="466">
        <v>0</v>
      </c>
    </row>
    <row r="208" spans="1:14" ht="12.75" customHeight="1" thickBot="1" x14ac:dyDescent="0.25">
      <c r="A208" s="1704" t="s">
        <v>659</v>
      </c>
      <c r="B208" s="1705" t="s">
        <v>513</v>
      </c>
      <c r="C208" s="615"/>
      <c r="D208" s="615"/>
      <c r="E208" s="615"/>
      <c r="F208" s="615"/>
      <c r="G208" s="615"/>
      <c r="H208" s="1695">
        <f>SUM(H204,H205,H206,H207)</f>
        <v>0</v>
      </c>
      <c r="I208" s="615"/>
      <c r="J208" s="615"/>
      <c r="K208" s="1695">
        <f>SUM(K204,K205,K206,K207)</f>
        <v>0</v>
      </c>
      <c r="L208" s="1695">
        <f>SUM(L204,L205,L206,L207)</f>
        <v>0</v>
      </c>
    </row>
    <row r="209" spans="1:14" ht="15.75" customHeight="1" thickTop="1" thickBot="1" x14ac:dyDescent="0.25">
      <c r="A209" s="1624" t="s">
        <v>927</v>
      </c>
      <c r="B209" s="1631" t="s">
        <v>916</v>
      </c>
      <c r="C209" s="622"/>
      <c r="D209" s="622"/>
      <c r="E209" s="622"/>
      <c r="F209" s="622"/>
      <c r="G209" s="622"/>
      <c r="H209" s="622"/>
      <c r="I209" s="615"/>
      <c r="J209" s="615"/>
      <c r="K209" s="622"/>
      <c r="L209" s="574">
        <v>0</v>
      </c>
    </row>
    <row r="210" spans="1:14" ht="12.75" customHeight="1" thickTop="1" thickBot="1" x14ac:dyDescent="0.25">
      <c r="A210" s="1710" t="s">
        <v>295</v>
      </c>
      <c r="B210" s="1711"/>
      <c r="C210" s="1688">
        <f>SUM(C184,C185)</f>
        <v>0</v>
      </c>
      <c r="D210" s="1688">
        <f>SUM(D184,D185)</f>
        <v>0</v>
      </c>
      <c r="E210" s="1688">
        <f>SUM(E184,E185,E196)</f>
        <v>1183140</v>
      </c>
      <c r="F210" s="1688">
        <f>SUM(F184,F185)</f>
        <v>0</v>
      </c>
      <c r="G210" s="1688">
        <f>SUM(G184,G185)</f>
        <v>0</v>
      </c>
      <c r="H210" s="1688">
        <f>SUM(H184,H185,H196,H208,H209)</f>
        <v>0</v>
      </c>
      <c r="I210" s="1688">
        <f>SUM(I184,I185)</f>
        <v>0</v>
      </c>
      <c r="J210" s="1688">
        <f>SUM(J184,J185)</f>
        <v>0</v>
      </c>
      <c r="K210" s="1689">
        <f>SUM(K184,K185,K196,K208,K209)</f>
        <v>1183140</v>
      </c>
      <c r="L210" s="1688">
        <f>SUM(L184,L185,L196,L208,L209)</f>
        <v>1273334</v>
      </c>
    </row>
    <row r="211" spans="1:14" ht="13.5" thickTop="1" x14ac:dyDescent="0.2">
      <c r="A211" s="2359" t="s">
        <v>1053</v>
      </c>
      <c r="B211" s="2360"/>
      <c r="C211" s="617"/>
      <c r="D211" s="617"/>
      <c r="E211" s="617"/>
      <c r="F211" s="617"/>
      <c r="G211" s="617"/>
      <c r="H211" s="617"/>
      <c r="I211" s="615"/>
      <c r="J211" s="615"/>
      <c r="K211" s="1702">
        <f>'Revenues 9-14'!F275-'Expenditures 15-22'!K210</f>
        <v>132155</v>
      </c>
      <c r="L211" s="617"/>
    </row>
    <row r="212" spans="1:14" s="665" customFormat="1" ht="9" customHeight="1" x14ac:dyDescent="0.2">
      <c r="A212" s="662"/>
      <c r="B212" s="672"/>
      <c r="C212" s="649"/>
      <c r="D212" s="649"/>
      <c r="E212" s="649"/>
      <c r="F212" s="649"/>
      <c r="G212" s="649"/>
      <c r="H212" s="649"/>
      <c r="I212" s="649"/>
      <c r="J212" s="649"/>
      <c r="K212" s="649"/>
      <c r="L212" s="649"/>
      <c r="M212" s="664"/>
      <c r="N212" s="664"/>
    </row>
    <row r="213" spans="1:14" s="343" customFormat="1" ht="16.7" customHeight="1" x14ac:dyDescent="0.2">
      <c r="A213" s="2381" t="s">
        <v>1022</v>
      </c>
      <c r="B213" s="2382"/>
      <c r="C213" s="1569"/>
      <c r="D213" s="1570"/>
      <c r="E213" s="1570"/>
      <c r="F213" s="1570"/>
      <c r="G213" s="1570"/>
      <c r="H213" s="1570"/>
      <c r="I213" s="1570"/>
      <c r="J213" s="1570"/>
      <c r="K213" s="1570"/>
      <c r="L213" s="1571"/>
      <c r="M213" s="608"/>
      <c r="N213" s="608"/>
    </row>
    <row r="214" spans="1:14" s="673" customFormat="1" ht="15.75" customHeight="1" x14ac:dyDescent="0.2">
      <c r="A214" s="1641" t="s">
        <v>928</v>
      </c>
      <c r="B214" s="1633" t="s">
        <v>591</v>
      </c>
      <c r="C214" s="615"/>
      <c r="D214" s="622"/>
      <c r="E214" s="615"/>
      <c r="F214" s="615"/>
      <c r="G214" s="615"/>
      <c r="H214" s="615"/>
      <c r="I214" s="615"/>
      <c r="J214" s="615"/>
      <c r="K214" s="622"/>
      <c r="L214" s="622"/>
      <c r="M214" s="664"/>
      <c r="N214" s="664"/>
    </row>
    <row r="215" spans="1:14" x14ac:dyDescent="0.2">
      <c r="A215" s="1522" t="s">
        <v>1018</v>
      </c>
      <c r="B215" s="613">
        <v>1100</v>
      </c>
      <c r="C215" s="615"/>
      <c r="D215" s="466">
        <v>108129</v>
      </c>
      <c r="E215" s="615"/>
      <c r="F215" s="615"/>
      <c r="G215" s="615"/>
      <c r="H215" s="615"/>
      <c r="I215" s="615"/>
      <c r="J215" s="615"/>
      <c r="K215" s="1689">
        <f>D215</f>
        <v>108129</v>
      </c>
      <c r="L215" s="466">
        <v>0</v>
      </c>
    </row>
    <row r="216" spans="1:14" x14ac:dyDescent="0.2">
      <c r="A216" s="1522" t="s">
        <v>165</v>
      </c>
      <c r="B216" s="613" t="s">
        <v>1024</v>
      </c>
      <c r="C216" s="615"/>
      <c r="D216" s="467">
        <v>0</v>
      </c>
      <c r="E216" s="615"/>
      <c r="F216" s="615"/>
      <c r="G216" s="615"/>
      <c r="H216" s="615"/>
      <c r="I216" s="615"/>
      <c r="J216" s="615"/>
      <c r="K216" s="1689">
        <f t="shared" ref="K216:K228" si="19">D216</f>
        <v>0</v>
      </c>
      <c r="L216" s="466">
        <v>113795</v>
      </c>
    </row>
    <row r="217" spans="1:14" x14ac:dyDescent="0.2">
      <c r="A217" s="1522" t="s">
        <v>166</v>
      </c>
      <c r="B217" s="613">
        <v>1200</v>
      </c>
      <c r="C217" s="615"/>
      <c r="D217" s="466">
        <v>62032</v>
      </c>
      <c r="E217" s="615"/>
      <c r="F217" s="615"/>
      <c r="G217" s="615"/>
      <c r="H217" s="615"/>
      <c r="I217" s="615"/>
      <c r="J217" s="615"/>
      <c r="K217" s="1689">
        <f t="shared" si="19"/>
        <v>62032</v>
      </c>
      <c r="L217" s="466">
        <v>65977</v>
      </c>
    </row>
    <row r="218" spans="1:14" x14ac:dyDescent="0.2">
      <c r="A218" s="1522" t="s">
        <v>296</v>
      </c>
      <c r="B218" s="613" t="s">
        <v>1025</v>
      </c>
      <c r="C218" s="615"/>
      <c r="D218" s="467">
        <v>0</v>
      </c>
      <c r="E218" s="615"/>
      <c r="F218" s="615"/>
      <c r="G218" s="615"/>
      <c r="H218" s="615"/>
      <c r="I218" s="615"/>
      <c r="J218" s="615"/>
      <c r="K218" s="1689">
        <f t="shared" si="19"/>
        <v>0</v>
      </c>
      <c r="L218" s="466">
        <v>0</v>
      </c>
    </row>
    <row r="219" spans="1:14" x14ac:dyDescent="0.2">
      <c r="A219" s="1522" t="s">
        <v>297</v>
      </c>
      <c r="B219" s="613">
        <v>1250</v>
      </c>
      <c r="C219" s="615"/>
      <c r="D219" s="466">
        <v>528</v>
      </c>
      <c r="E219" s="615"/>
      <c r="F219" s="615"/>
      <c r="G219" s="615"/>
      <c r="H219" s="615"/>
      <c r="I219" s="615"/>
      <c r="J219" s="615"/>
      <c r="K219" s="1689">
        <f t="shared" si="19"/>
        <v>528</v>
      </c>
      <c r="L219" s="466">
        <v>1275</v>
      </c>
    </row>
    <row r="220" spans="1:14" x14ac:dyDescent="0.2">
      <c r="A220" s="1522" t="s">
        <v>298</v>
      </c>
      <c r="B220" s="613" t="s">
        <v>163</v>
      </c>
      <c r="C220" s="615"/>
      <c r="D220" s="467">
        <v>0</v>
      </c>
      <c r="E220" s="615"/>
      <c r="F220" s="615"/>
      <c r="G220" s="615"/>
      <c r="H220" s="615"/>
      <c r="I220" s="615"/>
      <c r="J220" s="615"/>
      <c r="K220" s="1689">
        <f t="shared" si="19"/>
        <v>0</v>
      </c>
      <c r="L220" s="466">
        <v>0</v>
      </c>
    </row>
    <row r="221" spans="1:14" x14ac:dyDescent="0.2">
      <c r="A221" s="1522" t="s">
        <v>1019</v>
      </c>
      <c r="B221" s="613">
        <v>1300</v>
      </c>
      <c r="C221" s="615"/>
      <c r="D221" s="466">
        <v>0</v>
      </c>
      <c r="E221" s="615"/>
      <c r="F221" s="615"/>
      <c r="G221" s="615"/>
      <c r="H221" s="615"/>
      <c r="I221" s="615"/>
      <c r="J221" s="615"/>
      <c r="K221" s="1689">
        <f t="shared" si="19"/>
        <v>0</v>
      </c>
      <c r="L221" s="466">
        <v>0</v>
      </c>
    </row>
    <row r="222" spans="1:14" x14ac:dyDescent="0.2">
      <c r="A222" s="1522" t="s">
        <v>747</v>
      </c>
      <c r="B222" s="613">
        <v>1400</v>
      </c>
      <c r="C222" s="615"/>
      <c r="D222" s="466">
        <v>11260</v>
      </c>
      <c r="E222" s="615"/>
      <c r="F222" s="615"/>
      <c r="G222" s="615"/>
      <c r="H222" s="615"/>
      <c r="I222" s="615"/>
      <c r="J222" s="615"/>
      <c r="K222" s="1689">
        <f t="shared" si="19"/>
        <v>11260</v>
      </c>
      <c r="L222" s="466">
        <v>10500</v>
      </c>
    </row>
    <row r="223" spans="1:14" x14ac:dyDescent="0.2">
      <c r="A223" s="1522" t="s">
        <v>1020</v>
      </c>
      <c r="B223" s="613">
        <v>1500</v>
      </c>
      <c r="C223" s="615"/>
      <c r="D223" s="466">
        <v>21191</v>
      </c>
      <c r="E223" s="615"/>
      <c r="F223" s="615"/>
      <c r="G223" s="615"/>
      <c r="H223" s="615"/>
      <c r="I223" s="615"/>
      <c r="J223" s="615"/>
      <c r="K223" s="1689">
        <f t="shared" si="19"/>
        <v>21191</v>
      </c>
      <c r="L223" s="466">
        <v>20166</v>
      </c>
    </row>
    <row r="224" spans="1:14" x14ac:dyDescent="0.2">
      <c r="A224" s="1522" t="s">
        <v>1021</v>
      </c>
      <c r="B224" s="613">
        <v>1600</v>
      </c>
      <c r="C224" s="615"/>
      <c r="D224" s="466">
        <v>353</v>
      </c>
      <c r="E224" s="615"/>
      <c r="F224" s="615"/>
      <c r="G224" s="615"/>
      <c r="H224" s="615"/>
      <c r="I224" s="615"/>
      <c r="J224" s="615"/>
      <c r="K224" s="1689">
        <f t="shared" si="19"/>
        <v>353</v>
      </c>
      <c r="L224" s="466">
        <v>580</v>
      </c>
    </row>
    <row r="225" spans="1:12" x14ac:dyDescent="0.2">
      <c r="A225" s="1522" t="s">
        <v>1044</v>
      </c>
      <c r="B225" s="613">
        <v>1650</v>
      </c>
      <c r="C225" s="615"/>
      <c r="D225" s="466">
        <v>0</v>
      </c>
      <c r="E225" s="615"/>
      <c r="F225" s="615"/>
      <c r="G225" s="615"/>
      <c r="H225" s="615"/>
      <c r="I225" s="615"/>
      <c r="J225" s="615"/>
      <c r="K225" s="1689">
        <f t="shared" si="19"/>
        <v>0</v>
      </c>
      <c r="L225" s="466">
        <v>0</v>
      </c>
    </row>
    <row r="226" spans="1:12" x14ac:dyDescent="0.2">
      <c r="A226" s="1522" t="s">
        <v>748</v>
      </c>
      <c r="B226" s="613" t="s">
        <v>164</v>
      </c>
      <c r="C226" s="615"/>
      <c r="D226" s="467">
        <v>574</v>
      </c>
      <c r="E226" s="615"/>
      <c r="F226" s="615"/>
      <c r="G226" s="615"/>
      <c r="H226" s="615"/>
      <c r="I226" s="615"/>
      <c r="J226" s="615"/>
      <c r="K226" s="1689">
        <f t="shared" si="19"/>
        <v>574</v>
      </c>
      <c r="L226" s="466">
        <v>785</v>
      </c>
    </row>
    <row r="227" spans="1:12" x14ac:dyDescent="0.2">
      <c r="A227" s="1522" t="s">
        <v>1148</v>
      </c>
      <c r="B227" s="613">
        <v>1800</v>
      </c>
      <c r="C227" s="615"/>
      <c r="D227" s="466">
        <v>0</v>
      </c>
      <c r="E227" s="615"/>
      <c r="F227" s="615"/>
      <c r="G227" s="615"/>
      <c r="H227" s="615"/>
      <c r="I227" s="615"/>
      <c r="J227" s="615"/>
      <c r="K227" s="1689">
        <f t="shared" si="19"/>
        <v>0</v>
      </c>
      <c r="L227" s="466">
        <v>0</v>
      </c>
    </row>
    <row r="228" spans="1:12" x14ac:dyDescent="0.2">
      <c r="A228" s="1522" t="s">
        <v>1149</v>
      </c>
      <c r="B228" s="613">
        <v>1900</v>
      </c>
      <c r="C228" s="615"/>
      <c r="D228" s="466">
        <v>0</v>
      </c>
      <c r="E228" s="615"/>
      <c r="F228" s="615"/>
      <c r="G228" s="615"/>
      <c r="H228" s="615"/>
      <c r="I228" s="615"/>
      <c r="J228" s="615"/>
      <c r="K228" s="1689">
        <f t="shared" si="19"/>
        <v>0</v>
      </c>
      <c r="L228" s="466">
        <v>0</v>
      </c>
    </row>
    <row r="229" spans="1:12" ht="12.75" customHeight="1" thickBot="1" x14ac:dyDescent="0.25">
      <c r="A229" s="1686" t="s">
        <v>739</v>
      </c>
      <c r="B229" s="1693" t="s">
        <v>591</v>
      </c>
      <c r="C229" s="615"/>
      <c r="D229" s="1688">
        <f>SUM(D215:D228)</f>
        <v>204067</v>
      </c>
      <c r="E229" s="615"/>
      <c r="F229" s="615"/>
      <c r="G229" s="615"/>
      <c r="H229" s="615"/>
      <c r="I229" s="615"/>
      <c r="J229" s="615"/>
      <c r="K229" s="1688">
        <f>SUM(K215:K228)</f>
        <v>204067</v>
      </c>
      <c r="L229" s="1688">
        <f>SUM(L215:L228)</f>
        <v>213078</v>
      </c>
    </row>
    <row r="230" spans="1:12" ht="15.75" customHeight="1" thickTop="1" x14ac:dyDescent="0.2">
      <c r="A230" s="1630" t="s">
        <v>929</v>
      </c>
      <c r="B230" s="1631" t="s">
        <v>590</v>
      </c>
      <c r="C230" s="615"/>
      <c r="D230" s="615"/>
      <c r="E230" s="615"/>
      <c r="F230" s="615"/>
      <c r="G230" s="615"/>
      <c r="H230" s="615"/>
      <c r="I230" s="615"/>
      <c r="J230" s="615"/>
      <c r="K230" s="615"/>
      <c r="L230" s="615"/>
    </row>
    <row r="231" spans="1:12" ht="15.75" customHeight="1" x14ac:dyDescent="0.2">
      <c r="A231" s="652" t="s">
        <v>612</v>
      </c>
      <c r="B231" s="621"/>
      <c r="C231" s="615"/>
      <c r="D231" s="615"/>
      <c r="E231" s="615"/>
      <c r="F231" s="615"/>
      <c r="G231" s="615"/>
      <c r="H231" s="615"/>
      <c r="I231" s="615"/>
      <c r="J231" s="615"/>
      <c r="K231" s="615"/>
      <c r="L231" s="615"/>
    </row>
    <row r="232" spans="1:12" x14ac:dyDescent="0.2">
      <c r="A232" s="1522" t="s">
        <v>1150</v>
      </c>
      <c r="B232" s="613">
        <v>2110</v>
      </c>
      <c r="C232" s="615"/>
      <c r="D232" s="466">
        <v>3552</v>
      </c>
      <c r="E232" s="615"/>
      <c r="F232" s="615"/>
      <c r="G232" s="615"/>
      <c r="H232" s="615"/>
      <c r="I232" s="615"/>
      <c r="J232" s="615"/>
      <c r="K232" s="1689">
        <f t="shared" ref="K232:K237" si="20">D232</f>
        <v>3552</v>
      </c>
      <c r="L232" s="466">
        <v>3650</v>
      </c>
    </row>
    <row r="233" spans="1:12" x14ac:dyDescent="0.2">
      <c r="A233" s="1522" t="s">
        <v>1151</v>
      </c>
      <c r="B233" s="613">
        <v>2120</v>
      </c>
      <c r="C233" s="615"/>
      <c r="D233" s="466">
        <v>22790</v>
      </c>
      <c r="E233" s="615"/>
      <c r="F233" s="615"/>
      <c r="G233" s="615"/>
      <c r="H233" s="615"/>
      <c r="I233" s="615"/>
      <c r="J233" s="615"/>
      <c r="K233" s="1689">
        <f t="shared" si="20"/>
        <v>22790</v>
      </c>
      <c r="L233" s="466">
        <v>22396</v>
      </c>
    </row>
    <row r="234" spans="1:12" x14ac:dyDescent="0.2">
      <c r="A234" s="1522" t="s">
        <v>207</v>
      </c>
      <c r="B234" s="613">
        <v>2130</v>
      </c>
      <c r="C234" s="615"/>
      <c r="D234" s="466">
        <v>12768</v>
      </c>
      <c r="E234" s="615"/>
      <c r="F234" s="615"/>
      <c r="G234" s="615"/>
      <c r="H234" s="615"/>
      <c r="I234" s="615"/>
      <c r="J234" s="615"/>
      <c r="K234" s="1689">
        <f t="shared" si="20"/>
        <v>12768</v>
      </c>
      <c r="L234" s="466">
        <v>11835</v>
      </c>
    </row>
    <row r="235" spans="1:12" x14ac:dyDescent="0.2">
      <c r="A235" s="1522" t="s">
        <v>208</v>
      </c>
      <c r="B235" s="613">
        <v>2140</v>
      </c>
      <c r="C235" s="615"/>
      <c r="D235" s="466">
        <v>2338</v>
      </c>
      <c r="E235" s="615"/>
      <c r="F235" s="615"/>
      <c r="G235" s="615"/>
      <c r="H235" s="615"/>
      <c r="I235" s="615"/>
      <c r="J235" s="615"/>
      <c r="K235" s="1689">
        <f t="shared" si="20"/>
        <v>2338</v>
      </c>
      <c r="L235" s="466">
        <v>2315</v>
      </c>
    </row>
    <row r="236" spans="1:12" x14ac:dyDescent="0.2">
      <c r="A236" s="1522" t="s">
        <v>209</v>
      </c>
      <c r="B236" s="613">
        <v>2150</v>
      </c>
      <c r="C236" s="615"/>
      <c r="D236" s="466">
        <v>0</v>
      </c>
      <c r="E236" s="615"/>
      <c r="F236" s="615"/>
      <c r="G236" s="615"/>
      <c r="H236" s="615"/>
      <c r="I236" s="615"/>
      <c r="J236" s="615"/>
      <c r="K236" s="1689">
        <f t="shared" si="20"/>
        <v>0</v>
      </c>
      <c r="L236" s="466">
        <v>0</v>
      </c>
    </row>
    <row r="237" spans="1:12" x14ac:dyDescent="0.2">
      <c r="A237" s="1522" t="s">
        <v>167</v>
      </c>
      <c r="B237" s="613">
        <v>2190</v>
      </c>
      <c r="C237" s="615"/>
      <c r="D237" s="466">
        <v>0</v>
      </c>
      <c r="E237" s="615"/>
      <c r="F237" s="615"/>
      <c r="G237" s="615"/>
      <c r="H237" s="615"/>
      <c r="I237" s="615"/>
      <c r="J237" s="615"/>
      <c r="K237" s="1689">
        <f t="shared" si="20"/>
        <v>0</v>
      </c>
      <c r="L237" s="466">
        <v>0</v>
      </c>
    </row>
    <row r="238" spans="1:12" ht="12.75" customHeight="1" thickBot="1" x14ac:dyDescent="0.25">
      <c r="A238" s="1686" t="s">
        <v>581</v>
      </c>
      <c r="B238" s="1693" t="s">
        <v>740</v>
      </c>
      <c r="C238" s="615"/>
      <c r="D238" s="1688">
        <f>SUM(D232:D237)</f>
        <v>41448</v>
      </c>
      <c r="E238" s="615"/>
      <c r="F238" s="615"/>
      <c r="G238" s="615"/>
      <c r="H238" s="615"/>
      <c r="I238" s="615"/>
      <c r="J238" s="615"/>
      <c r="K238" s="1688">
        <f>SUM(K232:K237)</f>
        <v>41448</v>
      </c>
      <c r="L238" s="1688">
        <f>SUM(L232:L237)</f>
        <v>40196</v>
      </c>
    </row>
    <row r="239" spans="1:12" ht="15.75" customHeight="1" thickTop="1" x14ac:dyDescent="0.2">
      <c r="A239" s="623" t="s">
        <v>613</v>
      </c>
      <c r="B239" s="630"/>
      <c r="C239" s="615"/>
      <c r="D239" s="625"/>
      <c r="E239" s="615"/>
      <c r="F239" s="615"/>
      <c r="G239" s="615"/>
      <c r="H239" s="615"/>
      <c r="I239" s="615"/>
      <c r="J239" s="615"/>
      <c r="K239" s="625"/>
      <c r="L239" s="625"/>
    </row>
    <row r="240" spans="1:12" x14ac:dyDescent="0.2">
      <c r="A240" s="1522" t="s">
        <v>868</v>
      </c>
      <c r="B240" s="613">
        <v>2210</v>
      </c>
      <c r="C240" s="615"/>
      <c r="D240" s="480">
        <v>89</v>
      </c>
      <c r="E240" s="615"/>
      <c r="F240" s="615"/>
      <c r="G240" s="615"/>
      <c r="H240" s="615"/>
      <c r="I240" s="615"/>
      <c r="J240" s="615"/>
      <c r="K240" s="1690">
        <f>D240</f>
        <v>89</v>
      </c>
      <c r="L240" s="480">
        <v>100</v>
      </c>
    </row>
    <row r="241" spans="1:12" x14ac:dyDescent="0.2">
      <c r="A241" s="1522" t="s">
        <v>869</v>
      </c>
      <c r="B241" s="613">
        <v>2220</v>
      </c>
      <c r="C241" s="615"/>
      <c r="D241" s="466">
        <v>8296</v>
      </c>
      <c r="E241" s="615"/>
      <c r="F241" s="615"/>
      <c r="G241" s="615"/>
      <c r="H241" s="615"/>
      <c r="I241" s="615"/>
      <c r="J241" s="615"/>
      <c r="K241" s="1690">
        <f>D241</f>
        <v>8296</v>
      </c>
      <c r="L241" s="466">
        <v>8597</v>
      </c>
    </row>
    <row r="242" spans="1:12" x14ac:dyDescent="0.2">
      <c r="A242" s="1522" t="s">
        <v>870</v>
      </c>
      <c r="B242" s="613">
        <v>2230</v>
      </c>
      <c r="C242" s="615"/>
      <c r="D242" s="466">
        <v>0</v>
      </c>
      <c r="E242" s="615"/>
      <c r="F242" s="615"/>
      <c r="G242" s="615"/>
      <c r="H242" s="615"/>
      <c r="I242" s="615"/>
      <c r="J242" s="615"/>
      <c r="K242" s="1690">
        <f>D242</f>
        <v>0</v>
      </c>
      <c r="L242" s="466">
        <v>0</v>
      </c>
    </row>
    <row r="243" spans="1:12" ht="12.75" customHeight="1" thickBot="1" x14ac:dyDescent="0.25">
      <c r="A243" s="1712" t="s">
        <v>582</v>
      </c>
      <c r="B243" s="1713">
        <v>2200</v>
      </c>
      <c r="C243" s="615"/>
      <c r="D243" s="1688">
        <f>SUM(D240:D242)</f>
        <v>8385</v>
      </c>
      <c r="E243" s="615"/>
      <c r="F243" s="615"/>
      <c r="G243" s="615"/>
      <c r="H243" s="615"/>
      <c r="I243" s="615"/>
      <c r="J243" s="615"/>
      <c r="K243" s="1688">
        <f>SUM(K240:K242)</f>
        <v>8385</v>
      </c>
      <c r="L243" s="1688">
        <f>SUM(L240:L242)</f>
        <v>8697</v>
      </c>
    </row>
    <row r="244" spans="1:12" ht="15.75" customHeight="1" thickTop="1" x14ac:dyDescent="0.2">
      <c r="A244" s="623" t="s">
        <v>631</v>
      </c>
      <c r="B244" s="681"/>
      <c r="C244" s="615"/>
      <c r="D244" s="625"/>
      <c r="E244" s="615"/>
      <c r="F244" s="615"/>
      <c r="G244" s="615"/>
      <c r="H244" s="615"/>
      <c r="I244" s="615"/>
      <c r="J244" s="615"/>
      <c r="K244" s="625"/>
      <c r="L244" s="625"/>
    </row>
    <row r="245" spans="1:12" x14ac:dyDescent="0.2">
      <c r="A245" s="1522" t="s">
        <v>871</v>
      </c>
      <c r="B245" s="613">
        <v>2310</v>
      </c>
      <c r="C245" s="615"/>
      <c r="D245" s="480">
        <v>0</v>
      </c>
      <c r="E245" s="615"/>
      <c r="F245" s="615"/>
      <c r="G245" s="615"/>
      <c r="H245" s="615"/>
      <c r="I245" s="615"/>
      <c r="J245" s="615"/>
      <c r="K245" s="1690">
        <f>D245</f>
        <v>0</v>
      </c>
      <c r="L245" s="480">
        <v>0</v>
      </c>
    </row>
    <row r="246" spans="1:12" x14ac:dyDescent="0.2">
      <c r="A246" s="1522" t="s">
        <v>872</v>
      </c>
      <c r="B246" s="613">
        <v>2320</v>
      </c>
      <c r="C246" s="615"/>
      <c r="D246" s="466">
        <v>24131</v>
      </c>
      <c r="E246" s="615"/>
      <c r="F246" s="615"/>
      <c r="G246" s="615"/>
      <c r="H246" s="615"/>
      <c r="I246" s="615"/>
      <c r="J246" s="615"/>
      <c r="K246" s="1690">
        <f t="shared" ref="K246:K256" si="21">D246</f>
        <v>24131</v>
      </c>
      <c r="L246" s="466">
        <v>23844</v>
      </c>
    </row>
    <row r="247" spans="1:12" x14ac:dyDescent="0.2">
      <c r="A247" s="1522" t="s">
        <v>873</v>
      </c>
      <c r="B247" s="613">
        <v>2330</v>
      </c>
      <c r="C247" s="615"/>
      <c r="D247" s="466">
        <v>0</v>
      </c>
      <c r="E247" s="615"/>
      <c r="F247" s="615"/>
      <c r="G247" s="615"/>
      <c r="H247" s="615"/>
      <c r="I247" s="615"/>
      <c r="J247" s="615"/>
      <c r="K247" s="1690">
        <f t="shared" si="21"/>
        <v>0</v>
      </c>
      <c r="L247" s="466">
        <v>0</v>
      </c>
    </row>
    <row r="248" spans="1:12" x14ac:dyDescent="0.2">
      <c r="A248" s="1523" t="s">
        <v>317</v>
      </c>
      <c r="B248" s="601" t="s">
        <v>299</v>
      </c>
      <c r="C248" s="615"/>
      <c r="D248" s="474">
        <v>0</v>
      </c>
      <c r="E248" s="615"/>
      <c r="F248" s="615"/>
      <c r="G248" s="615"/>
      <c r="H248" s="615"/>
      <c r="I248" s="615"/>
      <c r="J248" s="615"/>
      <c r="K248" s="1690">
        <f t="shared" si="21"/>
        <v>0</v>
      </c>
      <c r="L248" s="466">
        <v>0</v>
      </c>
    </row>
    <row r="249" spans="1:12" x14ac:dyDescent="0.2">
      <c r="A249" s="1524" t="s">
        <v>1905</v>
      </c>
      <c r="B249" s="682" t="s">
        <v>300</v>
      </c>
      <c r="C249" s="615"/>
      <c r="D249" s="474">
        <v>0</v>
      </c>
      <c r="E249" s="615"/>
      <c r="F249" s="615"/>
      <c r="G249" s="615"/>
      <c r="H249" s="615"/>
      <c r="I249" s="615"/>
      <c r="J249" s="615"/>
      <c r="K249" s="1690">
        <f t="shared" si="21"/>
        <v>0</v>
      </c>
      <c r="L249" s="466">
        <v>0</v>
      </c>
    </row>
    <row r="250" spans="1:12" x14ac:dyDescent="0.2">
      <c r="A250" s="1523" t="s">
        <v>1906</v>
      </c>
      <c r="B250" s="601" t="s">
        <v>301</v>
      </c>
      <c r="C250" s="615"/>
      <c r="D250" s="474">
        <v>0</v>
      </c>
      <c r="E250" s="615"/>
      <c r="F250" s="615"/>
      <c r="G250" s="615"/>
      <c r="H250" s="615"/>
      <c r="I250" s="615"/>
      <c r="J250" s="615"/>
      <c r="K250" s="1690">
        <f t="shared" si="21"/>
        <v>0</v>
      </c>
      <c r="L250" s="466">
        <v>0</v>
      </c>
    </row>
    <row r="251" spans="1:12" x14ac:dyDescent="0.2">
      <c r="A251" s="1523" t="s">
        <v>256</v>
      </c>
      <c r="B251" s="601" t="s">
        <v>302</v>
      </c>
      <c r="C251" s="615"/>
      <c r="D251" s="474">
        <v>0</v>
      </c>
      <c r="E251" s="615"/>
      <c r="F251" s="615"/>
      <c r="G251" s="615"/>
      <c r="H251" s="615"/>
      <c r="I251" s="615"/>
      <c r="J251" s="615"/>
      <c r="K251" s="1690">
        <f t="shared" si="21"/>
        <v>0</v>
      </c>
      <c r="L251" s="466">
        <v>0</v>
      </c>
    </row>
    <row r="252" spans="1:12" x14ac:dyDescent="0.2">
      <c r="A252" s="1523" t="s">
        <v>726</v>
      </c>
      <c r="B252" s="601" t="s">
        <v>303</v>
      </c>
      <c r="C252" s="615"/>
      <c r="D252" s="474">
        <v>0</v>
      </c>
      <c r="E252" s="615"/>
      <c r="F252" s="615"/>
      <c r="G252" s="615"/>
      <c r="H252" s="615"/>
      <c r="I252" s="615"/>
      <c r="J252" s="615"/>
      <c r="K252" s="1690">
        <f t="shared" si="21"/>
        <v>0</v>
      </c>
      <c r="L252" s="466">
        <v>0</v>
      </c>
    </row>
    <row r="253" spans="1:12" x14ac:dyDescent="0.2">
      <c r="A253" s="1523" t="s">
        <v>257</v>
      </c>
      <c r="B253" s="601" t="s">
        <v>304</v>
      </c>
      <c r="C253" s="615"/>
      <c r="D253" s="474">
        <v>0</v>
      </c>
      <c r="E253" s="615"/>
      <c r="F253" s="615"/>
      <c r="G253" s="615"/>
      <c r="H253" s="615"/>
      <c r="I253" s="615"/>
      <c r="J253" s="615"/>
      <c r="K253" s="1690">
        <f t="shared" si="21"/>
        <v>0</v>
      </c>
      <c r="L253" s="466">
        <v>0</v>
      </c>
    </row>
    <row r="254" spans="1:12" ht="22.5" x14ac:dyDescent="0.2">
      <c r="A254" s="1523" t="s">
        <v>1087</v>
      </c>
      <c r="B254" s="682" t="s">
        <v>305</v>
      </c>
      <c r="C254" s="615"/>
      <c r="D254" s="474">
        <v>0</v>
      </c>
      <c r="E254" s="615"/>
      <c r="F254" s="615"/>
      <c r="G254" s="615"/>
      <c r="H254" s="615"/>
      <c r="I254" s="615"/>
      <c r="J254" s="615"/>
      <c r="K254" s="1690">
        <f t="shared" si="21"/>
        <v>0</v>
      </c>
      <c r="L254" s="466">
        <v>0</v>
      </c>
    </row>
    <row r="255" spans="1:12" x14ac:dyDescent="0.2">
      <c r="A255" s="1523" t="s">
        <v>1088</v>
      </c>
      <c r="B255" s="601" t="s">
        <v>306</v>
      </c>
      <c r="C255" s="615"/>
      <c r="D255" s="474">
        <v>0</v>
      </c>
      <c r="E255" s="615"/>
      <c r="F255" s="615"/>
      <c r="G255" s="615"/>
      <c r="H255" s="615"/>
      <c r="I255" s="615"/>
      <c r="J255" s="615"/>
      <c r="K255" s="1690">
        <f t="shared" si="21"/>
        <v>0</v>
      </c>
      <c r="L255" s="466">
        <v>0</v>
      </c>
    </row>
    <row r="256" spans="1:12" x14ac:dyDescent="0.2">
      <c r="A256" s="1523" t="s">
        <v>1028</v>
      </c>
      <c r="B256" s="613" t="s">
        <v>307</v>
      </c>
      <c r="C256" s="615"/>
      <c r="D256" s="474">
        <v>0</v>
      </c>
      <c r="E256" s="615"/>
      <c r="F256" s="615"/>
      <c r="G256" s="615"/>
      <c r="H256" s="615"/>
      <c r="I256" s="615"/>
      <c r="J256" s="615"/>
      <c r="K256" s="1690">
        <f t="shared" si="21"/>
        <v>0</v>
      </c>
      <c r="L256" s="466">
        <v>0</v>
      </c>
    </row>
    <row r="257" spans="1:14" ht="12.75" customHeight="1" thickBot="1" x14ac:dyDescent="0.25">
      <c r="A257" s="1686" t="s">
        <v>741</v>
      </c>
      <c r="B257" s="1714">
        <v>2300</v>
      </c>
      <c r="C257" s="615"/>
      <c r="D257" s="1688">
        <f>SUM(D245:D256)</f>
        <v>24131</v>
      </c>
      <c r="E257" s="615"/>
      <c r="F257" s="615"/>
      <c r="G257" s="615"/>
      <c r="H257" s="615"/>
      <c r="I257" s="615"/>
      <c r="J257" s="615"/>
      <c r="K257" s="1688">
        <f>SUM(K245:K256)</f>
        <v>24131</v>
      </c>
      <c r="L257" s="1688">
        <f>SUM(L245:L256)</f>
        <v>23844</v>
      </c>
    </row>
    <row r="258" spans="1:14" ht="15.75" customHeight="1" thickTop="1" x14ac:dyDescent="0.2">
      <c r="A258" s="623" t="s">
        <v>632</v>
      </c>
      <c r="B258" s="683"/>
      <c r="C258" s="615"/>
      <c r="D258" s="625"/>
      <c r="E258" s="615"/>
      <c r="F258" s="615"/>
      <c r="G258" s="615"/>
      <c r="H258" s="615"/>
      <c r="I258" s="615"/>
      <c r="J258" s="615"/>
      <c r="K258" s="625"/>
      <c r="L258" s="625"/>
    </row>
    <row r="259" spans="1:14" x14ac:dyDescent="0.2">
      <c r="A259" s="1522" t="s">
        <v>1127</v>
      </c>
      <c r="B259" s="684">
        <v>2410</v>
      </c>
      <c r="C259" s="615"/>
      <c r="D259" s="480">
        <v>45991</v>
      </c>
      <c r="E259" s="615"/>
      <c r="F259" s="615"/>
      <c r="G259" s="615"/>
      <c r="H259" s="615"/>
      <c r="I259" s="615"/>
      <c r="J259" s="615"/>
      <c r="K259" s="1690">
        <f>D259</f>
        <v>45991</v>
      </c>
      <c r="L259" s="480">
        <v>49875</v>
      </c>
    </row>
    <row r="260" spans="1:14" s="596" customFormat="1" x14ac:dyDescent="0.2">
      <c r="A260" s="1540" t="s">
        <v>1904</v>
      </c>
      <c r="B260" s="627">
        <v>2490</v>
      </c>
      <c r="C260" s="615"/>
      <c r="D260" s="466">
        <v>0</v>
      </c>
      <c r="E260" s="615"/>
      <c r="F260" s="615"/>
      <c r="G260" s="615"/>
      <c r="H260" s="615"/>
      <c r="I260" s="615"/>
      <c r="J260" s="615"/>
      <c r="K260" s="1690">
        <f>D260</f>
        <v>0</v>
      </c>
      <c r="L260" s="466">
        <v>0</v>
      </c>
      <c r="M260" s="210"/>
      <c r="N260" s="210"/>
    </row>
    <row r="261" spans="1:14" ht="12.75" customHeight="1" thickBot="1" x14ac:dyDescent="0.25">
      <c r="A261" s="1710" t="s">
        <v>281</v>
      </c>
      <c r="B261" s="1715" t="s">
        <v>34</v>
      </c>
      <c r="C261" s="615"/>
      <c r="D261" s="1688">
        <f>SUM(D259:D260)</f>
        <v>45991</v>
      </c>
      <c r="E261" s="615"/>
      <c r="F261" s="615"/>
      <c r="G261" s="615"/>
      <c r="H261" s="615"/>
      <c r="I261" s="615"/>
      <c r="J261" s="615"/>
      <c r="K261" s="1688">
        <f>SUM(K259:K260)</f>
        <v>45991</v>
      </c>
      <c r="L261" s="1688">
        <f>SUM(L259:L260)</f>
        <v>49875</v>
      </c>
    </row>
    <row r="262" spans="1:14" ht="15.75" customHeight="1" thickTop="1" x14ac:dyDescent="0.2">
      <c r="A262" s="623" t="s">
        <v>633</v>
      </c>
      <c r="B262" s="683"/>
      <c r="C262" s="615"/>
      <c r="D262" s="615"/>
      <c r="E262" s="615"/>
      <c r="F262" s="615"/>
      <c r="G262" s="615"/>
      <c r="H262" s="615"/>
      <c r="I262" s="615"/>
      <c r="J262" s="615"/>
      <c r="K262" s="625"/>
      <c r="L262" s="625"/>
    </row>
    <row r="263" spans="1:14" x14ac:dyDescent="0.2">
      <c r="A263" s="1522" t="s">
        <v>1128</v>
      </c>
      <c r="B263" s="684">
        <v>2510</v>
      </c>
      <c r="C263" s="615"/>
      <c r="D263" s="466">
        <v>0</v>
      </c>
      <c r="E263" s="615"/>
      <c r="F263" s="615"/>
      <c r="G263" s="615"/>
      <c r="H263" s="615"/>
      <c r="I263" s="615"/>
      <c r="J263" s="615"/>
      <c r="K263" s="1690">
        <f>D263</f>
        <v>0</v>
      </c>
      <c r="L263" s="480">
        <v>0</v>
      </c>
    </row>
    <row r="264" spans="1:14" x14ac:dyDescent="0.2">
      <c r="A264" s="1522" t="s">
        <v>483</v>
      </c>
      <c r="B264" s="684">
        <v>2520</v>
      </c>
      <c r="C264" s="615"/>
      <c r="D264" s="466">
        <v>19712</v>
      </c>
      <c r="E264" s="615"/>
      <c r="F264" s="615"/>
      <c r="G264" s="615"/>
      <c r="H264" s="615"/>
      <c r="I264" s="615"/>
      <c r="J264" s="615"/>
      <c r="K264" s="1690">
        <f t="shared" ref="K264:K269" si="22">D264</f>
        <v>19712</v>
      </c>
      <c r="L264" s="466">
        <v>29490</v>
      </c>
    </row>
    <row r="265" spans="1:14" x14ac:dyDescent="0.2">
      <c r="A265" s="1522" t="s">
        <v>4</v>
      </c>
      <c r="B265" s="613">
        <v>2530</v>
      </c>
      <c r="C265" s="615"/>
      <c r="D265" s="466">
        <v>0</v>
      </c>
      <c r="E265" s="615"/>
      <c r="F265" s="615"/>
      <c r="G265" s="615"/>
      <c r="H265" s="615"/>
      <c r="I265" s="615"/>
      <c r="J265" s="615"/>
      <c r="K265" s="1690">
        <f t="shared" si="22"/>
        <v>0</v>
      </c>
      <c r="L265" s="466">
        <v>0</v>
      </c>
    </row>
    <row r="266" spans="1:14" x14ac:dyDescent="0.2">
      <c r="A266" s="1522" t="s">
        <v>206</v>
      </c>
      <c r="B266" s="613">
        <v>2540</v>
      </c>
      <c r="C266" s="615"/>
      <c r="D266" s="466">
        <v>124533</v>
      </c>
      <c r="E266" s="615"/>
      <c r="F266" s="615"/>
      <c r="G266" s="615"/>
      <c r="H266" s="615"/>
      <c r="I266" s="615"/>
      <c r="J266" s="615"/>
      <c r="K266" s="1690">
        <f t="shared" si="22"/>
        <v>124533</v>
      </c>
      <c r="L266" s="466">
        <v>132025</v>
      </c>
    </row>
    <row r="267" spans="1:14" x14ac:dyDescent="0.2">
      <c r="A267" s="1522" t="s">
        <v>1010</v>
      </c>
      <c r="B267" s="613">
        <v>2550</v>
      </c>
      <c r="C267" s="615"/>
      <c r="D267" s="466">
        <v>0</v>
      </c>
      <c r="E267" s="615"/>
      <c r="F267" s="615"/>
      <c r="G267" s="615"/>
      <c r="H267" s="615"/>
      <c r="I267" s="615"/>
      <c r="J267" s="615"/>
      <c r="K267" s="1690">
        <f t="shared" si="22"/>
        <v>0</v>
      </c>
      <c r="L267" s="466">
        <v>0</v>
      </c>
    </row>
    <row r="268" spans="1:14" x14ac:dyDescent="0.2">
      <c r="A268" s="1522" t="s">
        <v>102</v>
      </c>
      <c r="B268" s="613">
        <v>2560</v>
      </c>
      <c r="C268" s="615"/>
      <c r="D268" s="466">
        <v>39728</v>
      </c>
      <c r="E268" s="615"/>
      <c r="F268" s="615"/>
      <c r="G268" s="615"/>
      <c r="H268" s="615"/>
      <c r="I268" s="615"/>
      <c r="J268" s="615"/>
      <c r="K268" s="1690">
        <f t="shared" si="22"/>
        <v>39728</v>
      </c>
      <c r="L268" s="466">
        <v>47820</v>
      </c>
    </row>
    <row r="269" spans="1:14" x14ac:dyDescent="0.2">
      <c r="A269" s="1522" t="s">
        <v>103</v>
      </c>
      <c r="B269" s="613">
        <v>2570</v>
      </c>
      <c r="C269" s="615"/>
      <c r="D269" s="466">
        <v>0</v>
      </c>
      <c r="E269" s="615"/>
      <c r="F269" s="615"/>
      <c r="G269" s="615"/>
      <c r="H269" s="615"/>
      <c r="I269" s="615"/>
      <c r="J269" s="615"/>
      <c r="K269" s="1690">
        <f t="shared" si="22"/>
        <v>0</v>
      </c>
      <c r="L269" s="466">
        <v>0</v>
      </c>
    </row>
    <row r="270" spans="1:14" ht="12.75" customHeight="1" thickBot="1" x14ac:dyDescent="0.25">
      <c r="A270" s="1686" t="s">
        <v>743</v>
      </c>
      <c r="B270" s="1693" t="s">
        <v>35</v>
      </c>
      <c r="C270" s="615"/>
      <c r="D270" s="1688">
        <f>SUM(D263:D269)</f>
        <v>183973</v>
      </c>
      <c r="E270" s="615"/>
      <c r="F270" s="615"/>
      <c r="G270" s="615"/>
      <c r="H270" s="615"/>
      <c r="I270" s="615"/>
      <c r="J270" s="615"/>
      <c r="K270" s="1688">
        <f>SUM(K263:K269)</f>
        <v>183973</v>
      </c>
      <c r="L270" s="1688">
        <f>SUM(L263:L269)</f>
        <v>209335</v>
      </c>
    </row>
    <row r="271" spans="1:14" ht="15.75" customHeight="1" thickTop="1" x14ac:dyDescent="0.2">
      <c r="A271" s="668" t="s">
        <v>634</v>
      </c>
      <c r="B271" s="624"/>
      <c r="C271" s="615"/>
      <c r="D271" s="625"/>
      <c r="E271" s="615"/>
      <c r="F271" s="615"/>
      <c r="G271" s="615"/>
      <c r="H271" s="615"/>
      <c r="I271" s="615"/>
      <c r="J271" s="615"/>
      <c r="K271" s="625"/>
      <c r="L271" s="625"/>
    </row>
    <row r="272" spans="1:14" x14ac:dyDescent="0.2">
      <c r="A272" s="1522" t="s">
        <v>1120</v>
      </c>
      <c r="B272" s="613">
        <v>2610</v>
      </c>
      <c r="C272" s="615"/>
      <c r="D272" s="480">
        <v>0</v>
      </c>
      <c r="E272" s="615"/>
      <c r="F272" s="615"/>
      <c r="G272" s="615"/>
      <c r="H272" s="615"/>
      <c r="I272" s="615"/>
      <c r="J272" s="615"/>
      <c r="K272" s="1690">
        <f>D272</f>
        <v>0</v>
      </c>
      <c r="L272" s="480">
        <v>0</v>
      </c>
    </row>
    <row r="273" spans="1:12" x14ac:dyDescent="0.2">
      <c r="A273" s="1522" t="s">
        <v>628</v>
      </c>
      <c r="B273" s="627">
        <v>2620</v>
      </c>
      <c r="C273" s="615"/>
      <c r="D273" s="466">
        <v>0</v>
      </c>
      <c r="E273" s="615"/>
      <c r="F273" s="615"/>
      <c r="G273" s="615"/>
      <c r="H273" s="615"/>
      <c r="I273" s="615"/>
      <c r="J273" s="615"/>
      <c r="K273" s="1690">
        <f>D273</f>
        <v>0</v>
      </c>
      <c r="L273" s="466">
        <v>0</v>
      </c>
    </row>
    <row r="274" spans="1:12" ht="12" customHeight="1" x14ac:dyDescent="0.2">
      <c r="A274" s="1522" t="s">
        <v>1121</v>
      </c>
      <c r="B274" s="613">
        <v>2630</v>
      </c>
      <c r="C274" s="615"/>
      <c r="D274" s="466">
        <v>0</v>
      </c>
      <c r="E274" s="615"/>
      <c r="F274" s="615"/>
      <c r="G274" s="615"/>
      <c r="H274" s="615"/>
      <c r="I274" s="615"/>
      <c r="J274" s="615"/>
      <c r="K274" s="1690">
        <f>D274</f>
        <v>0</v>
      </c>
      <c r="L274" s="466">
        <v>0</v>
      </c>
    </row>
    <row r="275" spans="1:12" x14ac:dyDescent="0.2">
      <c r="A275" s="1522" t="s">
        <v>423</v>
      </c>
      <c r="B275" s="613">
        <v>2640</v>
      </c>
      <c r="C275" s="615"/>
      <c r="D275" s="466">
        <v>0</v>
      </c>
      <c r="E275" s="615"/>
      <c r="F275" s="615"/>
      <c r="G275" s="615"/>
      <c r="H275" s="615"/>
      <c r="I275" s="615"/>
      <c r="J275" s="615"/>
      <c r="K275" s="1690">
        <f>D275</f>
        <v>0</v>
      </c>
      <c r="L275" s="466">
        <v>0</v>
      </c>
    </row>
    <row r="276" spans="1:12" x14ac:dyDescent="0.2">
      <c r="A276" s="1522" t="s">
        <v>424</v>
      </c>
      <c r="B276" s="613">
        <v>2660</v>
      </c>
      <c r="C276" s="615"/>
      <c r="D276" s="466">
        <v>33212</v>
      </c>
      <c r="E276" s="615"/>
      <c r="F276" s="615"/>
      <c r="G276" s="615"/>
      <c r="H276" s="615"/>
      <c r="I276" s="615"/>
      <c r="J276" s="615"/>
      <c r="K276" s="1690">
        <f>D276</f>
        <v>33212</v>
      </c>
      <c r="L276" s="466">
        <v>34680</v>
      </c>
    </row>
    <row r="277" spans="1:12" ht="12.75" customHeight="1" thickBot="1" x14ac:dyDescent="0.25">
      <c r="A277" s="1709" t="s">
        <v>37</v>
      </c>
      <c r="B277" s="1687" t="s">
        <v>36</v>
      </c>
      <c r="C277" s="615"/>
      <c r="D277" s="1688">
        <f>SUM(D272:D276)</f>
        <v>33212</v>
      </c>
      <c r="E277" s="615"/>
      <c r="F277" s="615"/>
      <c r="G277" s="615"/>
      <c r="H277" s="615"/>
      <c r="I277" s="615"/>
      <c r="J277" s="615"/>
      <c r="K277" s="1688">
        <f>SUM(K272:K276)</f>
        <v>33212</v>
      </c>
      <c r="L277" s="1688">
        <f>SUM(L272:L276)</f>
        <v>34680</v>
      </c>
    </row>
    <row r="278" spans="1:12" ht="13.5" customHeight="1" thickTop="1" x14ac:dyDescent="0.2">
      <c r="A278" s="1528" t="s">
        <v>1037</v>
      </c>
      <c r="B278" s="654" t="s">
        <v>595</v>
      </c>
      <c r="C278" s="615"/>
      <c r="D278" s="655">
        <v>0</v>
      </c>
      <c r="E278" s="615"/>
      <c r="F278" s="615"/>
      <c r="G278" s="615"/>
      <c r="H278" s="615"/>
      <c r="I278" s="615"/>
      <c r="J278" s="615"/>
      <c r="K278" s="1703">
        <f>D278</f>
        <v>0</v>
      </c>
      <c r="L278" s="655">
        <v>0</v>
      </c>
    </row>
    <row r="279" spans="1:12" ht="12.75" customHeight="1" thickBot="1" x14ac:dyDescent="0.25">
      <c r="A279" s="1716" t="s">
        <v>865</v>
      </c>
      <c r="B279" s="1699">
        <v>2000</v>
      </c>
      <c r="C279" s="615"/>
      <c r="D279" s="1695">
        <f>SUM(D238,D243,D257,D261,D270,D277,D278)</f>
        <v>337140</v>
      </c>
      <c r="E279" s="615"/>
      <c r="F279" s="615"/>
      <c r="G279" s="615"/>
      <c r="H279" s="615"/>
      <c r="I279" s="615"/>
      <c r="J279" s="615"/>
      <c r="K279" s="1695">
        <f>SUM(K238,K243,K257,K261,K270,K277,K278)</f>
        <v>337140</v>
      </c>
      <c r="L279" s="1695">
        <f>SUM(L238,L243,L257,L261,L270,L277,L278)</f>
        <v>366627</v>
      </c>
    </row>
    <row r="280" spans="1:12" ht="15.75" customHeight="1" thickTop="1" thickBot="1" x14ac:dyDescent="0.25">
      <c r="A280" s="1642" t="s">
        <v>930</v>
      </c>
      <c r="B280" s="1631">
        <v>3000</v>
      </c>
      <c r="C280" s="615"/>
      <c r="D280" s="574">
        <v>0</v>
      </c>
      <c r="E280" s="615"/>
      <c r="F280" s="615"/>
      <c r="G280" s="615"/>
      <c r="H280" s="615"/>
      <c r="I280" s="615"/>
      <c r="J280" s="615"/>
      <c r="K280" s="1697">
        <f>D280</f>
        <v>0</v>
      </c>
      <c r="L280" s="574">
        <v>0</v>
      </c>
    </row>
    <row r="281" spans="1:12" ht="15.75" customHeight="1" thickTop="1" x14ac:dyDescent="0.2">
      <c r="A281" s="1632" t="s">
        <v>144</v>
      </c>
      <c r="B281" s="1633" t="s">
        <v>915</v>
      </c>
      <c r="C281" s="615"/>
      <c r="D281" s="564"/>
      <c r="E281" s="615"/>
      <c r="F281" s="615"/>
      <c r="G281" s="615"/>
      <c r="H281" s="615"/>
      <c r="I281" s="615"/>
      <c r="J281" s="615"/>
      <c r="K281" s="615"/>
      <c r="L281" s="615"/>
    </row>
    <row r="282" spans="1:12" ht="15.75" customHeight="1" x14ac:dyDescent="0.2">
      <c r="A282" s="1849" t="s">
        <v>517</v>
      </c>
      <c r="B282" s="689" t="s">
        <v>1954</v>
      </c>
      <c r="C282" s="615"/>
      <c r="D282" s="467">
        <v>0</v>
      </c>
      <c r="E282" s="615"/>
      <c r="F282" s="615"/>
      <c r="G282" s="615"/>
      <c r="H282" s="615"/>
      <c r="I282" s="615"/>
      <c r="J282" s="615"/>
      <c r="K282" s="1689">
        <f>D282</f>
        <v>0</v>
      </c>
      <c r="L282" s="467">
        <v>0</v>
      </c>
    </row>
    <row r="283" spans="1:12" x14ac:dyDescent="0.2">
      <c r="A283" s="1522" t="s">
        <v>322</v>
      </c>
      <c r="B283" s="613">
        <v>4120</v>
      </c>
      <c r="C283" s="615"/>
      <c r="D283" s="466">
        <v>0</v>
      </c>
      <c r="E283" s="615"/>
      <c r="F283" s="615"/>
      <c r="G283" s="615"/>
      <c r="H283" s="615"/>
      <c r="I283" s="615"/>
      <c r="J283" s="615"/>
      <c r="K283" s="1689">
        <f>D283</f>
        <v>0</v>
      </c>
      <c r="L283" s="466">
        <v>0</v>
      </c>
    </row>
    <row r="284" spans="1:12" x14ac:dyDescent="0.2">
      <c r="A284" s="1522" t="s">
        <v>721</v>
      </c>
      <c r="B284" s="613">
        <v>4140</v>
      </c>
      <c r="C284" s="615"/>
      <c r="D284" s="467">
        <v>0</v>
      </c>
      <c r="E284" s="615"/>
      <c r="F284" s="615"/>
      <c r="G284" s="615"/>
      <c r="H284" s="615"/>
      <c r="I284" s="615"/>
      <c r="J284" s="615"/>
      <c r="K284" s="1689">
        <f>D284</f>
        <v>0</v>
      </c>
      <c r="L284" s="466">
        <v>0</v>
      </c>
    </row>
    <row r="285" spans="1:12" ht="12.75" customHeight="1" thickBot="1" x14ac:dyDescent="0.25">
      <c r="A285" s="1686" t="s">
        <v>1567</v>
      </c>
      <c r="B285" s="1687" t="s">
        <v>915</v>
      </c>
      <c r="C285" s="615"/>
      <c r="D285" s="1688">
        <f>SUM(D282:D284)</f>
        <v>0</v>
      </c>
      <c r="E285" s="615"/>
      <c r="F285" s="615"/>
      <c r="G285" s="615"/>
      <c r="H285" s="615"/>
      <c r="I285" s="615"/>
      <c r="J285" s="615"/>
      <c r="K285" s="1688">
        <f>SUM(K282:K284)</f>
        <v>0</v>
      </c>
      <c r="L285" s="1688">
        <f>SUM(L282:L284)</f>
        <v>0</v>
      </c>
    </row>
    <row r="286" spans="1:12" ht="15.75" customHeight="1" thickTop="1" x14ac:dyDescent="0.2">
      <c r="A286" s="1630" t="s">
        <v>931</v>
      </c>
      <c r="B286" s="1627" t="s">
        <v>513</v>
      </c>
      <c r="C286" s="615"/>
      <c r="D286" s="615"/>
      <c r="E286" s="615"/>
      <c r="F286" s="615"/>
      <c r="G286" s="615"/>
      <c r="H286" s="615"/>
      <c r="I286" s="615"/>
      <c r="J286" s="615"/>
      <c r="K286" s="615"/>
      <c r="L286" s="615"/>
    </row>
    <row r="287" spans="1:12" ht="15.75" customHeight="1" x14ac:dyDescent="0.2">
      <c r="A287" s="652" t="s">
        <v>95</v>
      </c>
      <c r="B287" s="621"/>
      <c r="C287" s="615"/>
      <c r="D287" s="615"/>
      <c r="E287" s="615"/>
      <c r="F287" s="615"/>
      <c r="G287" s="615"/>
      <c r="H287" s="622"/>
      <c r="I287" s="615"/>
      <c r="J287" s="615"/>
      <c r="K287" s="615"/>
      <c r="L287" s="615"/>
    </row>
    <row r="288" spans="1:12" x14ac:dyDescent="0.2">
      <c r="A288" s="1522" t="s">
        <v>89</v>
      </c>
      <c r="B288" s="613">
        <v>5110</v>
      </c>
      <c r="C288" s="615"/>
      <c r="D288" s="615"/>
      <c r="E288" s="615"/>
      <c r="F288" s="615"/>
      <c r="G288" s="615"/>
      <c r="H288" s="466">
        <v>0</v>
      </c>
      <c r="I288" s="615"/>
      <c r="J288" s="615"/>
      <c r="K288" s="1689">
        <f>H288</f>
        <v>0</v>
      </c>
      <c r="L288" s="466">
        <v>0</v>
      </c>
    </row>
    <row r="289" spans="1:14" x14ac:dyDescent="0.2">
      <c r="A289" s="1522" t="s">
        <v>90</v>
      </c>
      <c r="B289" s="613">
        <v>5120</v>
      </c>
      <c r="C289" s="615"/>
      <c r="D289" s="615"/>
      <c r="E289" s="615"/>
      <c r="F289" s="615"/>
      <c r="G289" s="615"/>
      <c r="H289" s="466">
        <v>0</v>
      </c>
      <c r="I289" s="615"/>
      <c r="J289" s="615"/>
      <c r="K289" s="1689">
        <f>H289</f>
        <v>0</v>
      </c>
      <c r="L289" s="466">
        <v>0</v>
      </c>
    </row>
    <row r="290" spans="1:14" ht="12.75" customHeight="1" x14ac:dyDescent="0.2">
      <c r="A290" s="1522" t="s">
        <v>1232</v>
      </c>
      <c r="B290" s="627" t="s">
        <v>638</v>
      </c>
      <c r="C290" s="615"/>
      <c r="D290" s="615"/>
      <c r="E290" s="615"/>
      <c r="F290" s="615"/>
      <c r="G290" s="615"/>
      <c r="H290" s="466">
        <v>0</v>
      </c>
      <c r="I290" s="615"/>
      <c r="J290" s="615"/>
      <c r="K290" s="1689">
        <f>H290</f>
        <v>0</v>
      </c>
      <c r="L290" s="466">
        <v>0</v>
      </c>
    </row>
    <row r="291" spans="1:14" x14ac:dyDescent="0.2">
      <c r="A291" s="1522" t="s">
        <v>91</v>
      </c>
      <c r="B291" s="613" t="s">
        <v>610</v>
      </c>
      <c r="C291" s="615"/>
      <c r="D291" s="615"/>
      <c r="E291" s="615"/>
      <c r="F291" s="615"/>
      <c r="G291" s="615"/>
      <c r="H291" s="466">
        <v>0</v>
      </c>
      <c r="I291" s="615"/>
      <c r="J291" s="615"/>
      <c r="K291" s="1689">
        <f>H291</f>
        <v>0</v>
      </c>
      <c r="L291" s="466">
        <v>0</v>
      </c>
    </row>
    <row r="292" spans="1:14" x14ac:dyDescent="0.2">
      <c r="A292" s="1522" t="s">
        <v>786</v>
      </c>
      <c r="B292" s="613" t="s">
        <v>639</v>
      </c>
      <c r="C292" s="615"/>
      <c r="D292" s="615"/>
      <c r="E292" s="615"/>
      <c r="F292" s="615"/>
      <c r="G292" s="615"/>
      <c r="H292" s="466">
        <v>0</v>
      </c>
      <c r="I292" s="615"/>
      <c r="J292" s="615"/>
      <c r="K292" s="1689">
        <f>H292</f>
        <v>0</v>
      </c>
      <c r="L292" s="466">
        <v>0</v>
      </c>
    </row>
    <row r="293" spans="1:14" ht="12.75" customHeight="1" thickBot="1" x14ac:dyDescent="0.25">
      <c r="A293" s="1686" t="s">
        <v>505</v>
      </c>
      <c r="B293" s="1687" t="s">
        <v>513</v>
      </c>
      <c r="C293" s="615"/>
      <c r="D293" s="615"/>
      <c r="E293" s="615"/>
      <c r="F293" s="615"/>
      <c r="G293" s="615"/>
      <c r="H293" s="1688">
        <f>SUM(H288:H292)</f>
        <v>0</v>
      </c>
      <c r="I293" s="615"/>
      <c r="J293" s="615"/>
      <c r="K293" s="1688">
        <f>SUM(K288:K292)</f>
        <v>0</v>
      </c>
      <c r="L293" s="1688">
        <f>SUM(L288:L292)</f>
        <v>0</v>
      </c>
    </row>
    <row r="294" spans="1:14" ht="15.75" customHeight="1" thickTop="1" thickBot="1" x14ac:dyDescent="0.25">
      <c r="A294" s="1643" t="s">
        <v>932</v>
      </c>
      <c r="B294" s="1631" t="s">
        <v>916</v>
      </c>
      <c r="C294" s="615"/>
      <c r="D294" s="622"/>
      <c r="E294" s="615"/>
      <c r="F294" s="615"/>
      <c r="G294" s="615"/>
      <c r="H294" s="685"/>
      <c r="I294" s="615"/>
      <c r="J294" s="615"/>
      <c r="K294" s="685"/>
      <c r="L294" s="576">
        <v>0</v>
      </c>
    </row>
    <row r="295" spans="1:14" ht="12.75" customHeight="1" thickTop="1" thickBot="1" x14ac:dyDescent="0.25">
      <c r="A295" s="2377" t="s">
        <v>526</v>
      </c>
      <c r="B295" s="2378"/>
      <c r="C295" s="615"/>
      <c r="D295" s="1688">
        <f>SUM(D229,D279,D280,D285)</f>
        <v>541207</v>
      </c>
      <c r="E295" s="615"/>
      <c r="F295" s="615"/>
      <c r="G295" s="615"/>
      <c r="H295" s="1688">
        <f>H293</f>
        <v>0</v>
      </c>
      <c r="I295" s="615"/>
      <c r="J295" s="615"/>
      <c r="K295" s="1688">
        <f>SUM(K229,K279,K280,K285,K293,K294)</f>
        <v>541207</v>
      </c>
      <c r="L295" s="1688">
        <f>SUM(L229,L279,L280,L285,L293,L294)</f>
        <v>579705</v>
      </c>
    </row>
    <row r="296" spans="1:14" ht="13.5" thickTop="1" x14ac:dyDescent="0.2">
      <c r="A296" s="2359" t="s">
        <v>1053</v>
      </c>
      <c r="B296" s="2360"/>
      <c r="C296" s="615"/>
      <c r="D296" s="617"/>
      <c r="E296" s="615"/>
      <c r="F296" s="615"/>
      <c r="G296" s="615"/>
      <c r="H296" s="686"/>
      <c r="I296" s="615"/>
      <c r="J296" s="615"/>
      <c r="K296" s="1702">
        <f>'Revenues 9-14'!G275-'Expenditures 15-22'!K295</f>
        <v>-15955</v>
      </c>
      <c r="L296" s="686"/>
    </row>
    <row r="297" spans="1:14" s="665" customFormat="1" ht="9" customHeight="1" x14ac:dyDescent="0.2">
      <c r="A297" s="662"/>
      <c r="B297" s="672"/>
      <c r="C297" s="649"/>
      <c r="D297" s="649"/>
      <c r="E297" s="649"/>
      <c r="F297" s="649"/>
      <c r="G297" s="649"/>
      <c r="H297" s="649"/>
      <c r="I297" s="649"/>
      <c r="J297" s="649"/>
      <c r="K297" s="649"/>
      <c r="L297" s="649"/>
      <c r="M297" s="664"/>
      <c r="N297" s="664"/>
    </row>
    <row r="298" spans="1:14" ht="16.7" customHeight="1" x14ac:dyDescent="0.2">
      <c r="A298" s="2369" t="s">
        <v>145</v>
      </c>
      <c r="B298" s="2363"/>
      <c r="C298" s="1569"/>
      <c r="D298" s="1570"/>
      <c r="E298" s="1570"/>
      <c r="F298" s="1570"/>
      <c r="G298" s="1570"/>
      <c r="H298" s="1570"/>
      <c r="I298" s="1570"/>
      <c r="J298" s="1570"/>
      <c r="K298" s="1570"/>
      <c r="L298" s="1571"/>
    </row>
    <row r="299" spans="1:14" ht="15.75" customHeight="1" x14ac:dyDescent="0.2">
      <c r="A299" s="1630" t="s">
        <v>146</v>
      </c>
      <c r="B299" s="1633" t="s">
        <v>590</v>
      </c>
      <c r="C299" s="615"/>
      <c r="D299" s="615"/>
      <c r="E299" s="615"/>
      <c r="F299" s="615"/>
      <c r="G299" s="615"/>
      <c r="H299" s="615"/>
      <c r="I299" s="615"/>
      <c r="J299" s="615"/>
      <c r="K299" s="615"/>
      <c r="L299" s="615"/>
    </row>
    <row r="300" spans="1:14" ht="15.75" customHeight="1" x14ac:dyDescent="0.2">
      <c r="A300" s="687" t="s">
        <v>633</v>
      </c>
      <c r="B300" s="630"/>
      <c r="C300" s="622"/>
      <c r="D300" s="622"/>
      <c r="E300" s="622"/>
      <c r="F300" s="622"/>
      <c r="G300" s="622"/>
      <c r="H300" s="622"/>
      <c r="I300" s="615"/>
      <c r="J300" s="615"/>
      <c r="K300" s="622"/>
      <c r="L300" s="622"/>
    </row>
    <row r="301" spans="1:14" x14ac:dyDescent="0.2">
      <c r="A301" s="1535" t="s">
        <v>629</v>
      </c>
      <c r="B301" s="688">
        <v>2530</v>
      </c>
      <c r="C301" s="466">
        <v>0</v>
      </c>
      <c r="D301" s="466">
        <v>0</v>
      </c>
      <c r="E301" s="466">
        <v>0</v>
      </c>
      <c r="F301" s="466">
        <v>0</v>
      </c>
      <c r="G301" s="466">
        <v>8124840</v>
      </c>
      <c r="H301" s="466">
        <v>0</v>
      </c>
      <c r="I301" s="467">
        <v>0</v>
      </c>
      <c r="J301" s="467">
        <v>0</v>
      </c>
      <c r="K301" s="1689">
        <f>SUM(C301:J301)</f>
        <v>8124840</v>
      </c>
      <c r="L301" s="467">
        <v>20000000</v>
      </c>
    </row>
    <row r="302" spans="1:14" ht="13.5" customHeight="1" x14ac:dyDescent="0.2">
      <c r="A302" s="1535" t="s">
        <v>1037</v>
      </c>
      <c r="B302" s="613" t="s">
        <v>595</v>
      </c>
      <c r="C302" s="466">
        <v>0</v>
      </c>
      <c r="D302" s="466">
        <v>0</v>
      </c>
      <c r="E302" s="466">
        <v>0</v>
      </c>
      <c r="F302" s="466">
        <v>0</v>
      </c>
      <c r="G302" s="466">
        <v>0</v>
      </c>
      <c r="H302" s="466">
        <v>0</v>
      </c>
      <c r="I302" s="467">
        <v>0</v>
      </c>
      <c r="J302" s="467">
        <v>0</v>
      </c>
      <c r="K302" s="1689">
        <f>SUM(C302:J302)</f>
        <v>0</v>
      </c>
      <c r="L302" s="466">
        <v>0</v>
      </c>
    </row>
    <row r="303" spans="1:14" ht="12.75" customHeight="1" thickBot="1" x14ac:dyDescent="0.25">
      <c r="A303" s="1686" t="s">
        <v>865</v>
      </c>
      <c r="B303" s="1687" t="s">
        <v>590</v>
      </c>
      <c r="C303" s="1695">
        <f>SUM(C301:C302)</f>
        <v>0</v>
      </c>
      <c r="D303" s="1695">
        <f t="shared" ref="D303:L303" si="23">SUM(D301:D302)</f>
        <v>0</v>
      </c>
      <c r="E303" s="1695">
        <f t="shared" si="23"/>
        <v>0</v>
      </c>
      <c r="F303" s="1695">
        <f t="shared" si="23"/>
        <v>0</v>
      </c>
      <c r="G303" s="1695">
        <f t="shared" si="23"/>
        <v>8124840</v>
      </c>
      <c r="H303" s="1695">
        <f t="shared" si="23"/>
        <v>0</v>
      </c>
      <c r="I303" s="1695">
        <f t="shared" si="23"/>
        <v>0</v>
      </c>
      <c r="J303" s="1695">
        <f t="shared" si="23"/>
        <v>0</v>
      </c>
      <c r="K303" s="1695">
        <f t="shared" si="23"/>
        <v>8124840</v>
      </c>
      <c r="L303" s="1695">
        <f t="shared" si="23"/>
        <v>20000000</v>
      </c>
    </row>
    <row r="304" spans="1:14" ht="15.75" customHeight="1" thickTop="1" x14ac:dyDescent="0.2">
      <c r="A304" s="1630" t="s">
        <v>147</v>
      </c>
      <c r="B304" s="1631" t="s">
        <v>915</v>
      </c>
      <c r="C304" s="615"/>
      <c r="D304" s="615"/>
      <c r="E304" s="615"/>
      <c r="F304" s="615"/>
      <c r="G304" s="615"/>
      <c r="H304" s="615"/>
      <c r="I304" s="615"/>
      <c r="J304" s="615"/>
      <c r="K304" s="615"/>
      <c r="L304" s="615"/>
    </row>
    <row r="305" spans="1:14" ht="15.75" customHeight="1" x14ac:dyDescent="0.2">
      <c r="A305" s="652" t="s">
        <v>953</v>
      </c>
      <c r="B305" s="621"/>
      <c r="C305" s="615"/>
      <c r="D305" s="615"/>
      <c r="E305" s="615"/>
      <c r="F305" s="615"/>
      <c r="G305" s="615"/>
      <c r="H305" s="615"/>
      <c r="I305" s="615"/>
      <c r="J305" s="615"/>
      <c r="K305" s="615"/>
      <c r="L305" s="615"/>
    </row>
    <row r="306" spans="1:14" x14ac:dyDescent="0.2">
      <c r="A306" s="1536" t="s">
        <v>1959</v>
      </c>
      <c r="B306" s="689" t="s">
        <v>1954</v>
      </c>
      <c r="C306" s="615"/>
      <c r="D306" s="615"/>
      <c r="E306" s="467">
        <v>0</v>
      </c>
      <c r="F306" s="615"/>
      <c r="G306" s="615"/>
      <c r="H306" s="467">
        <v>0</v>
      </c>
      <c r="I306" s="615"/>
      <c r="J306" s="615"/>
      <c r="K306" s="1689">
        <f>SUM(E306,H306)</f>
        <v>0</v>
      </c>
      <c r="L306" s="467">
        <v>0</v>
      </c>
    </row>
    <row r="307" spans="1:14" x14ac:dyDescent="0.2">
      <c r="A307" s="1522" t="s">
        <v>322</v>
      </c>
      <c r="B307" s="613">
        <v>4120</v>
      </c>
      <c r="C307" s="615"/>
      <c r="D307" s="615"/>
      <c r="E307" s="467">
        <v>0</v>
      </c>
      <c r="F307" s="615"/>
      <c r="G307" s="615"/>
      <c r="H307" s="467">
        <v>0</v>
      </c>
      <c r="I307" s="476"/>
      <c r="J307" s="615"/>
      <c r="K307" s="1689">
        <f>SUM(E307,H307)</f>
        <v>0</v>
      </c>
      <c r="L307" s="466">
        <v>0</v>
      </c>
    </row>
    <row r="308" spans="1:14" x14ac:dyDescent="0.2">
      <c r="A308" s="1522" t="s">
        <v>721</v>
      </c>
      <c r="B308" s="613">
        <v>4140</v>
      </c>
      <c r="C308" s="615"/>
      <c r="D308" s="615"/>
      <c r="E308" s="467">
        <v>0</v>
      </c>
      <c r="F308" s="615"/>
      <c r="G308" s="615"/>
      <c r="H308" s="467">
        <v>0</v>
      </c>
      <c r="I308" s="476"/>
      <c r="J308" s="615"/>
      <c r="K308" s="1689">
        <f>SUM(E308,H308)</f>
        <v>0</v>
      </c>
      <c r="L308" s="466">
        <v>0</v>
      </c>
    </row>
    <row r="309" spans="1:14" ht="12.75" customHeight="1" x14ac:dyDescent="0.2">
      <c r="A309" s="1526" t="s">
        <v>722</v>
      </c>
      <c r="B309" s="627">
        <v>4190</v>
      </c>
      <c r="C309" s="615"/>
      <c r="D309" s="615"/>
      <c r="E309" s="467">
        <v>0</v>
      </c>
      <c r="F309" s="615"/>
      <c r="G309" s="615"/>
      <c r="H309" s="467">
        <v>0</v>
      </c>
      <c r="I309" s="476"/>
      <c r="J309" s="615"/>
      <c r="K309" s="1689">
        <f>SUM(E309,H309)</f>
        <v>0</v>
      </c>
      <c r="L309" s="466">
        <v>0</v>
      </c>
    </row>
    <row r="310" spans="1:14" ht="12.75" customHeight="1" thickBot="1" x14ac:dyDescent="0.25">
      <c r="A310" s="1686" t="s">
        <v>1567</v>
      </c>
      <c r="B310" s="1693" t="s">
        <v>915</v>
      </c>
      <c r="C310" s="615"/>
      <c r="D310" s="615"/>
      <c r="E310" s="1688">
        <f>SUM(E306:E309)</f>
        <v>0</v>
      </c>
      <c r="F310" s="615"/>
      <c r="G310" s="615"/>
      <c r="H310" s="1688">
        <f>SUM(H306:H309)</f>
        <v>0</v>
      </c>
      <c r="I310" s="476"/>
      <c r="J310" s="615"/>
      <c r="K310" s="1688">
        <f>SUM(K306:K309)</f>
        <v>0</v>
      </c>
      <c r="L310" s="1695">
        <f>SUM(L306:L309)</f>
        <v>0</v>
      </c>
    </row>
    <row r="311" spans="1:14" ht="15.75" customHeight="1" thickTop="1" thickBot="1" x14ac:dyDescent="0.25">
      <c r="A311" s="1637" t="s">
        <v>951</v>
      </c>
      <c r="B311" s="1629" t="s">
        <v>916</v>
      </c>
      <c r="C311" s="622"/>
      <c r="D311" s="622"/>
      <c r="E311" s="622"/>
      <c r="F311" s="622"/>
      <c r="G311" s="622"/>
      <c r="H311" s="622"/>
      <c r="I311" s="622"/>
      <c r="J311" s="615"/>
      <c r="K311" s="622"/>
      <c r="L311" s="574">
        <v>0</v>
      </c>
    </row>
    <row r="312" spans="1:14" s="673" customFormat="1" ht="12.75" customHeight="1" thickTop="1" thickBot="1" x14ac:dyDescent="0.25">
      <c r="A312" s="2374" t="s">
        <v>295</v>
      </c>
      <c r="B312" s="2375"/>
      <c r="C312" s="1688">
        <f>SUM(C303)</f>
        <v>0</v>
      </c>
      <c r="D312" s="1688">
        <f>SUM(D303)</f>
        <v>0</v>
      </c>
      <c r="E312" s="1688">
        <f>SUM(E303,E310)</f>
        <v>0</v>
      </c>
      <c r="F312" s="1688">
        <f>SUM(F303)</f>
        <v>0</v>
      </c>
      <c r="G312" s="1688">
        <f>SUM(G303)</f>
        <v>8124840</v>
      </c>
      <c r="H312" s="1688">
        <f>SUM(H303,H310)</f>
        <v>0</v>
      </c>
      <c r="I312" s="1688">
        <f>SUM(I303)</f>
        <v>0</v>
      </c>
      <c r="J312" s="1688">
        <f>SUM(J303)</f>
        <v>0</v>
      </c>
      <c r="K312" s="1688">
        <f>SUM(K303,K310,K311)</f>
        <v>8124840</v>
      </c>
      <c r="L312" s="1688">
        <f>SUM(L303,L310,L311)</f>
        <v>20000000</v>
      </c>
      <c r="M312" s="664"/>
      <c r="N312" s="664"/>
    </row>
    <row r="313" spans="1:14" ht="13.5" thickTop="1" x14ac:dyDescent="0.2">
      <c r="A313" s="2370" t="s">
        <v>1053</v>
      </c>
      <c r="B313" s="2371"/>
      <c r="C313" s="625"/>
      <c r="D313" s="625"/>
      <c r="E313" s="625"/>
      <c r="F313" s="625"/>
      <c r="G313" s="625"/>
      <c r="H313" s="625"/>
      <c r="I313" s="625"/>
      <c r="J313" s="625"/>
      <c r="K313" s="1703">
        <f>'Revenues 9-14'!H275-'Expenditures 15-22'!K312</f>
        <v>-8014957</v>
      </c>
      <c r="L313" s="625"/>
    </row>
    <row r="314" spans="1:14" s="665" customFormat="1" ht="9" customHeight="1" x14ac:dyDescent="0.2">
      <c r="A314" s="690"/>
      <c r="B314" s="691"/>
      <c r="C314" s="692"/>
      <c r="D314" s="692"/>
      <c r="E314" s="692"/>
      <c r="F314" s="692"/>
      <c r="G314" s="692"/>
      <c r="H314" s="692"/>
      <c r="I314" s="692"/>
      <c r="J314" s="692"/>
      <c r="K314" s="692"/>
      <c r="L314" s="692"/>
      <c r="M314" s="664"/>
      <c r="N314" s="664"/>
    </row>
    <row r="315" spans="1:14" ht="16.7" customHeight="1" x14ac:dyDescent="0.2">
      <c r="A315" s="2383" t="s">
        <v>151</v>
      </c>
      <c r="B315" s="2384"/>
      <c r="C315" s="1574"/>
      <c r="D315" s="1575"/>
      <c r="E315" s="1575"/>
      <c r="F315" s="1575"/>
      <c r="G315" s="1575"/>
      <c r="H315" s="1575"/>
      <c r="I315" s="1575"/>
      <c r="J315" s="1575"/>
      <c r="K315" s="1575"/>
      <c r="L315" s="1576"/>
    </row>
    <row r="316" spans="1:14" s="673" customFormat="1" ht="9" customHeight="1" x14ac:dyDescent="0.2">
      <c r="A316" s="690"/>
      <c r="B316" s="691"/>
      <c r="C316" s="693"/>
      <c r="D316" s="693"/>
      <c r="E316" s="693"/>
      <c r="F316" s="693"/>
      <c r="G316" s="693"/>
      <c r="H316" s="693"/>
      <c r="I316" s="693"/>
      <c r="J316" s="693"/>
      <c r="K316" s="693"/>
      <c r="L316" s="693"/>
      <c r="M316" s="664"/>
      <c r="N316" s="664"/>
    </row>
    <row r="317" spans="1:14" ht="16.7" customHeight="1" x14ac:dyDescent="0.2">
      <c r="A317" s="2385" t="s">
        <v>954</v>
      </c>
      <c r="B317" s="2384"/>
      <c r="C317" s="1574"/>
      <c r="D317" s="1575"/>
      <c r="E317" s="1575"/>
      <c r="F317" s="1575"/>
      <c r="G317" s="1575"/>
      <c r="H317" s="1575"/>
      <c r="I317" s="1575"/>
      <c r="J317" s="1575"/>
      <c r="K317" s="1575"/>
      <c r="L317" s="1576"/>
    </row>
    <row r="318" spans="1:14" s="673" customFormat="1" ht="15.75" customHeight="1" x14ac:dyDescent="0.2">
      <c r="A318" s="694" t="s">
        <v>631</v>
      </c>
      <c r="B318" s="695"/>
      <c r="C318" s="637"/>
      <c r="D318" s="637"/>
      <c r="E318" s="637"/>
      <c r="F318" s="637"/>
      <c r="G318" s="637"/>
      <c r="H318" s="637"/>
      <c r="I318" s="637"/>
      <c r="J318" s="637"/>
      <c r="K318" s="637"/>
      <c r="L318" s="637"/>
      <c r="M318" s="664"/>
      <c r="N318" s="664"/>
    </row>
    <row r="319" spans="1:14" s="673" customFormat="1" x14ac:dyDescent="0.2">
      <c r="A319" s="1537" t="s">
        <v>317</v>
      </c>
      <c r="B319" s="696" t="s">
        <v>299</v>
      </c>
      <c r="C319" s="467">
        <v>0</v>
      </c>
      <c r="D319" s="467">
        <v>0</v>
      </c>
      <c r="E319" s="467">
        <v>0</v>
      </c>
      <c r="F319" s="467">
        <v>0</v>
      </c>
      <c r="G319" s="467">
        <v>0</v>
      </c>
      <c r="H319" s="467">
        <v>0</v>
      </c>
      <c r="I319" s="467">
        <v>0</v>
      </c>
      <c r="J319" s="467">
        <v>0</v>
      </c>
      <c r="K319" s="1689">
        <f>SUM(C319:J319)</f>
        <v>0</v>
      </c>
      <c r="L319" s="467">
        <v>0</v>
      </c>
      <c r="M319" s="664"/>
      <c r="N319" s="664"/>
    </row>
    <row r="320" spans="1:14" s="673" customFormat="1" x14ac:dyDescent="0.2">
      <c r="A320" s="1541" t="s">
        <v>1905</v>
      </c>
      <c r="B320" s="697" t="s">
        <v>300</v>
      </c>
      <c r="C320" s="467">
        <v>0</v>
      </c>
      <c r="D320" s="467">
        <v>0</v>
      </c>
      <c r="E320" s="467">
        <v>0</v>
      </c>
      <c r="F320" s="467">
        <v>0</v>
      </c>
      <c r="G320" s="467">
        <v>0</v>
      </c>
      <c r="H320" s="467">
        <v>0</v>
      </c>
      <c r="I320" s="467">
        <v>0</v>
      </c>
      <c r="J320" s="467">
        <v>0</v>
      </c>
      <c r="K320" s="1689">
        <f t="shared" ref="K320:K327" si="24">SUM(C320:J320)</f>
        <v>0</v>
      </c>
      <c r="L320" s="467">
        <v>0</v>
      </c>
      <c r="M320" s="664"/>
      <c r="N320" s="664"/>
    </row>
    <row r="321" spans="1:14" s="673" customFormat="1" x14ac:dyDescent="0.2">
      <c r="A321" s="1537" t="s">
        <v>318</v>
      </c>
      <c r="B321" s="696" t="s">
        <v>301</v>
      </c>
      <c r="C321" s="467">
        <v>0</v>
      </c>
      <c r="D321" s="467">
        <v>0</v>
      </c>
      <c r="E321" s="467">
        <v>0</v>
      </c>
      <c r="F321" s="467">
        <v>0</v>
      </c>
      <c r="G321" s="467">
        <v>0</v>
      </c>
      <c r="H321" s="467">
        <v>0</v>
      </c>
      <c r="I321" s="467">
        <v>0</v>
      </c>
      <c r="J321" s="467">
        <v>0</v>
      </c>
      <c r="K321" s="1689">
        <f t="shared" si="24"/>
        <v>0</v>
      </c>
      <c r="L321" s="467">
        <v>0</v>
      </c>
      <c r="M321" s="664"/>
      <c r="N321" s="664"/>
    </row>
    <row r="322" spans="1:14" s="673" customFormat="1" x14ac:dyDescent="0.2">
      <c r="A322" s="1537" t="s">
        <v>256</v>
      </c>
      <c r="B322" s="696" t="s">
        <v>302</v>
      </c>
      <c r="C322" s="467">
        <v>0</v>
      </c>
      <c r="D322" s="467">
        <v>0</v>
      </c>
      <c r="E322" s="467">
        <v>0</v>
      </c>
      <c r="F322" s="467">
        <v>0</v>
      </c>
      <c r="G322" s="467">
        <v>0</v>
      </c>
      <c r="H322" s="467">
        <v>0</v>
      </c>
      <c r="I322" s="467">
        <v>0</v>
      </c>
      <c r="J322" s="467">
        <v>0</v>
      </c>
      <c r="K322" s="1689">
        <f t="shared" si="24"/>
        <v>0</v>
      </c>
      <c r="L322" s="467">
        <v>0</v>
      </c>
      <c r="M322" s="664"/>
      <c r="N322" s="664"/>
    </row>
    <row r="323" spans="1:14" s="673" customFormat="1" x14ac:dyDescent="0.2">
      <c r="A323" s="1537" t="s">
        <v>726</v>
      </c>
      <c r="B323" s="696" t="s">
        <v>303</v>
      </c>
      <c r="C323" s="467">
        <v>0</v>
      </c>
      <c r="D323" s="467">
        <v>0</v>
      </c>
      <c r="E323" s="467">
        <v>0</v>
      </c>
      <c r="F323" s="467">
        <v>0</v>
      </c>
      <c r="G323" s="467">
        <v>0</v>
      </c>
      <c r="H323" s="467">
        <v>0</v>
      </c>
      <c r="I323" s="467">
        <v>0</v>
      </c>
      <c r="J323" s="467">
        <v>0</v>
      </c>
      <c r="K323" s="1689">
        <f t="shared" si="24"/>
        <v>0</v>
      </c>
      <c r="L323" s="467">
        <v>0</v>
      </c>
      <c r="M323" s="664"/>
      <c r="N323" s="664"/>
    </row>
    <row r="324" spans="1:14" s="673" customFormat="1" x14ac:dyDescent="0.2">
      <c r="A324" s="1537" t="s">
        <v>257</v>
      </c>
      <c r="B324" s="696" t="s">
        <v>304</v>
      </c>
      <c r="C324" s="467">
        <v>0</v>
      </c>
      <c r="D324" s="467">
        <v>0</v>
      </c>
      <c r="E324" s="467">
        <v>0</v>
      </c>
      <c r="F324" s="467">
        <v>0</v>
      </c>
      <c r="G324" s="467">
        <v>0</v>
      </c>
      <c r="H324" s="467">
        <v>0</v>
      </c>
      <c r="I324" s="467">
        <v>0</v>
      </c>
      <c r="J324" s="467">
        <v>0</v>
      </c>
      <c r="K324" s="1689">
        <f t="shared" si="24"/>
        <v>0</v>
      </c>
      <c r="L324" s="467">
        <v>0</v>
      </c>
      <c r="M324" s="664"/>
      <c r="N324" s="664"/>
    </row>
    <row r="325" spans="1:14" s="673" customFormat="1" ht="22.5" x14ac:dyDescent="0.2">
      <c r="A325" s="1537" t="s">
        <v>1087</v>
      </c>
      <c r="B325" s="697" t="s">
        <v>305</v>
      </c>
      <c r="C325" s="467">
        <v>0</v>
      </c>
      <c r="D325" s="467">
        <v>0</v>
      </c>
      <c r="E325" s="467">
        <v>0</v>
      </c>
      <c r="F325" s="467">
        <v>0</v>
      </c>
      <c r="G325" s="467">
        <v>0</v>
      </c>
      <c r="H325" s="467">
        <v>0</v>
      </c>
      <c r="I325" s="467">
        <v>0</v>
      </c>
      <c r="J325" s="467">
        <v>0</v>
      </c>
      <c r="K325" s="1689">
        <f t="shared" si="24"/>
        <v>0</v>
      </c>
      <c r="L325" s="467">
        <v>0</v>
      </c>
      <c r="M325" s="664"/>
      <c r="N325" s="664"/>
    </row>
    <row r="326" spans="1:14" s="673" customFormat="1" x14ac:dyDescent="0.2">
      <c r="A326" s="1537" t="s">
        <v>1088</v>
      </c>
      <c r="B326" s="696" t="s">
        <v>306</v>
      </c>
      <c r="C326" s="467">
        <v>0</v>
      </c>
      <c r="D326" s="467">
        <v>0</v>
      </c>
      <c r="E326" s="467">
        <v>0</v>
      </c>
      <c r="F326" s="467">
        <v>0</v>
      </c>
      <c r="G326" s="467">
        <v>0</v>
      </c>
      <c r="H326" s="467">
        <v>0</v>
      </c>
      <c r="I326" s="467">
        <v>0</v>
      </c>
      <c r="J326" s="467">
        <v>0</v>
      </c>
      <c r="K326" s="1689">
        <f t="shared" si="24"/>
        <v>0</v>
      </c>
      <c r="L326" s="467">
        <v>0</v>
      </c>
      <c r="M326" s="664"/>
      <c r="N326" s="664"/>
    </row>
    <row r="327" spans="1:14" s="673" customFormat="1" x14ac:dyDescent="0.2">
      <c r="A327" s="1537" t="s">
        <v>1028</v>
      </c>
      <c r="B327" s="696" t="s">
        <v>307</v>
      </c>
      <c r="C327" s="467">
        <v>0</v>
      </c>
      <c r="D327" s="467">
        <v>0</v>
      </c>
      <c r="E327" s="467">
        <v>0</v>
      </c>
      <c r="F327" s="467">
        <v>0</v>
      </c>
      <c r="G327" s="467">
        <v>0</v>
      </c>
      <c r="H327" s="467">
        <v>0</v>
      </c>
      <c r="I327" s="467">
        <v>0</v>
      </c>
      <c r="J327" s="467">
        <v>0</v>
      </c>
      <c r="K327" s="1689">
        <f t="shared" si="24"/>
        <v>0</v>
      </c>
      <c r="L327" s="467">
        <v>0</v>
      </c>
      <c r="M327" s="664"/>
      <c r="N327" s="664"/>
    </row>
    <row r="328" spans="1:14" s="673" customFormat="1" x14ac:dyDescent="0.2">
      <c r="A328" s="1538" t="s">
        <v>492</v>
      </c>
      <c r="B328" s="689" t="s">
        <v>1194</v>
      </c>
      <c r="C328" s="474">
        <v>0</v>
      </c>
      <c r="D328" s="474">
        <v>0</v>
      </c>
      <c r="E328" s="474">
        <v>0</v>
      </c>
      <c r="F328" s="474">
        <v>0</v>
      </c>
      <c r="G328" s="474">
        <v>0</v>
      </c>
      <c r="H328" s="474">
        <v>0</v>
      </c>
      <c r="I328" s="474">
        <v>0</v>
      </c>
      <c r="J328" s="474">
        <v>0</v>
      </c>
      <c r="K328" s="1717">
        <f>SUM(C328:J328)</f>
        <v>0</v>
      </c>
      <c r="L328" s="474">
        <v>0</v>
      </c>
      <c r="M328" s="664"/>
      <c r="N328" s="664"/>
    </row>
    <row r="329" spans="1:14" s="673" customFormat="1" x14ac:dyDescent="0.2">
      <c r="A329" s="1538" t="s">
        <v>1195</v>
      </c>
      <c r="B329" s="689" t="s">
        <v>1196</v>
      </c>
      <c r="C329" s="474">
        <v>0</v>
      </c>
      <c r="D329" s="474">
        <v>0</v>
      </c>
      <c r="E329" s="474">
        <v>0</v>
      </c>
      <c r="F329" s="474">
        <v>0</v>
      </c>
      <c r="G329" s="474">
        <v>0</v>
      </c>
      <c r="H329" s="474">
        <v>0</v>
      </c>
      <c r="I329" s="474">
        <v>0</v>
      </c>
      <c r="J329" s="474">
        <v>0</v>
      </c>
      <c r="K329" s="1717">
        <f>SUM(C329:J329)</f>
        <v>0</v>
      </c>
      <c r="L329" s="474">
        <v>0</v>
      </c>
      <c r="M329" s="664"/>
      <c r="N329" s="664"/>
    </row>
    <row r="330" spans="1:14" s="673" customFormat="1" ht="12.75" customHeight="1" thickBot="1" x14ac:dyDescent="0.25">
      <c r="A330" s="1718" t="s">
        <v>741</v>
      </c>
      <c r="B330" s="1687" t="s">
        <v>590</v>
      </c>
      <c r="C330" s="1688">
        <f>SUM(C319:C329)</f>
        <v>0</v>
      </c>
      <c r="D330" s="1688">
        <f t="shared" ref="D330:J330" si="25">SUM(D319:D329)</f>
        <v>0</v>
      </c>
      <c r="E330" s="1688">
        <f t="shared" si="25"/>
        <v>0</v>
      </c>
      <c r="F330" s="1688">
        <f t="shared" si="25"/>
        <v>0</v>
      </c>
      <c r="G330" s="1688">
        <f t="shared" si="25"/>
        <v>0</v>
      </c>
      <c r="H330" s="1688">
        <f t="shared" si="25"/>
        <v>0</v>
      </c>
      <c r="I330" s="1688">
        <f t="shared" si="25"/>
        <v>0</v>
      </c>
      <c r="J330" s="1688">
        <f t="shared" si="25"/>
        <v>0</v>
      </c>
      <c r="K330" s="1688">
        <f>SUM(K319:K329)</f>
        <v>0</v>
      </c>
      <c r="L330" s="1688">
        <f>SUM(L319:L329)</f>
        <v>0</v>
      </c>
      <c r="M330" s="664"/>
      <c r="N330" s="664"/>
    </row>
    <row r="331" spans="1:14" s="673" customFormat="1" ht="12.75" customHeight="1" thickTop="1" x14ac:dyDescent="0.2">
      <c r="A331" s="1850" t="s">
        <v>1960</v>
      </c>
      <c r="B331" s="646" t="s">
        <v>915</v>
      </c>
      <c r="C331" s="1852"/>
      <c r="D331" s="1852"/>
      <c r="E331" s="1852"/>
      <c r="F331" s="1852"/>
      <c r="G331" s="1852"/>
      <c r="H331" s="1852"/>
      <c r="I331" s="1852"/>
      <c r="J331" s="1852"/>
      <c r="K331" s="1852"/>
      <c r="L331" s="1852"/>
      <c r="M331" s="664"/>
      <c r="N331" s="664"/>
    </row>
    <row r="332" spans="1:14" s="673" customFormat="1" ht="12.75" customHeight="1" x14ac:dyDescent="0.2">
      <c r="A332" s="1851" t="s">
        <v>517</v>
      </c>
      <c r="B332" s="1846" t="s">
        <v>1954</v>
      </c>
      <c r="C332" s="1852"/>
      <c r="D332" s="1852"/>
      <c r="E332" s="1852"/>
      <c r="F332" s="1852"/>
      <c r="G332" s="1852"/>
      <c r="H332" s="467">
        <v>0</v>
      </c>
      <c r="I332" s="1852"/>
      <c r="J332" s="1852"/>
      <c r="K332" s="1689">
        <f>H332</f>
        <v>0</v>
      </c>
      <c r="L332" s="467">
        <v>0</v>
      </c>
      <c r="M332" s="664"/>
      <c r="N332" s="664"/>
    </row>
    <row r="333" spans="1:14" s="673" customFormat="1" ht="12.75" customHeight="1" x14ac:dyDescent="0.2">
      <c r="A333" s="1851" t="s">
        <v>322</v>
      </c>
      <c r="B333" s="1846" t="s">
        <v>1956</v>
      </c>
      <c r="C333" s="1852"/>
      <c r="D333" s="1852"/>
      <c r="E333" s="1852"/>
      <c r="F333" s="1852"/>
      <c r="G333" s="1852"/>
      <c r="H333" s="467">
        <v>0</v>
      </c>
      <c r="I333" s="1852"/>
      <c r="J333" s="1852"/>
      <c r="K333" s="1689">
        <f>H333</f>
        <v>0</v>
      </c>
      <c r="L333" s="467">
        <v>0</v>
      </c>
      <c r="M333" s="664"/>
      <c r="N333" s="664"/>
    </row>
    <row r="334" spans="1:14" s="673" customFormat="1" ht="12.75" customHeight="1" thickBot="1" x14ac:dyDescent="0.25">
      <c r="A334" s="1851" t="s">
        <v>1961</v>
      </c>
      <c r="B334" s="1846" t="s">
        <v>915</v>
      </c>
      <c r="C334" s="1852"/>
      <c r="D334" s="1852"/>
      <c r="E334" s="1852"/>
      <c r="F334" s="1852"/>
      <c r="G334" s="1852"/>
      <c r="H334" s="1688">
        <f>SUM(H332:H333)</f>
        <v>0</v>
      </c>
      <c r="I334" s="1852"/>
      <c r="J334" s="1852"/>
      <c r="K334" s="1688">
        <f>SUM(K332:K333)</f>
        <v>0</v>
      </c>
      <c r="L334" s="1688">
        <f>SUM(L332:L333)</f>
        <v>0</v>
      </c>
      <c r="M334" s="664"/>
      <c r="N334" s="664"/>
    </row>
    <row r="335" spans="1:14" ht="15.75" customHeight="1" thickTop="1" x14ac:dyDescent="0.2">
      <c r="A335" s="1634" t="s">
        <v>955</v>
      </c>
      <c r="B335" s="1625" t="s">
        <v>513</v>
      </c>
      <c r="C335" s="615"/>
      <c r="D335" s="615"/>
      <c r="E335" s="615"/>
      <c r="F335" s="615"/>
      <c r="G335" s="615"/>
      <c r="H335" s="615"/>
      <c r="I335" s="615"/>
      <c r="J335" s="615"/>
      <c r="K335" s="615"/>
      <c r="L335" s="615"/>
    </row>
    <row r="336" spans="1:14" ht="15.75" customHeight="1" x14ac:dyDescent="0.2">
      <c r="A336" s="652" t="s">
        <v>636</v>
      </c>
      <c r="B336" s="621"/>
      <c r="C336" s="615"/>
      <c r="D336" s="615"/>
      <c r="E336" s="615"/>
      <c r="F336" s="615"/>
      <c r="G336" s="615"/>
      <c r="H336" s="622"/>
      <c r="I336" s="615"/>
      <c r="J336" s="615"/>
      <c r="K336" s="622"/>
      <c r="L336" s="622"/>
    </row>
    <row r="337" spans="1:14" x14ac:dyDescent="0.2">
      <c r="A337" s="1536" t="s">
        <v>89</v>
      </c>
      <c r="B337" s="689" t="s">
        <v>956</v>
      </c>
      <c r="C337" s="637"/>
      <c r="D337" s="637"/>
      <c r="E337" s="637"/>
      <c r="F337" s="637"/>
      <c r="G337" s="637"/>
      <c r="H337" s="477">
        <v>0</v>
      </c>
      <c r="I337" s="637"/>
      <c r="J337" s="637"/>
      <c r="K337" s="1689">
        <f>H337</f>
        <v>0</v>
      </c>
      <c r="L337" s="477">
        <v>0</v>
      </c>
    </row>
    <row r="338" spans="1:14" ht="12.75" customHeight="1" x14ac:dyDescent="0.2">
      <c r="A338" s="1536" t="s">
        <v>1232</v>
      </c>
      <c r="B338" s="689" t="s">
        <v>638</v>
      </c>
      <c r="C338" s="637"/>
      <c r="D338" s="637"/>
      <c r="E338" s="637"/>
      <c r="F338" s="637"/>
      <c r="G338" s="637"/>
      <c r="H338" s="477">
        <v>0</v>
      </c>
      <c r="I338" s="637"/>
      <c r="J338" s="637"/>
      <c r="K338" s="1689">
        <f>H338</f>
        <v>0</v>
      </c>
      <c r="L338" s="477">
        <v>0</v>
      </c>
    </row>
    <row r="339" spans="1:14" x14ac:dyDescent="0.2">
      <c r="A339" s="1522" t="s">
        <v>957</v>
      </c>
      <c r="B339" s="627">
        <v>5150</v>
      </c>
      <c r="C339" s="637"/>
      <c r="D339" s="637"/>
      <c r="E339" s="637"/>
      <c r="F339" s="637"/>
      <c r="G339" s="637"/>
      <c r="H339" s="467">
        <v>0</v>
      </c>
      <c r="I339" s="637"/>
      <c r="J339" s="637"/>
      <c r="K339" s="1689">
        <f>H339</f>
        <v>0</v>
      </c>
      <c r="L339" s="467">
        <v>0</v>
      </c>
    </row>
    <row r="340" spans="1:14" ht="13.5" thickBot="1" x14ac:dyDescent="0.25">
      <c r="A340" s="1712" t="s">
        <v>958</v>
      </c>
      <c r="B340" s="1687" t="s">
        <v>513</v>
      </c>
      <c r="C340" s="615"/>
      <c r="D340" s="615"/>
      <c r="E340" s="615"/>
      <c r="F340" s="615"/>
      <c r="G340" s="615"/>
      <c r="H340" s="1706">
        <f>SUM(H337:H339)</f>
        <v>0</v>
      </c>
      <c r="I340" s="615"/>
      <c r="J340" s="615"/>
      <c r="K340" s="1706">
        <f>SUM(K337:K339)</f>
        <v>0</v>
      </c>
      <c r="L340" s="1706">
        <f>SUM(L337:L339)</f>
        <v>0</v>
      </c>
    </row>
    <row r="341" spans="1:14" ht="15.75" customHeight="1" thickTop="1" thickBot="1" x14ac:dyDescent="0.25">
      <c r="A341" s="1637" t="s">
        <v>959</v>
      </c>
      <c r="B341" s="1629" t="s">
        <v>916</v>
      </c>
      <c r="C341" s="615"/>
      <c r="D341" s="615"/>
      <c r="E341" s="476"/>
      <c r="F341" s="468"/>
      <c r="G341" s="468"/>
      <c r="H341" s="476"/>
      <c r="I341" s="476"/>
      <c r="J341" s="468"/>
      <c r="K341" s="476"/>
      <c r="L341" s="574">
        <v>0</v>
      </c>
    </row>
    <row r="342" spans="1:14" ht="12.75" customHeight="1" thickTop="1" thickBot="1" x14ac:dyDescent="0.25">
      <c r="A342" s="1704" t="s">
        <v>526</v>
      </c>
      <c r="B342" s="1719"/>
      <c r="C342" s="1688">
        <f>SUM(C330)</f>
        <v>0</v>
      </c>
      <c r="D342" s="1688">
        <f>SUM(D330)</f>
        <v>0</v>
      </c>
      <c r="E342" s="1688">
        <f>SUM(E330)</f>
        <v>0</v>
      </c>
      <c r="F342" s="1688">
        <f>SUM(F330)</f>
        <v>0</v>
      </c>
      <c r="G342" s="1688">
        <f>SUM(G330)</f>
        <v>0</v>
      </c>
      <c r="H342" s="1688">
        <f>SUM(H330,H334,H340)</f>
        <v>0</v>
      </c>
      <c r="I342" s="1688">
        <f>SUM(I330)</f>
        <v>0</v>
      </c>
      <c r="J342" s="1688">
        <f>SUM(J330)</f>
        <v>0</v>
      </c>
      <c r="K342" s="1688">
        <f>SUM(K330,K334,K340)</f>
        <v>0</v>
      </c>
      <c r="L342" s="1695">
        <f>SUM(L330,L340,L341)</f>
        <v>0</v>
      </c>
    </row>
    <row r="343" spans="1:14" ht="12.75" customHeight="1" thickTop="1" x14ac:dyDescent="0.2">
      <c r="A343" s="2372" t="s">
        <v>1053</v>
      </c>
      <c r="B343" s="2373"/>
      <c r="C343" s="615"/>
      <c r="D343" s="615"/>
      <c r="E343" s="615"/>
      <c r="F343" s="615"/>
      <c r="G343" s="615"/>
      <c r="H343" s="615"/>
      <c r="I343" s="615"/>
      <c r="J343" s="615"/>
      <c r="K343" s="1702">
        <f>'Revenues 9-14'!J275-'Expenditures 15-22'!K342</f>
        <v>0</v>
      </c>
      <c r="L343" s="615"/>
    </row>
    <row r="344" spans="1:14" s="665" customFormat="1" ht="6" customHeight="1" x14ac:dyDescent="0.2">
      <c r="A344" s="662"/>
      <c r="B344" s="663"/>
      <c r="C344" s="649"/>
      <c r="D344" s="649"/>
      <c r="E344" s="649"/>
      <c r="F344" s="649"/>
      <c r="G344" s="649"/>
      <c r="H344" s="649"/>
      <c r="I344" s="649"/>
      <c r="J344" s="649"/>
      <c r="K344" s="649"/>
      <c r="L344" s="649"/>
      <c r="M344" s="664"/>
      <c r="N344" s="664"/>
    </row>
    <row r="345" spans="1:14" s="667" customFormat="1" ht="16.7" customHeight="1" x14ac:dyDescent="0.2">
      <c r="A345" s="2362" t="s">
        <v>1023</v>
      </c>
      <c r="B345" s="2363"/>
      <c r="C345" s="1569"/>
      <c r="D345" s="1570"/>
      <c r="E345" s="1570"/>
      <c r="F345" s="1570"/>
      <c r="G345" s="1570"/>
      <c r="H345" s="1570"/>
      <c r="I345" s="1570"/>
      <c r="J345" s="1570"/>
      <c r="K345" s="1570"/>
      <c r="L345" s="1571"/>
      <c r="M345" s="666"/>
      <c r="N345" s="666"/>
    </row>
    <row r="346" spans="1:14" s="343" customFormat="1" ht="15.75" customHeight="1" x14ac:dyDescent="0.2">
      <c r="A346" s="1641" t="s">
        <v>899</v>
      </c>
      <c r="B346" s="1633" t="s">
        <v>590</v>
      </c>
      <c r="C346" s="615"/>
      <c r="D346" s="615"/>
      <c r="E346" s="615"/>
      <c r="F346" s="615"/>
      <c r="G346" s="615"/>
      <c r="H346" s="615"/>
      <c r="I346" s="615"/>
      <c r="J346" s="615"/>
      <c r="K346" s="615"/>
      <c r="L346" s="615"/>
      <c r="M346" s="608"/>
      <c r="N346" s="608"/>
    </row>
    <row r="347" spans="1:14" ht="15.75" customHeight="1" x14ac:dyDescent="0.2">
      <c r="A347" s="698" t="s">
        <v>633</v>
      </c>
      <c r="B347" s="699"/>
      <c r="C347" s="622"/>
      <c r="D347" s="622"/>
      <c r="E347" s="622"/>
      <c r="F347" s="622"/>
      <c r="G347" s="622"/>
      <c r="H347" s="622"/>
      <c r="I347" s="615"/>
      <c r="J347" s="615"/>
      <c r="K347" s="622"/>
      <c r="L347" s="622"/>
    </row>
    <row r="348" spans="1:14" x14ac:dyDescent="0.2">
      <c r="A348" s="1522" t="s">
        <v>4</v>
      </c>
      <c r="B348" s="613">
        <v>2530</v>
      </c>
      <c r="C348" s="466">
        <v>0</v>
      </c>
      <c r="D348" s="466">
        <v>0</v>
      </c>
      <c r="E348" s="466">
        <v>0</v>
      </c>
      <c r="F348" s="466">
        <v>0</v>
      </c>
      <c r="G348" s="466">
        <v>0</v>
      </c>
      <c r="H348" s="466">
        <v>0</v>
      </c>
      <c r="I348" s="467">
        <v>0</v>
      </c>
      <c r="J348" s="467">
        <v>0</v>
      </c>
      <c r="K348" s="1689">
        <f>SUM(C348:J348)</f>
        <v>0</v>
      </c>
      <c r="L348" s="466">
        <v>0</v>
      </c>
    </row>
    <row r="349" spans="1:14" x14ac:dyDescent="0.2">
      <c r="A349" s="1522" t="s">
        <v>206</v>
      </c>
      <c r="B349" s="613">
        <v>2540</v>
      </c>
      <c r="C349" s="466">
        <v>0</v>
      </c>
      <c r="D349" s="466">
        <v>0</v>
      </c>
      <c r="E349" s="466">
        <v>0</v>
      </c>
      <c r="F349" s="466">
        <v>0</v>
      </c>
      <c r="G349" s="466">
        <v>0</v>
      </c>
      <c r="H349" s="466">
        <v>0</v>
      </c>
      <c r="I349" s="467">
        <v>0</v>
      </c>
      <c r="J349" s="467">
        <v>0</v>
      </c>
      <c r="K349" s="1689">
        <f>SUM(C349:J349)</f>
        <v>0</v>
      </c>
      <c r="L349" s="466">
        <v>0</v>
      </c>
    </row>
    <row r="350" spans="1:14" ht="12.75" customHeight="1" thickBot="1" x14ac:dyDescent="0.25">
      <c r="A350" s="1686" t="s">
        <v>743</v>
      </c>
      <c r="B350" s="1687" t="s">
        <v>35</v>
      </c>
      <c r="C350" s="1688">
        <f>SUM(C348:C349)</f>
        <v>0</v>
      </c>
      <c r="D350" s="1688">
        <f t="shared" ref="D350:L350" si="26">SUM(D348:D349)</f>
        <v>0</v>
      </c>
      <c r="E350" s="1688">
        <f t="shared" si="26"/>
        <v>0</v>
      </c>
      <c r="F350" s="1688">
        <f t="shared" si="26"/>
        <v>0</v>
      </c>
      <c r="G350" s="1688">
        <f t="shared" si="26"/>
        <v>0</v>
      </c>
      <c r="H350" s="1688">
        <f t="shared" si="26"/>
        <v>0</v>
      </c>
      <c r="I350" s="1688">
        <f t="shared" si="26"/>
        <v>0</v>
      </c>
      <c r="J350" s="1688">
        <f t="shared" si="26"/>
        <v>0</v>
      </c>
      <c r="K350" s="1688">
        <f t="shared" si="26"/>
        <v>0</v>
      </c>
      <c r="L350" s="1688">
        <f t="shared" si="26"/>
        <v>0</v>
      </c>
    </row>
    <row r="351" spans="1:14" ht="12.75" customHeight="1" thickTop="1" x14ac:dyDescent="0.2">
      <c r="A351" s="1528" t="s">
        <v>1037</v>
      </c>
      <c r="B351" s="642" t="s">
        <v>595</v>
      </c>
      <c r="C351" s="480">
        <v>0</v>
      </c>
      <c r="D351" s="480">
        <v>0</v>
      </c>
      <c r="E351" s="480">
        <v>0</v>
      </c>
      <c r="F351" s="480">
        <v>0</v>
      </c>
      <c r="G351" s="480">
        <v>0</v>
      </c>
      <c r="H351" s="480">
        <v>0</v>
      </c>
      <c r="I351" s="477">
        <v>0</v>
      </c>
      <c r="J351" s="477">
        <v>0</v>
      </c>
      <c r="K351" s="614">
        <f>SUM(C351:J351)</f>
        <v>0</v>
      </c>
      <c r="L351" s="480">
        <v>0</v>
      </c>
    </row>
    <row r="352" spans="1:14" ht="12.75" customHeight="1" thickBot="1" x14ac:dyDescent="0.25">
      <c r="A352" s="1686" t="s">
        <v>645</v>
      </c>
      <c r="B352" s="1693" t="s">
        <v>590</v>
      </c>
      <c r="C352" s="1688">
        <f>SUM(C350:C351)</f>
        <v>0</v>
      </c>
      <c r="D352" s="1688">
        <f t="shared" ref="D352:L352" si="27">SUM(D350:D351)</f>
        <v>0</v>
      </c>
      <c r="E352" s="1688">
        <f t="shared" si="27"/>
        <v>0</v>
      </c>
      <c r="F352" s="1688">
        <f t="shared" si="27"/>
        <v>0</v>
      </c>
      <c r="G352" s="1688">
        <f t="shared" si="27"/>
        <v>0</v>
      </c>
      <c r="H352" s="1688">
        <f t="shared" si="27"/>
        <v>0</v>
      </c>
      <c r="I352" s="1688">
        <f t="shared" si="27"/>
        <v>0</v>
      </c>
      <c r="J352" s="1688">
        <f t="shared" si="27"/>
        <v>0</v>
      </c>
      <c r="K352" s="1688">
        <f t="shared" si="27"/>
        <v>0</v>
      </c>
      <c r="L352" s="1688">
        <f t="shared" si="27"/>
        <v>0</v>
      </c>
    </row>
    <row r="353" spans="1:14" s="343" customFormat="1" ht="15.75" customHeight="1" thickTop="1" x14ac:dyDescent="0.2">
      <c r="A353" s="1630" t="s">
        <v>646</v>
      </c>
      <c r="B353" s="1627" t="s">
        <v>915</v>
      </c>
      <c r="C353" s="615"/>
      <c r="D353" s="615"/>
      <c r="E353" s="615"/>
      <c r="F353" s="615"/>
      <c r="G353" s="615"/>
      <c r="H353" s="615"/>
      <c r="I353" s="615"/>
      <c r="J353" s="615"/>
      <c r="K353" s="615"/>
      <c r="L353" s="615"/>
      <c r="M353" s="608"/>
      <c r="N353" s="608"/>
    </row>
    <row r="354" spans="1:14" x14ac:dyDescent="0.2">
      <c r="A354" s="1853" t="s">
        <v>1962</v>
      </c>
      <c r="B354" s="682" t="s">
        <v>1954</v>
      </c>
      <c r="C354" s="615"/>
      <c r="D354" s="615"/>
      <c r="E354" s="615"/>
      <c r="F354" s="615"/>
      <c r="G354" s="615"/>
      <c r="H354" s="474">
        <v>0</v>
      </c>
      <c r="I354" s="700"/>
      <c r="J354" s="615"/>
      <c r="K354" s="1717">
        <f>H354</f>
        <v>0</v>
      </c>
      <c r="L354" s="471">
        <v>0</v>
      </c>
    </row>
    <row r="355" spans="1:14" ht="12.75" customHeight="1" x14ac:dyDescent="0.2">
      <c r="A355" s="1531" t="s">
        <v>1963</v>
      </c>
      <c r="B355" s="689" t="s">
        <v>1956</v>
      </c>
      <c r="C355" s="615"/>
      <c r="D355" s="615"/>
      <c r="E355" s="615"/>
      <c r="F355" s="615"/>
      <c r="G355" s="615"/>
      <c r="H355" s="467">
        <v>0</v>
      </c>
      <c r="I355" s="700"/>
      <c r="J355" s="615"/>
      <c r="K355" s="1761">
        <f>H355</f>
        <v>0</v>
      </c>
      <c r="L355" s="467">
        <v>0</v>
      </c>
    </row>
    <row r="356" spans="1:14" ht="12.75" customHeight="1" x14ac:dyDescent="0.2">
      <c r="A356" s="1853" t="s">
        <v>722</v>
      </c>
      <c r="B356" s="682" t="s">
        <v>579</v>
      </c>
      <c r="C356" s="615"/>
      <c r="D356" s="615"/>
      <c r="E356" s="615"/>
      <c r="F356" s="615"/>
      <c r="G356" s="615"/>
      <c r="H356" s="478">
        <v>0</v>
      </c>
      <c r="I356" s="700"/>
      <c r="J356" s="615"/>
      <c r="K356" s="1758">
        <f>H356</f>
        <v>0</v>
      </c>
      <c r="L356" s="478">
        <v>0</v>
      </c>
    </row>
    <row r="357" spans="1:14" ht="12.75" customHeight="1" thickBot="1" x14ac:dyDescent="0.25">
      <c r="A357" s="1686" t="s">
        <v>1567</v>
      </c>
      <c r="B357" s="1687" t="s">
        <v>915</v>
      </c>
      <c r="C357" s="615"/>
      <c r="D357" s="615"/>
      <c r="E357" s="615"/>
      <c r="F357" s="615"/>
      <c r="G357" s="615"/>
      <c r="H357" s="1706">
        <f>SUM(H354:H356)</f>
        <v>0</v>
      </c>
      <c r="I357" s="700"/>
      <c r="J357" s="615"/>
      <c r="K357" s="1706">
        <f>SUM(K354:K356)</f>
        <v>0</v>
      </c>
      <c r="L357" s="1706">
        <f>SUM(L354:L356)</f>
        <v>0</v>
      </c>
    </row>
    <row r="358" spans="1:14" s="343" customFormat="1" ht="15.75" customHeight="1" thickTop="1" x14ac:dyDescent="0.2">
      <c r="A358" s="1630" t="s">
        <v>1005</v>
      </c>
      <c r="B358" s="1627" t="s">
        <v>513</v>
      </c>
      <c r="C358" s="615"/>
      <c r="D358" s="615"/>
      <c r="E358" s="615"/>
      <c r="F358" s="615"/>
      <c r="G358" s="615"/>
      <c r="H358" s="615"/>
      <c r="I358" s="615"/>
      <c r="J358" s="615"/>
      <c r="K358" s="615"/>
      <c r="L358" s="615"/>
      <c r="M358" s="608"/>
      <c r="N358" s="608"/>
    </row>
    <row r="359" spans="1:14" s="343" customFormat="1" ht="15.75" customHeight="1" x14ac:dyDescent="0.2">
      <c r="A359" s="652" t="s">
        <v>648</v>
      </c>
      <c r="B359" s="621"/>
      <c r="C359" s="615"/>
      <c r="D359" s="615"/>
      <c r="E359" s="615"/>
      <c r="F359" s="615"/>
      <c r="G359" s="615"/>
      <c r="H359" s="615"/>
      <c r="I359" s="615"/>
      <c r="J359" s="615"/>
      <c r="K359" s="622"/>
      <c r="L359" s="622"/>
      <c r="M359" s="608"/>
      <c r="N359" s="608"/>
    </row>
    <row r="360" spans="1:14" x14ac:dyDescent="0.2">
      <c r="A360" s="1522" t="s">
        <v>89</v>
      </c>
      <c r="B360" s="613">
        <v>5110</v>
      </c>
      <c r="C360" s="615"/>
      <c r="D360" s="615"/>
      <c r="E360" s="615"/>
      <c r="F360" s="615"/>
      <c r="G360" s="615"/>
      <c r="H360" s="467">
        <v>0</v>
      </c>
      <c r="I360" s="615"/>
      <c r="J360" s="615"/>
      <c r="K360" s="1689">
        <f>SUM(C360:J360)</f>
        <v>0</v>
      </c>
      <c r="L360" s="466">
        <v>0</v>
      </c>
    </row>
    <row r="361" spans="1:14" ht="12.75" customHeight="1" x14ac:dyDescent="0.2">
      <c r="A361" s="1523" t="s">
        <v>640</v>
      </c>
      <c r="B361" s="601" t="s">
        <v>639</v>
      </c>
      <c r="C361" s="615"/>
      <c r="D361" s="615"/>
      <c r="E361" s="615"/>
      <c r="F361" s="615"/>
      <c r="G361" s="615"/>
      <c r="H361" s="467">
        <v>0</v>
      </c>
      <c r="I361" s="615"/>
      <c r="J361" s="615"/>
      <c r="K361" s="1689">
        <f>SUM(C361:J361)</f>
        <v>0</v>
      </c>
      <c r="L361" s="466">
        <v>0</v>
      </c>
    </row>
    <row r="362" spans="1:14" ht="12.75" customHeight="1" thickBot="1" x14ac:dyDescent="0.25">
      <c r="A362" s="1686" t="s">
        <v>647</v>
      </c>
      <c r="B362" s="1687" t="s">
        <v>742</v>
      </c>
      <c r="C362" s="615"/>
      <c r="D362" s="615"/>
      <c r="E362" s="615"/>
      <c r="F362" s="615"/>
      <c r="G362" s="615"/>
      <c r="H362" s="1721">
        <f>SUM(H360:H361)</f>
        <v>0</v>
      </c>
      <c r="I362" s="615"/>
      <c r="J362" s="615"/>
      <c r="K362" s="1721">
        <f>SUM(K360:K361)</f>
        <v>0</v>
      </c>
      <c r="L362" s="1721">
        <f>SUM(L360:L361)</f>
        <v>0</v>
      </c>
    </row>
    <row r="363" spans="1:14" s="673" customFormat="1" ht="15.75" customHeight="1" thickTop="1" x14ac:dyDescent="0.2">
      <c r="A363" s="659" t="s">
        <v>85</v>
      </c>
      <c r="B363" s="660" t="s">
        <v>38</v>
      </c>
      <c r="C363" s="637"/>
      <c r="D363" s="637"/>
      <c r="E363" s="637"/>
      <c r="F363" s="637"/>
      <c r="G363" s="637"/>
      <c r="H363" s="478">
        <v>0</v>
      </c>
      <c r="I363" s="637"/>
      <c r="J363" s="637"/>
      <c r="K363" s="1717">
        <f>SUM(C363:J363)</f>
        <v>0</v>
      </c>
      <c r="L363" s="478">
        <v>0</v>
      </c>
      <c r="M363" s="664"/>
      <c r="N363" s="664"/>
    </row>
    <row r="364" spans="1:14" s="707" customFormat="1" ht="29.25" customHeight="1" x14ac:dyDescent="0.2">
      <c r="A364" s="701" t="s">
        <v>1771</v>
      </c>
      <c r="B364" s="702">
        <v>5300</v>
      </c>
      <c r="C364" s="703"/>
      <c r="D364" s="704"/>
      <c r="E364" s="704"/>
      <c r="F364" s="703"/>
      <c r="G364" s="704"/>
      <c r="H364" s="705">
        <v>0</v>
      </c>
      <c r="I364" s="704"/>
      <c r="J364" s="704"/>
      <c r="K364" s="1689">
        <f>SUM(C364:J364)</f>
        <v>0</v>
      </c>
      <c r="L364" s="706">
        <v>0</v>
      </c>
    </row>
    <row r="365" spans="1:14" s="673" customFormat="1" ht="12.75" customHeight="1" thickBot="1" x14ac:dyDescent="0.25">
      <c r="A365" s="1539" t="s">
        <v>611</v>
      </c>
      <c r="B365" s="658" t="s">
        <v>513</v>
      </c>
      <c r="C365" s="637"/>
      <c r="D365" s="637"/>
      <c r="E365" s="637"/>
      <c r="F365" s="637"/>
      <c r="G365" s="637"/>
      <c r="H365" s="1721">
        <f>SUM(H362,H363,H364)</f>
        <v>0</v>
      </c>
      <c r="I365" s="637"/>
      <c r="J365" s="637"/>
      <c r="K365" s="1721">
        <f>SUM(K362,K363,K364)</f>
        <v>0</v>
      </c>
      <c r="L365" s="1721">
        <f>SUM(L362,L363,L364)</f>
        <v>0</v>
      </c>
      <c r="M365" s="664"/>
      <c r="N365" s="664"/>
    </row>
    <row r="366" spans="1:14" s="343" customFormat="1" ht="15.75" customHeight="1" thickTop="1" thickBot="1" x14ac:dyDescent="0.25">
      <c r="A366" s="1624" t="s">
        <v>1006</v>
      </c>
      <c r="B366" s="1631" t="s">
        <v>916</v>
      </c>
      <c r="C366" s="622"/>
      <c r="D366" s="622"/>
      <c r="E366" s="622"/>
      <c r="F366" s="622"/>
      <c r="G366" s="622"/>
      <c r="H366" s="622"/>
      <c r="I366" s="622"/>
      <c r="J366" s="615"/>
      <c r="K366" s="622"/>
      <c r="L366" s="571">
        <v>0</v>
      </c>
      <c r="M366" s="608"/>
      <c r="N366" s="608"/>
    </row>
    <row r="367" spans="1:14" ht="12.75" customHeight="1" thickTop="1" thickBot="1" x14ac:dyDescent="0.25">
      <c r="A367" s="1710" t="s">
        <v>526</v>
      </c>
      <c r="B367" s="1722"/>
      <c r="C367" s="1688">
        <f t="shared" ref="C367:L367" si="28">SUM(C352,C357,C365,C366)</f>
        <v>0</v>
      </c>
      <c r="D367" s="1688">
        <f t="shared" si="28"/>
        <v>0</v>
      </c>
      <c r="E367" s="1688">
        <f t="shared" si="28"/>
        <v>0</v>
      </c>
      <c r="F367" s="1688">
        <f t="shared" si="28"/>
        <v>0</v>
      </c>
      <c r="G367" s="1688">
        <f t="shared" si="28"/>
        <v>0</v>
      </c>
      <c r="H367" s="1688">
        <f t="shared" si="28"/>
        <v>0</v>
      </c>
      <c r="I367" s="1688">
        <f t="shared" si="28"/>
        <v>0</v>
      </c>
      <c r="J367" s="1688">
        <f t="shared" si="28"/>
        <v>0</v>
      </c>
      <c r="K367" s="1688">
        <f t="shared" si="28"/>
        <v>0</v>
      </c>
      <c r="L367" s="1688">
        <f t="shared" si="28"/>
        <v>0</v>
      </c>
    </row>
    <row r="368" spans="1:14" ht="13.5" thickTop="1" x14ac:dyDescent="0.2">
      <c r="A368" s="2359" t="s">
        <v>1053</v>
      </c>
      <c r="B368" s="2360"/>
      <c r="C368" s="653"/>
      <c r="D368" s="653"/>
      <c r="E368" s="625"/>
      <c r="F368" s="625"/>
      <c r="G368" s="625"/>
      <c r="H368" s="625"/>
      <c r="I368" s="625"/>
      <c r="J368" s="622"/>
      <c r="K368" s="1689">
        <f>'Revenues 9-14'!K275-'Expenditures 15-22'!K367</f>
        <v>1057</v>
      </c>
      <c r="L368" s="653"/>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pageMargins left="0.1" right="0.2" top="0.61" bottom="0.35" header="0.28000000000000003" footer="0.1"/>
  <pageSetup scale="71"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&amp;F&amp;CThe accompanying notes are an integral part of these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99216-9548-403A-A1AC-CF57406FE3BA}">
  <ds:schemaRefs>
    <ds:schemaRef ds:uri="http://purl.org/dc/dcmitype/"/>
    <ds:schemaRef ds:uri="http://schemas.microsoft.com/office/2006/metadata/properties"/>
    <ds:schemaRef ds:uri="d21dc803-237d-4c68-8692-8d731fd29118"/>
    <ds:schemaRef ds:uri="http://schemas.microsoft.com/sharepoint/v3"/>
    <ds:schemaRef ds:uri="http://purl.org/dc/elements/1.1/"/>
    <ds:schemaRef ds:uri="http://schemas.microsoft.com/office/2006/documentManagement/types"/>
    <ds:schemaRef ds:uri="6ce3111e-7420-4802-b50a-75d4e9a0b980"/>
    <ds:schemaRef ds:uri="http://schemas.openxmlformats.org/package/2006/metadata/core-properties"/>
    <ds:schemaRef ds:uri="http://schemas.microsoft.com/office/infopath/2007/PartnerControls"/>
    <ds:schemaRef ds:uri="4d435f69-8686-490b-bd6d-b153bf22ab50"/>
    <ds:schemaRef ds:uri="http://www.w3.org/XML/1998/namespace"/>
    <ds:schemaRef ds:uri="http://purl.org/dc/terms/"/>
  </ds:schemaRefs>
</ds:datastoreItem>
</file>

<file path=customXml/itemProps3.xml><?xml version="1.0" encoding="utf-8"?>
<ds:datastoreItem xmlns:ds="http://schemas.openxmlformats.org/officeDocument/2006/customXml" ds:itemID="{FE142579-2840-42B2-83A9-B606BEA67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20</vt:i4>
      </vt:variant>
    </vt:vector>
  </HeadingPairs>
  <TitlesOfParts>
    <vt:vector size="7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 SEFA</vt:lpstr>
      <vt:lpstr>SEFA 18</vt:lpstr>
      <vt:lpstr>SEFA NOTES</vt:lpstr>
      <vt:lpstr>SF&amp;QC Sec-1</vt:lpstr>
      <vt:lpstr>SF&amp;QC Sec-2</vt:lpstr>
      <vt:lpstr>Finding 2018-001</vt:lpstr>
      <vt:lpstr>Finding 2018-002</vt:lpstr>
      <vt:lpstr>Finding 2018-003</vt:lpstr>
      <vt:lpstr>Finding 2018-004</vt:lpstr>
      <vt:lpstr>Finding 2018-005</vt:lpstr>
      <vt:lpstr>Finding 2018-006</vt:lpstr>
      <vt:lpstr>Finding 2018-007</vt:lpstr>
      <vt:lpstr>Finding 2018-008</vt:lpstr>
      <vt:lpstr>Finding 2018-009</vt:lpstr>
      <vt:lpstr>Finding 2018-010</vt:lpstr>
      <vt:lpstr>SSPAF</vt:lpstr>
      <vt:lpstr>CAP 2018-001</vt:lpstr>
      <vt:lpstr>CAP 2018-002</vt:lpstr>
      <vt:lpstr>CAP 2018-003</vt:lpstr>
      <vt:lpstr>CAP 2018-004</vt:lpstr>
      <vt:lpstr>CAP 2018-005</vt:lpstr>
      <vt:lpstr>CAP 2018-006</vt:lpstr>
      <vt:lpstr>CAP 2018-007</vt:lpstr>
      <vt:lpstr>CAP 2018-008</vt:lpstr>
      <vt:lpstr>CAP 2018-009</vt:lpstr>
      <vt:lpstr>CAP 2018-010</vt:lpstr>
      <vt:lpstr>' SEFA'!Print_Area</vt:lpstr>
      <vt:lpstr>'Finding 2018-009'!Print_Area</vt:lpstr>
      <vt:lpstr>'Finding 2018-010'!Print_Area</vt:lpstr>
      <vt:lpstr>'SEFA 18'!Print_Area</vt:lpstr>
      <vt:lpstr>'SEFA NOTES'!Print_Area</vt:lpstr>
      <vt:lpstr>'SEFA Reconcile'!Print_Area</vt:lpstr>
      <vt:lpstr>'SF&amp;QC Sec-1'!Print_Area</vt:lpstr>
      <vt:lpstr>'Single Audit Checklist'!Print_Area</vt:lpstr>
      <vt:lpstr>'Single Audit Cover'!Print_Area</vt:lpstr>
      <vt:lpstr>'SEFA 18'!Print_Area_MI</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 18'!Print_Titles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OLSON RICHARD</cp:lastModifiedBy>
  <cp:lastPrinted>2019-01-16T20:47:57Z</cp:lastPrinted>
  <dcterms:created xsi:type="dcterms:W3CDTF">2003-10-29T19:06:34Z</dcterms:created>
  <dcterms:modified xsi:type="dcterms:W3CDTF">2019-01-18T15:29:19Z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