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0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autoNoTable" iterate="1" iterateCount="1" iterateDelta="0"/>
</workbook>
</file>

<file path=xl/calcChain.xml><?xml version="1.0" encoding="utf-8"?>
<calcChain xmlns="http://schemas.openxmlformats.org/spreadsheetml/2006/main">
  <c r="M19" i="3" l="1"/>
  <c r="G20" i="127" l="1"/>
  <c r="G10" i="127"/>
  <c r="G12" i="127"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c r="B5114" i="106"/>
  <c r="D5114" i="106" s="1"/>
  <c r="B5115" i="106"/>
  <c r="D5115" i="106" s="1"/>
  <c r="B5116" i="106"/>
  <c r="D5116" i="106" s="1"/>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3" i="127"/>
  <c r="B64"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1" i="34"/>
  <c r="F128" i="34"/>
  <c r="F127" i="34"/>
  <c r="B5847" i="106"/>
  <c r="D5847" i="106" s="1"/>
  <c r="B5752" i="106"/>
  <c r="D5752" i="106" s="1"/>
  <c r="B5599" i="106"/>
  <c r="D5599" i="106" s="1"/>
  <c r="K274" i="5"/>
  <c r="H173" i="5"/>
  <c r="B5906" i="106" s="1"/>
  <c r="D5906" i="106" s="1"/>
  <c r="C172" i="5"/>
  <c r="B5214" i="106" s="1"/>
  <c r="D5214" i="106" s="1"/>
  <c r="H109" i="5"/>
  <c r="B6025" i="106" s="1"/>
  <c r="D6025" i="106" s="1"/>
  <c r="D109" i="5"/>
  <c r="B5356" i="106" s="1"/>
  <c r="D5356"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B7041" i="106"/>
  <c r="D7041" i="106" s="1"/>
  <c r="F130" i="34"/>
  <c r="F136" i="34"/>
  <c r="K28" i="118"/>
  <c r="O27" i="118" s="1"/>
  <c r="O29" i="118" s="1"/>
  <c r="I274" i="5"/>
  <c r="K173" i="5"/>
  <c r="K6" i="4" s="1"/>
  <c r="B3570" i="106" s="1"/>
  <c r="D3570" i="106" s="1"/>
  <c r="F172" i="5"/>
  <c r="B5644" i="106" s="1"/>
  <c r="D5644" i="106" s="1"/>
  <c r="G109" i="5"/>
  <c r="B6024" i="106" s="1"/>
  <c r="D6024" i="106" s="1"/>
  <c r="L342" i="29"/>
  <c r="L312" i="29"/>
  <c r="D7245" i="106"/>
  <c r="I342" i="29"/>
  <c r="B7222" i="106" s="1"/>
  <c r="D7222" i="106" s="1"/>
  <c r="J77" i="4"/>
  <c r="B6262" i="106" s="1"/>
  <c r="D6262" i="106" s="1"/>
  <c r="B6191" i="106"/>
  <c r="D6191" i="106" s="1"/>
  <c r="J41" i="3"/>
  <c r="K76" i="4"/>
  <c r="B3586" i="106" s="1"/>
  <c r="D3586" i="106" s="1"/>
  <c r="H76" i="4"/>
  <c r="B3298" i="106" s="1"/>
  <c r="D3298" i="106" s="1"/>
  <c r="K24" i="12"/>
  <c r="B3621" i="106"/>
  <c r="D3621" i="106" s="1"/>
  <c r="C367" i="29"/>
  <c r="K285" i="29"/>
  <c r="G210" i="29"/>
  <c r="E174" i="29"/>
  <c r="B1309" i="106" s="1"/>
  <c r="D1309" i="106" s="1"/>
  <c r="F19" i="7"/>
  <c r="B1807" i="106" s="1"/>
  <c r="D1807" i="106" s="1"/>
  <c r="L15" i="11"/>
  <c r="B3459" i="106" s="1"/>
  <c r="D3459" i="106" s="1"/>
  <c r="D54" i="36"/>
  <c r="C129" i="29"/>
  <c r="G38" i="108"/>
  <c r="C173" i="5"/>
  <c r="B5223" i="106" s="1"/>
  <c r="D5223" i="106" s="1"/>
  <c r="C109" i="5"/>
  <c r="B5121" i="106" s="1"/>
  <c r="D5121" i="106" s="1"/>
  <c r="B5096" i="106"/>
  <c r="D5096" i="106" s="1"/>
  <c r="B3649" i="106"/>
  <c r="D3649" i="106" s="1"/>
  <c r="G367" i="29"/>
  <c r="B3647" i="106"/>
  <c r="D3647" i="106" s="1"/>
  <c r="K350" i="29"/>
  <c r="H4" i="4"/>
  <c r="B2655" i="106" s="1"/>
  <c r="D2655" i="106" s="1"/>
  <c r="G4" i="4"/>
  <c r="B2603" i="106" s="1"/>
  <c r="D2603" i="106" s="1"/>
  <c r="B7074" i="106"/>
  <c r="D7074" i="106" s="1"/>
  <c r="B1410" i="106"/>
  <c r="D1410" i="106" s="1"/>
  <c r="F111" i="34"/>
  <c r="E109" i="5"/>
  <c r="E4" i="4" s="1"/>
  <c r="B2630" i="106" s="1"/>
  <c r="D2630" i="106" s="1"/>
  <c r="B1329" i="106"/>
  <c r="D1329" i="106" s="1"/>
  <c r="F61" i="34"/>
  <c r="D4" i="4"/>
  <c r="B2564" i="106" s="1"/>
  <c r="D2564" i="106" s="1"/>
  <c r="N22" i="3"/>
  <c r="B283" i="106" s="1"/>
  <c r="D283" i="106" s="1"/>
  <c r="L13" i="11"/>
  <c r="B2060" i="106" s="1"/>
  <c r="D20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F73" i="34" l="1"/>
  <c r="G15" i="4"/>
  <c r="B6032" i="106" s="1"/>
  <c r="D6032" i="106" s="1"/>
  <c r="H367" i="29"/>
  <c r="B3660" i="106" s="1"/>
  <c r="D3660" i="106" s="1"/>
  <c r="B3628" i="106"/>
  <c r="D3628" i="106" s="1"/>
  <c r="B1365" i="106"/>
  <c r="D1365" i="106" s="1"/>
  <c r="F65" i="34"/>
  <c r="B7733" i="106"/>
  <c r="D7733" i="106" s="1"/>
  <c r="K26" i="12"/>
  <c r="B7743" i="106" s="1"/>
  <c r="D7743" i="106" s="1"/>
  <c r="L16" i="11"/>
  <c r="B2061" i="106" s="1"/>
  <c r="D2061" i="106" s="1"/>
  <c r="C114" i="29"/>
  <c r="B757" i="106" s="1"/>
  <c r="D757" i="106" s="1"/>
  <c r="C4" i="4"/>
  <c r="B2551" i="106" s="1"/>
  <c r="D2551" i="106" s="1"/>
  <c r="D44" i="36"/>
  <c r="B3670" i="106"/>
  <c r="D3670" i="106" s="1"/>
  <c r="K352" i="29"/>
  <c r="D19" i="7"/>
  <c r="B1775" i="106" s="1"/>
  <c r="D1775" i="106" s="1"/>
  <c r="B3447" i="106"/>
  <c r="D3447" i="106" s="1"/>
  <c r="F274" i="5"/>
  <c r="B5653" i="106"/>
  <c r="D5653" i="106" s="1"/>
  <c r="F275" i="5"/>
  <c r="B5720" i="106" s="1"/>
  <c r="D572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G22" i="108"/>
  <c r="B1119" i="106"/>
  <c r="D1119" i="106" s="1"/>
  <c r="E22" i="108"/>
  <c r="G12" i="145"/>
  <c r="G19" i="145" s="1"/>
  <c r="J20" i="145" s="1"/>
  <c r="E19" i="145"/>
  <c r="F8" i="4"/>
  <c r="B5915" i="106"/>
  <c r="D5915" i="106" s="1"/>
  <c r="B6222" i="106"/>
  <c r="D6222" i="106" s="1"/>
  <c r="J8" i="4"/>
  <c r="B2658" i="106"/>
  <c r="D2658" i="106" s="1"/>
  <c r="H10" i="4"/>
  <c r="B4127" i="106" s="1"/>
  <c r="D4127" i="106" s="1"/>
  <c r="D7" i="4"/>
  <c r="D275" i="5"/>
  <c r="B5507" i="106"/>
  <c r="D5507" i="106" s="1"/>
  <c r="B7298" i="106"/>
  <c r="B7299" i="106"/>
  <c r="B1145" i="106" l="1"/>
  <c r="D1145" i="106" s="1"/>
  <c r="K13" i="4"/>
  <c r="B3572" i="106" s="1"/>
  <c r="D3572" i="106" s="1"/>
  <c r="B3672" i="106"/>
  <c r="D3672" i="106" s="1"/>
  <c r="K367" i="29"/>
  <c r="K368" i="29" s="1"/>
  <c r="B3681" i="106" s="1"/>
  <c r="D3681" i="106" s="1"/>
  <c r="E41" i="108"/>
  <c r="E44" i="108" s="1"/>
  <c r="E45" i="108" s="1"/>
  <c r="G41" i="108"/>
  <c r="G44" i="108" s="1"/>
  <c r="G45" i="108" s="1"/>
  <c r="B2594" i="106"/>
  <c r="D259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c r="D32" i="171" s="1"/>
  <c r="D49" i="171" s="1"/>
  <c r="B3678" i="106"/>
  <c r="D367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<sst xmlns="http://schemas.openxmlformats.org/spreadsheetml/2006/main" count="5074" uniqueCount="2129">
  <si>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</si>
  <si>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</si>
  <si>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</si>
  <si>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</si>
  <si>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</si>
  <si>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</si>
  <si>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</si>
  <si>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</si>
  <si>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</si>
  <si>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</si>
  <si>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</si>
  <si>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</si>
  <si>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</si>
  <si>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</si>
  <si>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</si>
  <si>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</si>
  <si>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</si>
  <si>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</si>
  <si>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</si>
  <si>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</si>
  <si>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</si>
  <si>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</si>
  <si>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</si>
  <si>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</si>
  <si>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</si>
  <si>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</si>
  <si>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</si>
  <si>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</si>
  <si>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</si>
  <si>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</si>
  <si>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</si>
  <si>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</si>
  <si>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</si>
  <si>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</si>
  <si>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</si>
  <si>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</si>
  <si>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</si>
  <si>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</si>
  <si>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</si>
  <si>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</si>
  <si>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</si>
  <si>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</si>
  <si>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</si>
  <si>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</si>
  <si>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</si>
  <si>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</si>
  <si>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</si>
  <si>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</si>
  <si>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</si>
  <si>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</si>
  <si>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</si>
  <si>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</si>
  <si>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</si>
  <si>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</si>
  <si>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</si>
  <si>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</si>
  <si>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</si>
  <si>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</si>
  <si>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</si>
  <si>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</si>
  <si>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</si>
  <si>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</si>
  <si>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</si>
  <si>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</si>
  <si>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</si>
  <si>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</si>
  <si>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</si>
  <si>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</si>
  <si>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</si>
  <si>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</si>
  <si>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</si>
  <si>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</si>
  <si>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</si>
  <si>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</si>
  <si>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</si>
  <si>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</si>
  <si>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</si>
  <si>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</si>
  <si>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</si>
  <si>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</si>
  <si>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</si>
  <si>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</si>
  <si>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</si>
  <si>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</si>
  <si>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</si>
  <si>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</si>
  <si>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</si>
  <si>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</si>
  <si>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</si>
  <si>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</si>
  <si>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</si>
  <si>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</si>
  <si>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</si>
  <si>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</si>
  <si>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</si>
  <si>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</si>
  <si>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</si>
  <si>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</si>
  <si>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</si>
  <si>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</si>
  <si>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</si>
  <si>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</si>
  <si>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</si>
  <si>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</si>
  <si>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</si>
  <si>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</si>
  <si>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</si>
  <si>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</si>
  <si>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</si>
  <si>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</si>
  <si>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</si>
  <si>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</si>
  <si>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</si>
  <si>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</si>
  <si>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</si>
  <si>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</si>
  <si>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</si>
  <si>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</si>
  <si>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</si>
  <si>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</si>
  <si>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</si>
  <si>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</si>
  <si>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</si>
  <si>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</si>
  <si>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</si>
  <si>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</si>
  <si>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</si>
  <si>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</si>
  <si>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</si>
  <si>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</si>
  <si>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</si>
  <si>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</si>
  <si>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</si>
  <si>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</si>
  <si>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</si>
  <si>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</si>
  <si>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</si>
  <si>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</si>
  <si>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</si>
  <si>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</si>
  <si>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</si>
  <si>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</si>
  <si>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</si>
  <si>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</si>
  <si>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</si>
  <si>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</si>
  <si>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</si>
  <si>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</si>
  <si>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</si>
  <si>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</si>
  <si>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</si>
  <si>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</si>
  <si>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</si>
  <si>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</si>
  <si>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</si>
  <si>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</si>
  <si>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</si>
  <si>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</si>
  <si>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</si>
  <si>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</si>
  <si>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</si>
  <si>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</si>
  <si>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</si>
  <si>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</si>
  <si>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</si>
  <si>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</si>
  <si>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</si>
  <si>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</si>
  <si>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</si>
  <si>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</si>
  <si>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</si>
  <si>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</si>
  <si>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</si>
  <si>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</si>
  <si>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</si>
  <si>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</si>
  <si>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</si>
  <si>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</si>
  <si>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</si>
  <si>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</si>
  <si>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</si>
  <si>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</si>
  <si>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</si>
  <si>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</si>
  <si>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</si>
  <si>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</si>
  <si>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</si>
  <si>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</si>
  <si>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</si>
  <si>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</si>
  <si>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</si>
  <si>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</si>
  <si>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</si>
  <si>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</si>
  <si>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</si>
  <si>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</si>
  <si>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</si>
  <si>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</si>
  <si>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</si>
  <si>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</si>
  <si>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</si>
  <si>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</si>
  <si>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</si>
  <si>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</si>
  <si>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</si>
  <si>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</si>
  <si>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</si>
  <si>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</si>
  <si>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</si>
  <si>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</si>
  <si>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</si>
  <si>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</si>
  <si>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</si>
  <si>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</si>
  <si>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</si>
  <si>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</si>
  <si>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</si>
  <si>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</si>
  <si>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</si>
  <si>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</si>
  <si>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</si>
  <si>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</si>
  <si>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</si>
  <si>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</si>
  <si>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</si>
  <si>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</si>
  <si>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</si>
  <si>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</si>
  <si>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</si>
  <si>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</si>
  <si>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</si>
  <si>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</si>
  <si>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</si>
  <si>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</si>
  <si>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</si>
  <si>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</si>
  <si>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</si>
  <si>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</si>
  <si>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</si>
  <si>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</si>
  <si>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</si>
  <si>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</si>
  <si>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</si>
  <si>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</si>
  <si>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</si>
  <si>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</si>
  <si>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</si>
  <si>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</si>
  <si>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</si>
  <si>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</si>
  <si>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</si>
  <si>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</si>
  <si>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</si>
  <si>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</si>
  <si>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</si>
  <si>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</si>
  <si>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</si>
  <si>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</si>
  <si>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</si>
  <si>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</si>
  <si>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</si>
  <si>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</si>
  <si>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</si>
  <si>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</si>
  <si>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</si>
  <si>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</si>
  <si>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</si>
  <si>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</si>
  <si>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</si>
  <si>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</si>
  <si>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</si>
  <si>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</si>
  <si>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</si>
  <si>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</si>
  <si>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</si>
  <si>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</si>
  <si>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</si>
  <si>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</si>
  <si>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</si>
  <si>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</si>
  <si>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</si>
  <si>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</si>
  <si>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</si>
  <si>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</si>
  <si>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</si>
  <si>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</si>
  <si>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</si>
  <si>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</si>
  <si>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</si>
  <si>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</si>
  <si>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</si>
  <si>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</si>
  <si>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</si>
  <si>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</si>
  <si>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</si>
  <si>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</si>
  <si>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</si>
  <si>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</si>
  <si>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</si>
  <si>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</si>
  <si>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</si>
  <si>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</si>
  <si>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</si>
  <si>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</si>
  <si>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</si>
  <si>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</si>
  <si>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</si>
  <si>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</si>
  <si>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</si>
  <si>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</si>
  <si>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</si>
  <si>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</si>
  <si>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</si>
  <si>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</si>
  <si>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</si>
  <si>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</si>
  <si>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</si>
  <si>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</si>
  <si>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</si>
  <si>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</si>
  <si>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</si>
  <si>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</si>
  <si>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</si>
  <si>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</si>
  <si>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</si>
  <si>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</si>
  <si>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</si>
  <si>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</si>
  <si>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</si>
  <si>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</si>
  <si>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</si>
  <si>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</si>
  <si>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</si>
  <si>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</si>
  <si>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</si>
  <si>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</si>
  <si>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</si>
  <si>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</si>
  <si>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</si>
  <si>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</si>
  <si>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</si>
  <si>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</si>
  <si>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</si>
  <si>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</si>
  <si>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</si>
  <si>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</si>
  <si>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</si>
  <si>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</si>
  <si>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</si>
  <si>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</si>
  <si>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</si>
  <si>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</si>
  <si>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</si>
  <si>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</si>
  <si>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</si>
  <si>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</si>
  <si>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</si>
  <si>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</si>
  <si>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</si>
  <si>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</si>
  <si>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</si>
  <si>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</si>
  <si>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</si>
  <si>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</si>
  <si>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</si>
  <si>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</si>
  <si>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</si>
  <si>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</si>
  <si>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</si>
  <si>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</si>
  <si>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</si>
  <si>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</si>
  <si>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</si>
  <si>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</si>
  <si>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</si>
  <si>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</si>
  <si>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</si>
  <si>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</si>
  <si>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</si>
  <si>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</si>
  <si>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</si>
  <si>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</si>
  <si>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</si>
  <si>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</si>
  <si>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</si>
  <si>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</si>
  <si>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</si>
  <si>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</si>
  <si>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</si>
  <si>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</si>
  <si>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</si>
  <si>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</si>
  <si>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</si>
  <si>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</si>
  <si>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</si>
  <si>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</si>
  <si>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</si>
  <si>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</si>
  <si>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</si>
  <si>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</si>
  <si>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</si>
  <si>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</si>
  <si>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</si>
  <si>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</si>
  <si>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</si>
  <si>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</si>
  <si>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</si>
  <si>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</si>
  <si>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</si>
  <si>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</si>
  <si>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</si>
  <si>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</si>
  <si>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</si>
  <si>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</si>
  <si>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</si>
  <si>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</si>
  <si>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</si>
  <si>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</si>
  <si>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</si>
  <si>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</si>
  <si>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</si>
  <si>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</si>
  <si>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</si>
  <si>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</si>
  <si>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</si>
  <si>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</si>
  <si>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</si>
  <si>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</si>
  <si>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</si>
  <si>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</si>
  <si>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</si>
  <si>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</si>
  <si>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</si>
  <si>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</si>
  <si>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</si>
  <si>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</si>
  <si>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</si>
  <si>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</si>
  <si>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</si>
  <si>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</si>
  <si>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</si>
  <si>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</si>
  <si>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</si>
  <si>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</si>
  <si>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</si>
  <si>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</si>
  <si>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</si>
  <si>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</si>
  <si>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</si>
  <si>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</si>
  <si>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</si>
  <si>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</si>
  <si>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</si>
  <si>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</si>
  <si>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</si>
  <si>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</si>
  <si>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</si>
  <si>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</si>
  <si>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</si>
  <si>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</si>
  <si>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</si>
  <si>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</si>
  <si>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</si>
  <si>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</si>
  <si>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</si>
  <si>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</si>
  <si>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</si>
  <si>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</si>
  <si>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</si>
  <si>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</si>
  <si>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</si>
  <si>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</si>
  <si>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</si>
  <si>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</si>
  <si>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</si>
  <si>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</si>
  <si>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</si>
  <si>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</si>
  <si>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</si>
  <si>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</si>
  <si>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</si>
  <si>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</si>
  <si>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</si>
  <si>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</si>
  <si>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</si>
  <si>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</si>
  <si>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</si>
  <si>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</si>
  <si>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</si>
  <si>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</si>
  <si>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</si>
  <si>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</si>
  <si>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</si>
  <si>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</si>
  <si>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</si>
  <si>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</si>
  <si>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</si>
  <si>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</si>
  <si>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</si>
  <si>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</si>
  <si>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</si>
  <si>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</si>
  <si>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</si>
  <si>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</si>
  <si>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</si>
  <si>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</si>
  <si>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</si>
  <si>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</si>
  <si>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</si>
  <si>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</si>
  <si>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</si>
  <si>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</si>
  <si>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</si>
  <si>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</si>
  <si>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</si>
  <si>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</si>
  <si>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</si>
  <si>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</si>
  <si>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</si>
  <si>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</si>
  <si>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</si>
  <si>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</si>
  <si>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</si>
  <si>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</si>
  <si>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</si>
  <si>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</si>
  <si>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</si>
  <si>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</si>
  <si>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</si>
  <si>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</si>
  <si>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</si>
  <si>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</si>
  <si>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</si>
  <si>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</si>
  <si>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</si>
  <si>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</si>
  <si>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</si>
  <si>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</si>
  <si>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</si>
  <si>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</si>
  <si>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</si>
  <si>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</si>
  <si>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</si>
  <si>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</si>
  <si>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</si>
  <si>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</si>
  <si>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</si>
  <si>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</si>
  <si>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</si>
  <si>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</si>
  <si>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</si>
  <si>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</si>
  <si>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</si>
  <si>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</si>
  <si>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</si>
  <si>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</si>
  <si>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</si>
  <si>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</si>
  <si>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</si>
  <si>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</si>
  <si>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</si>
  <si>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</si>
  <si>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</si>
  <si>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</si>
  <si>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</si>
  <si>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</si>
  <si>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</si>
  <si>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</si>
  <si>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</si>
  <si>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</si>
  <si>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</si>
  <si>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</si>
  <si>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</si>
  <si>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</si>
  <si>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</si>
  <si>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</si>
  <si>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</si>
  <si>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</si>
  <si>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</si>
  <si>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</si>
  <si>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</si>
  <si>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</si>
  <si>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</si>
  <si>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</si>
  <si>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</si>
  <si>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</si>
  <si>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</si>
  <si>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</si>
  <si>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</si>
  <si>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</si>
  <si>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</si>
  <si>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</si>
  <si>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</si>
  <si>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</si>
  <si>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</si>
  <si>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</si>
  <si>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</si>
  <si>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</si>
  <si>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</si>
  <si>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</si>
  <si>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</si>
  <si>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</si>
  <si>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</si>
  <si>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</si>
  <si>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</si>
  <si>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</si>
  <si>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</si>
  <si>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</si>
  <si>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</si>
  <si>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</si>
  <si>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</si>
  <si>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</si>
  <si>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</si>
  <si>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</si>
  <si>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</si>
  <si>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</si>
  <si>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</si>
  <si>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</si>
  <si>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</si>
  <si>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</si>
  <si>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</si>
  <si>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</si>
  <si>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</si>
  <si>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</si>
  <si>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</si>
  <si>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</si>
  <si>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</si>
  <si>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</si>
  <si>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</si>
  <si>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</si>
  <si>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</si>
  <si>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</si>
  <si>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</si>
  <si>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</si>
  <si>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</si>
  <si>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</si>
  <si>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</si>
  <si>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</si>
  <si>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</si>
  <si>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</si>
  <si>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</si>
  <si>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</si>
  <si>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</si>
  <si>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</si>
  <si>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</si>
  <si>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</si>
  <si>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</si>
  <si>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</si>
  <si>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</si>
  <si>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</si>
  <si>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</si>
  <si>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</si>
  <si>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</si>
  <si>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</si>
  <si>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</si>
  <si>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</si>
  <si>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</si>
  <si>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</si>
  <si>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</si>
  <si>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</si>
  <si>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</si>
  <si>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</si>
  <si>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</si>
  <si>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</si>
  <si>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</si>
  <si>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</si>
  <si>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</si>
  <si>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</si>
  <si>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</si>
  <si>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</si>
  <si>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</si>
  <si>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</si>
  <si>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</si>
  <si>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</si>
  <si>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</si>
  <si>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</si>
  <si>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</si>
  <si>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</si>
  <si>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</si>
  <si>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</si>
  <si>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</si>
  <si>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</si>
  <si>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</si>
  <si>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</si>
  <si>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</si>
  <si>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</si>
  <si>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</si>
  <si>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</si>
  <si>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</si>
  <si>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</si>
  <si>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</si>
  <si>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</si>
  <si>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</si>
  <si>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</si>
  <si>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</si>
  <si>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</si>
  <si>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</si>
  <si>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</si>
  <si>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</si>
  <si>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</si>
  <si>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</si>
  <si>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</si>
  <si>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</si>
  <si>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</si>
  <si>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</si>
  <si>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</si>
  <si>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</si>
  <si>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</si>
  <si>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</si>
  <si>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</si>
  <si>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</si>
  <si>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</si>
  <si>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</si>
  <si>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</si>
  <si>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</si>
  <si>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</si>
  <si>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</si>
  <si>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</si>
  <si>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</si>
  <si>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</si>
  <si>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</si>
  <si>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</si>
  <si>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</si>
  <si>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</si>
  <si>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</si>
  <si>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</si>
  <si>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</si>
  <si>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</si>
  <si>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</si>
  <si>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</si>
  <si>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</si>
  <si>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</si>
  <si>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</si>
  <si>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</si>
  <si>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</si>
  <si>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</si>
  <si>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</si>
  <si>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</si>
  <si>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</si>
  <si>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</si>
  <si>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</si>
  <si>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</si>
  <si>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</si>
  <si>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</si>
  <si>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</si>
  <si>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</si>
  <si>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</si>
  <si>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</si>
  <si>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</si>
  <si>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</si>
  <si>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</si>
  <si>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</si>
  <si>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</si>
  <si>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</si>
  <si>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</si>
  <si>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</si>
  <si>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</si>
  <si>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</si>
  <si>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</si>
  <si>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</si>
  <si>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</si>
  <si>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</si>
  <si>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</si>
  <si>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</si>
  <si>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</si>
  <si>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</si>
  <si>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</si>
  <si>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</si>
  <si>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</si>
  <si>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</si>
  <si>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</si>
  <si>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</si>
  <si>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</si>
  <si>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</si>
  <si>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</si>
  <si>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</si>
  <si>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</si>
  <si>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</si>
  <si>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</si>
  <si>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</si>
  <si>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</si>
  <si>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</si>
  <si>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</si>
  <si>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</si>
  <si>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</si>
  <si>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</si>
  <si>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</si>
  <si>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</si>
  <si>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</si>
  <si>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</si>
  <si>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</si>
  <si>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</si>
  <si>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</si>
  <si>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</si>
  <si>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</si>
  <si>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</si>
  <si>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</si>
  <si>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</si>
  <si>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</si>
  <si>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</si>
  <si>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</si>
  <si>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</si>
  <si>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</si>
  <si>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</si>
  <si>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</si>
  <si>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</si>
  <si>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</si>
  <si>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</si>
  <si>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</si>
  <si>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</si>
  <si>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</si>
  <si>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</si>
  <si>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</si>
  <si>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</si>
  <si>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</si>
  <si>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</si>
  <si>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</si>
  <si>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</si>
  <si>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</si>
  <si>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</si>
  <si>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</si>
  <si>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</si>
  <si>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</si>
  <si>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</si>
  <si>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</si>
  <si>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</si>
  <si>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</si>
  <si>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</si>
  <si>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</si>
  <si>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</si>
  <si>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</si>
  <si>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</si>
  <si>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</si>
  <si>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</si>
  <si>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</si>
  <si>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</si>
  <si>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</si>
  <si>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</si>
  <si>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</si>
  <si>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</si>
  <si>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</si>
  <si>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</si>
  <si>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</si>
  <si>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</si>
  <si>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</si>
  <si>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</si>
  <si>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</si>
  <si>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</si>
  <si>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</si>
  <si>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</si>
  <si>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</si>
  <si>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</si>
  <si>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</si>
  <si>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</si>
  <si>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</si>
  <si>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</si>
  <si>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</si>
  <si>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</si>
  <si>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</si>
  <si>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</si>
  <si>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</si>
  <si>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</si>
  <si>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</si>
  <si>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</si>
  <si>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</si>
  <si>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</si>
  <si>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</si>
  <si>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</si>
  <si>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</si>
  <si>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</si>
  <si>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</si>
  <si>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</si>
  <si>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</si>
  <si>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</si>
  <si>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</si>
  <si>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</si>
  <si>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</si>
  <si>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</si>
  <si>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</si>
  <si>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</si>
  <si>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</si>
  <si>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</si>
  <si>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</si>
  <si>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</si>
  <si>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</si>
  <si>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</si>
  <si>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</si>
  <si>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</si>
  <si>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</si>
  <si>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</si>
  <si>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</si>
  <si>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</si>
  <si>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</si>
  <si>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</si>
  <si>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</si>
  <si>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</si>
  <si>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</si>
  <si>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</si>
  <si>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</si>
  <si>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</si>
  <si>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</si>
  <si>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</si>
  <si>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</si>
  <si>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</si>
  <si>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</si>
  <si>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</si>
  <si>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</si>
  <si>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</si>
  <si>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</si>
  <si>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</si>
  <si>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</si>
  <si>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</si>
  <si>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</si>
  <si>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</si>
  <si>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</si>
  <si>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</si>
  <si>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</si>
  <si>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</si>
  <si>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</si>
  <si>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</si>
  <si>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</si>
  <si>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</si>
  <si>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</si>
  <si>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</si>
  <si>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</si>
  <si>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</si>
  <si>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</si>
  <si>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</si>
  <si>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</si>
  <si>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</si>
  <si>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</si>
  <si>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</si>
  <si>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</si>
  <si>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</si>
  <si>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</si>
  <si>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</si>
  <si>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</si>
  <si>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</si>
  <si>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</si>
  <si>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</si>
  <si>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</si>
  <si>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</si>
  <si>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</si>
  <si>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</si>
  <si>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</si>
  <si>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</si>
  <si>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</si>
  <si>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</si>
  <si>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</si>
  <si>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</si>
  <si>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</si>
  <si>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</si>
  <si>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</si>
  <si>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</si>
  <si>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</si>
  <si>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</si>
  <si>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</si>
  <si>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</si>
  <si>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</si>
  <si>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</si>
  <si>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</si>
  <si>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</si>
  <si>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</si>
  <si>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</si>
  <si>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</si>
  <si>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</si>
  <si>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</si>
  <si>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</si>
  <si>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</si>
  <si>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</si>
  <si>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</si>
  <si>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</si>
  <si>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</si>
  <si>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</si>
  <si>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</si>
  <si>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</si>
  <si>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</si>
  <si>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</si>
  <si>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</si>
  <si>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</si>
  <si>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</si>
  <si>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</si>
  <si>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</si>
  <si>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</si>
  <si>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</si>
  <si>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</si>
  <si>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</si>
  <si>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</si>
  <si>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</si>
  <si>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</si>
  <si>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</si>
  <si>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</si>
  <si>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</si>
  <si>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</si>
  <si>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</si>
  <si>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</si>
  <si>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</si>
  <si>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</si>
  <si>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</si>
  <si>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</si>
  <si>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</si>
  <si>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</si>
  <si>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</si>
  <si>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</si>
  <si>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</si>
  <si>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</si>
  <si>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</si>
  <si>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</si>
  <si>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</si>
  <si>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</si>
  <si>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</si>
  <si>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</si>
  <si>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</si>
  <si>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</si>
  <si>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</si>
  <si>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</si>
  <si>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</si>
  <si>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</si>
  <si>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</si>
  <si>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</si>
  <si>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</si>
  <si>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</si>
  <si>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</si>
  <si>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</si>
  <si>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</si>
  <si>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</si>
  <si>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</si>
  <si>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</si>
  <si>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</si>
  <si>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</si>
  <si>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</si>
  <si>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</si>
  <si>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</si>
  <si>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</si>
  <si>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</si>
  <si>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</si>
  <si>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</si>
  <si>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</si>
  <si>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</si>
  <si>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</si>
  <si>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</si>
  <si>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</si>
  <si>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</si>
  <si>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</si>
  <si>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</si>
  <si>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</si>
  <si>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</si>
  <si>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</si>
  <si>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</si>
  <si>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</si>
  <si>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</si>
  <si>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</si>
  <si>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</si>
  <si>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</si>
  <si>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</si>
  <si>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</si>
  <si>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</si>
  <si>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</si>
  <si>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</si>
  <si>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</si>
  <si>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</si>
  <si>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</si>
  <si>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</si>
  <si>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</si>
  <si>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</si>
  <si>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</si>
  <si>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</si>
  <si>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</si>
  <si>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</si>
  <si>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</si>
  <si>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</si>
  <si>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</si>
  <si>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</si>
  <si>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</si>
  <si>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</si>
  <si>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</si>
  <si>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</si>
  <si>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</si>
  <si>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</si>
  <si>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</si>
  <si>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</si>
  <si>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</si>
  <si>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</si>
  <si>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</si>
  <si>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</si>
  <si>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</si>
  <si>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</si>
  <si>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</si>
  <si>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</si>
  <si>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</si>
  <si>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</si>
  <si>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</si>
  <si>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</si>
  <si>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</si>
  <si>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</si>
  <si>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</si>
  <si>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</si>
  <si>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</si>
  <si>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</si>
  <si>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</si>
  <si>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</si>
  <si>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</si>
  <si>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</si>
  <si>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</si>
  <si>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</si>
  <si>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</si>
  <si>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</si>
  <si>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</si>
  <si>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</si>
  <si>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</si>
  <si>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</si>
  <si>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</si>
  <si>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</si>
  <si>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</si>
  <si>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</si>
  <si>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</si>
  <si>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</si>
  <si>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</si>
  <si>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</si>
  <si>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</si>
  <si>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</si>
  <si>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</si>
  <si>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</si>
  <si>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</si>
  <si>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</si>
  <si>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</si>
  <si>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</si>
  <si>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</si>
  <si>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</si>
  <si>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</si>
  <si>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</si>
  <si>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</si>
  <si>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</si>
  <si>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</si>
  <si>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</si>
  <si>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</si>
  <si>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</si>
  <si>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</si>
  <si>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</si>
  <si>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</si>
  <si>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</si>
  <si>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</si>
  <si>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</si>
  <si>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</si>
  <si>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</si>
  <si>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</si>
  <si>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</si>
  <si>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</si>
  <si>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</si>
  <si>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</si>
  <si>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</si>
  <si>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</si>
  <si>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</si>
  <si>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</si>
  <si>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</si>
  <si>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</si>
  <si>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</si>
  <si>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</si>
  <si>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</si>
  <si>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</si>
  <si>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</si>
  <si>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</si>
  <si>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</si>
  <si>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</si>
  <si>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</si>
  <si>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</si>
  <si>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</si>
  <si>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</si>
  <si>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</si>
  <si>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</si>
  <si>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</si>
  <si>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</si>
  <si>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</si>
  <si>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</si>
  <si>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</si>
  <si>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</si>
  <si>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</si>
  <si>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</si>
  <si>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</si>
  <si>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</si>
  <si>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</si>
  <si>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</si>
  <si>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</si>
  <si>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</si>
  <si>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</si>
  <si>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</si>
  <si>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</si>
  <si>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</si>
  <si>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</si>
  <si>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</si>
  <si>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</si>
  <si>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</si>
  <si>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</si>
  <si>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</si>
  <si>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</si>
  <si>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</si>
  <si>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</si>
  <si>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</si>
  <si>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</si>
  <si>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</si>
  <si>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</si>
  <si>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</si>
  <si>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</si>
  <si>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</si>
  <si>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</si>
  <si>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</si>
  <si>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</si>
  <si>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</si>
  <si>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</si>
  <si>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</si>
  <si>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</si>
  <si>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</si>
  <si>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</si>
  <si>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</si>
  <si>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</si>
  <si>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</si>
  <si>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</si>
  <si>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</si>
  <si>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</si>
  <si>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</si>
  <si>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</si>
  <si>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</si>
  <si>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</si>
  <si>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</si>
  <si>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</si>
  <si>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</si>
  <si>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</si>
  <si>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</si>
  <si>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</si>
  <si>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</si>
  <si>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</si>
  <si>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</si>
  <si>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</si>
  <si>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</si>
  <si>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</si>
  <si>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</si>
  <si>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</si>
  <si>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</si>
  <si>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</si>
  <si>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</si>
  <si>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</si>
  <si>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</si>
  <si>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</si>
  <si>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</si>
  <si>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</si>
  <si>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</si>
  <si>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</si>
  <si>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</si>
  <si>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</si>
  <si>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</si>
  <si>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</si>
  <si>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</si>
  <si>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</si>
  <si>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</si>
  <si>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</si>
  <si>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</si>
  <si>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</si>
  <si>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</si>
  <si>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</si>
  <si>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</si>
  <si>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</si>
  <si>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</si>
  <si>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</si>
  <si>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</si>
  <si>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</si>
  <si>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</si>
  <si>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</si>
  <si>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</si>
  <si>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</si>
  <si>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</si>
  <si>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</si>
  <si>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</si>
  <si>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</si>
  <si>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</si>
  <si>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</si>
  <si>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</si>
  <si>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</si>
  <si>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</si>
  <si>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</si>
  <si>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</si>
  <si>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</si>
  <si>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</si>
  <si>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</si>
  <si>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</si>
  <si>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</si>
  <si>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</si>
  <si>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</si>
  <si>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</si>
  <si>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</si>
  <si>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</si>
  <si>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</si>
  <si>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</si>
  <si>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</si>
  <si>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</si>
  <si>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</si>
  <si>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</si>
  <si>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</si>
  <si>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</si>
  <si>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</si>
  <si>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</si>
  <si>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</si>
  <si>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</si>
  <si>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</si>
  <si>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</si>
  <si>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</si>
  <si>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</si>
  <si>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</si>
  <si>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</si>
  <si>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</si>
  <si>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</si>
  <si>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</si>
  <si>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</si>
  <si>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</si>
  <si>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</si>
  <si>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</si>
  <si>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</si>
  <si>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</si>
  <si>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</si>
  <si>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</si>
  <si>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</si>
  <si>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</si>
  <si>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</si>
  <si>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</si>
  <si>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</si>
  <si>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</si>
  <si>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</si>
  <si>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</si>
  <si>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</si>
  <si>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</si>
  <si>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</si>
  <si>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</si>
  <si>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</si>
  <si>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</si>
  <si>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</si>
  <si>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</si>
  <si>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</si>
  <si>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</si>
  <si>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</si>
  <si>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</si>
  <si>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</si>
  <si>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</si>
  <si>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</si>
  <si>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</si>
  <si>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</si>
  <si>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</si>
  <si>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</si>
  <si>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</si>
  <si>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</si>
  <si>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</si>
  <si>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</si>
  <si>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</si>
  <si>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</si>
  <si>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</si>
  <si>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</si>
  <si>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</si>
  <si>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</si>
  <si>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</si>
  <si>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</si>
  <si>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</si>
  <si>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</si>
  <si>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</si>
  <si>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</si>
  <si>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</si>
  <si>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</si>
  <si>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</si>
  <si>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</si>
  <si>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</si>
  <si>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</si>
  <si>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</si>
  <si>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</si>
  <si>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</si>
  <si>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</si>
  <si>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</si>
  <si>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</si>
  <si>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</si>
  <si>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</si>
  <si>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</si>
  <si>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</si>
  <si>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</si>
  <si>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</si>
  <si>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</si>
  <si>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</si>
  <si>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</si>
  <si>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</si>
  <si>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</si>
  <si>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</si>
  <si>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</si>
  <si>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</si>
  <si>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</si>
  <si>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</si>
  <si>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</si>
  <si>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</si>
  <si>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</si>
  <si>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</si>
  <si>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</si>
  <si>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</si>
  <si>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</si>
  <si>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</si>
  <si>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</si>
  <si>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</si>
  <si>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</si>
  <si>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</si>
  <si>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</si>
  <si>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</si>
  <si>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</si>
  <si>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</si>
  <si>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</si>
  <si>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</si>
  <si>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</si>
  <si>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</si>
  <si>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</si>
  <si>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</si>
  <si>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</si>
  <si>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</si>
  <si>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</si>
  <si>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</si>
  <si>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</si>
  <si>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</si>
  <si>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</si>
  <si>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</si>
  <si>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</si>
  <si>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</si>
  <si>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</si>
  <si>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</si>
  <si>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</si>
  <si>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</si>
  <si>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</si>
  <si>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</si>
  <si>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</si>
  <si>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</si>
  <si>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</si>
  <si>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</si>
  <si>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</si>
  <si>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</si>
  <si>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</si>
  <si>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</si>
  <si>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</si>
  <si>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</si>
  <si>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</si>
  <si>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</si>
  <si>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</si>
  <si>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</si>
  <si>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</si>
  <si>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</si>
  <si>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</si>
  <si>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</si>
  <si>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</si>
  <si>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</si>
  <si>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</si>
  <si>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</si>
  <si>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</si>
  <si>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</si>
  <si>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</si>
  <si>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</si>
  <si>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</si>
  <si>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</si>
  <si>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</si>
  <si>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</si>
  <si>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</si>
  <si>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</si>
  <si>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</si>
  <si>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</si>
  <si>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</si>
  <si>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</si>
  <si>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</si>
  <si>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</si>
  <si>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</si>
  <si>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</si>
  <si>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</si>
  <si>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</si>
  <si>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</si>
  <si>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</si>
  <si>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</si>
  <si>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</si>
  <si>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</si>
  <si>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</si>
  <si>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</si>
  <si>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</si>
  <si>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</si>
  <si>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</si>
  <si>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</si>
  <si>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</si>
  <si>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</si>
  <si>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</si>
  <si>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</si>
  <si>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</si>
  <si>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</si>
  <si>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</si>
  <si>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</si>
  <si>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</si>
  <si>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</si>
  <si>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</si>
  <si>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</si>
  <si>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</si>
  <si>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</si>
  <si>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</si>
  <si>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</si>
  <si>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</si>
  <si>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</si>
  <si>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</si>
  <si>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</si>
  <si>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</si>
  <si>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</si>
  <si>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</si>
  <si>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</si>
  <si>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</si>
  <si>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</si>
  <si>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</si>
  <si>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</si>
  <si>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</si>
  <si>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</si>
  <si>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</si>
  <si>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</si>
  <si>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</si>
  <si>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</si>
  <si>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</si>
  <si>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</si>
  <si>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</si>
  <si>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</si>
  <si>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</si>
  <si>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</si>
  <si>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</si>
  <si>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</si>
  <si>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</si>
  <si>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</si>
  <si>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</si>
  <si>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</si>
  <si>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</si>
  <si>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</si>
  <si>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</si>
  <si>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</si>
  <si>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</si>
  <si>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</si>
  <si>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</si>
  <si>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</si>
  <si>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</si>
  <si>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</si>
  <si>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</si>
  <si>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</si>
  <si>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</si>
  <si>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</si>
  <si>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</si>
  <si>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</si>
  <si>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</si>
  <si>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</si>
  <si>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</si>
  <si>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</si>
  <si>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</si>
  <si>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</si>
  <si>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</si>
  <si>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</si>
  <si>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</si>
  <si>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</si>
  <si>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</si>
  <si>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</si>
  <si>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</si>
  <si>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</si>
  <si>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</si>
  <si>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</si>
  <si>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</si>
  <si>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</si>
  <si>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</si>
  <si>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</si>
  <si>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</si>
  <si>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</si>
  <si>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</si>
  <si>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</si>
  <si>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</si>
  <si>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</si>
  <si>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</si>
  <si>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</si>
  <si>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</si>
  <si>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</si>
  <si>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</si>
  <si>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</si>
  <si>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</si>
  <si>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</si>
  <si>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</si>
  <si>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</si>
  <si>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</si>
  <si>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</si>
  <si>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</si>
  <si>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</si>
  <si>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</si>
  <si>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</si>
  <si>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</si>
  <si>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</si>
  <si>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</si>
  <si>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</si>
  <si>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</si>
  <si>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</si>
  <si>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</si>
  <si>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</si>
  <si>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</si>
  <si>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</si>
  <si>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</si>
  <si>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</si>
  <si>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</si>
  <si>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</si>
  <si>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</si>
  <si>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</si>
  <si>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</si>
  <si>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</si>
  <si>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</si>
  <si>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</si>
  <si>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</si>
  <si>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</si>
  <si>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</si>
  <si>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</si>
  <si>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</si>
  <si>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</si>
  <si>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</si>
  <si>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</si>
  <si>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</si>
  <si>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</si>
  <si>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</si>
  <si>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</si>
  <si>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</si>
  <si>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</si>
  <si>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</si>
  <si>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</si>
  <si>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</si>
  <si>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</si>
  <si>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</si>
  <si>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</si>
  <si>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</si>
  <si>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</si>
  <si>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</si>
  <si>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</si>
  <si>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</si>
  <si>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</si>
  <si>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</si>
  <si>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</si>
  <si>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</si>
  <si>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</si>
  <si>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</si>
  <si>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</si>
  <si>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</si>
  <si>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</si>
  <si>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</si>
  <si>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</si>
  <si>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</si>
  <si>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</si>
  <si>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</si>
  <si>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</si>
  <si>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</si>
  <si>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</si>
  <si>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</si>
  <si>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</si>
  <si>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</si>
  <si>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</si>
  <si>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</si>
  <si>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</si>
  <si>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</si>
  <si>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</si>
  <si>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</si>
  <si>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</si>
  <si>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</si>
  <si>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</si>
  <si>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</si>
  <si>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</si>
  <si>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</si>
  <si>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</si>
  <si>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</si>
  <si>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</si>
  <si>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</si>
  <si>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</si>
  <si>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</si>
  <si>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</si>
  <si>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</si>
  <si>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</si>
  <si>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</si>
  <si>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</si>
  <si>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</si>
  <si>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</si>
  <si>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</si>
  <si>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</si>
  <si>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</si>
  <si>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</si>
  <si>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</si>
  <si>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</si>
  <si>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</si>
  <si>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</si>
  <si>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</si>
  <si>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</si>
  <si>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</si>
  <si>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</si>
  <si>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</si>
  <si>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</si>
  <si>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</si>
  <si>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</si>
  <si>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</si>
  <si>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</si>
  <si>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</si>
  <si>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</si>
  <si>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</si>
  <si>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</si>
  <si>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</si>
  <si>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</si>
  <si>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</si>
  <si>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</si>
  <si>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</si>
  <si>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</si>
  <si>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</si>
  <si>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</si>
  <si>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</si>
  <si>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</si>
  <si>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</si>
  <si>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</si>
  <si>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</si>
  <si>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</si>
  <si>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</si>
  <si>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</si>
  <si>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</si>
  <si>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</si>
  <si>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</si>
  <si>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</si>
  <si>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</si>
  <si>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</si>
  <si>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</si>
  <si>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</si>
  <si>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</si>
  <si>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</si>
  <si>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</si>
  <si>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</si>
  <si>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</si>
  <si>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</si>
  <si>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</si>
  <si>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</si>
  <si>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</si>
  <si>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</si>
  <si>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</si>
  <si>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</si>
  <si>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</si>
  <si>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</si>
  <si>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</si>
  <si>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</si>
  <si>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</si>
  <si>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</si>
  <si>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</si>
  <si>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</si>
  <si>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</si>
  <si>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</si>
  <si>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</si>
  <si>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</si>
  <si>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</si>
  <si>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</si>
  <si>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</si>
  <si>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</si>
  <si>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</si>
  <si>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</si>
  <si>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</si>
  <si>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</si>
  <si>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</si>
  <si>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</si>
  <si>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</si>
  <si>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</si>
  <si>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</si>
  <si>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</si>
  <si>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</si>
  <si>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</si>
  <si>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</si>
  <si>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</si>
  <si>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</si>
  <si>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</si>
  <si>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</si>
  <si>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</si>
  <si>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</si>
  <si>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</si>
  <si>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</si>
  <si>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</si>
  <si>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</si>
  <si>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</si>
  <si>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</si>
  <si>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</si>
  <si>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</si>
  <si>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</si>
  <si>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</si>
  <si>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</si>
  <si>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</si>
  <si>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</si>
  <si>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</si>
  <si>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</si>
  <si>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</si>
  <si>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</si>
  <si>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</si>
  <si>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</si>
  <si>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</si>
  <si>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</si>
  <si>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</si>
  <si>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</si>
  <si>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</si>
  <si>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</si>
  <si>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</si>
  <si>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</si>
  <si>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</si>
  <si>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</si>
  <si>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</si>
  <si>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</si>
  <si>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</si>
  <si>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</si>
  <si>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</si>
  <si>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</si>
  <si>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</si>
  <si>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</si>
  <si>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</si>
  <si>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</si>
  <si>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</si>
  <si>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</si>
  <si>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</si>
  <si>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</si>
  <si>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</si>
  <si>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</si>
  <si>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</si>
  <si>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</si>
  <si>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</si>
  <si>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</si>
  <si>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</si>
  <si>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</si>
  <si>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</si>
  <si>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</si>
  <si>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</si>
  <si>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</si>
  <si>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</si>
  <si>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</si>
  <si>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</si>
  <si>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</si>
  <si>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</si>
  <si>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</si>
  <si>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</si>
  <si>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</si>
  <si>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</si>
  <si>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</si>
  <si>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</si>
  <si>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</si>
  <si>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</si>
  <si>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</si>
  <si>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</si>
  <si>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</si>
  <si>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</si>
  <si>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</si>
  <si>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</si>
  <si>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</si>
  <si>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</si>
  <si>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</si>
  <si>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</si>
  <si>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</si>
  <si>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</si>
  <si>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</si>
  <si>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</si>
  <si>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</si>
  <si>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</si>
  <si>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</si>
  <si>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</si>
  <si>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</si>
  <si>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</si>
  <si>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</si>
  <si>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</si>
  <si>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</si>
  <si>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</si>
  <si>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</si>
  <si>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</si>
  <si>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</si>
  <si>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</si>
  <si>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</si>
  <si>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</si>
  <si>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</si>
  <si>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</si>
  <si>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</si>
  <si>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</si>
  <si>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</si>
  <si>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</si>
  <si>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</si>
  <si>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</si>
  <si>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</si>
  <si>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</si>
  <si>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</si>
  <si>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</si>
  <si>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</si>
  <si>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</si>
  <si>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</si>
  <si>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</si>
  <si>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</si>
  <si>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</si>
  <si>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</si>
  <si>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</si>
  <si>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</si>
  <si>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</si>
  <si>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</si>
  <si>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</si>
  <si>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</si>
  <si>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</si>
  <si>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</si>
  <si>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</si>
  <si>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</si>
  <si>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</si>
  <si>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</si>
  <si>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</si>
  <si>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</si>
  <si>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</si>
  <si>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</si>
  <si>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</si>
  <si>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</si>
  <si>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</si>
  <si>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</si>
  <si>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</si>
  <si>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</si>
  <si>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</si>
  <si>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</si>
  <si>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</si>
  <si>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</si>
  <si>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</si>
  <si>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</si>
  <si>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</si>
  <si>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</si>
  <si>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</si>
  <si>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</si>
  <si>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</si>
  <si>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</si>
  <si>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</si>
  <si>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</si>
  <si>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</si>
  <si>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</si>
  <si>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</si>
  <si>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</si>
  <si>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</si>
  <si>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</si>
  <si>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</si>
  <si>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</si>
  <si>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</si>
  <si>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</si>
  <si>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</si>
  <si>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</si>
  <si>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</si>
  <si>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</si>
  <si>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</si>
  <si>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</si>
  <si>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</si>
  <si>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</si>
  <si>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</si>
  <si>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</si>
  <si>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</si>
  <si>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</si>
  <si>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</si>
  <si>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</si>
  <si>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</si>
  <si>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</si>
  <si>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</si>
  <si>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</si>
  <si>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</si>
  <si>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</si>
  <si>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</si>
  <si>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</si>
  <si>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</si>
  <si>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</si>
  <si>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</si>
  <si>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</si>
  <si>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</si>
  <si>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</si>
  <si>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</si>
  <si>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</si>
  <si>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</si>
  <si>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</si>
  <si>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</si>
  <si>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</si>
  <si>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</si>
  <si>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</si>
  <si>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</si>
  <si>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</si>
  <si>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</si>
  <si>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</si>
  <si>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</si>
  <si>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</si>
  <si>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</si>
  <si>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</si>
  <si>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</si>
  <si>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</si>
  <si>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</si>
  <si>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</si>
  <si>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</si>
  <si>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</si>
  <si>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</si>
  <si>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</si>
  <si>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</si>
  <si>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</si>
  <si>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</si>
  <si>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</si>
  <si>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</si>
  <si>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</si>
  <si>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</si>
  <si>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</si>
  <si>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</si>
  <si>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</si>
  <si>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</si>
  <si>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</si>
  <si>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</si>
  <si>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</si>
  <si>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</si>
  <si>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</si>
  <si>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</si>
  <si>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</si>
  <si>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</si>
  <si>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</si>
  <si>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</si>
  <si>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</si>
  <si>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</si>
  <si>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</si>
  <si>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</si>
  <si>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</si>
  <si>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</si>
  <si>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</si>
  <si>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</si>
  <si>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</si>
  <si>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</si>
  <si>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</si>
  <si>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</si>
  <si>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</si>
  <si>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</si>
  <si>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</si>
  <si>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</si>
  <si>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</si>
  <si>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</si>
  <si>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</si>
  <si>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</si>
  <si>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</si>
  <si>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</si>
  <si>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</si>
  <si>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</si>
  <si>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</si>
  <si>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</si>
  <si>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</si>
  <si>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</si>
  <si>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</si>
  <si>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</si>
  <si>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</si>
  <si>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</si>
  <si>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</si>
  <si>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</si>
  <si>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</si>
  <si>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</si>
  <si>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</si>
  <si>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</si>
  <si>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</si>
  <si>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</si>
  <si>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</si>
  <si>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</si>
  <si>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</si>
  <si>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</si>
  <si>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</si>
  <si>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</si>
  <si>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</si>
  <si>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</si>
  <si>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</si>
  <si>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</si>
  <si>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</si>
  <si>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</si>
  <si>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</si>
  <si>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</si>
  <si>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</si>
  <si>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</si>
  <si>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</si>
  <si>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</si>
  <si>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</si>
  <si>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</si>
  <si>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</si>
  <si>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</si>
  <si>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</si>
  <si>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</si>
  <si>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</si>
  <si>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</si>
  <si>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</si>
  <si>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</si>
  <si>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</si>
  <si>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</si>
  <si>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</si>
  <si>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</si>
  <si>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</si>
  <si>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BENNING GROUP, LLC</t>
  </si>
  <si>
    <t>JENNY L. BLOCKER</t>
  </si>
  <si>
    <t>50 W. DOUGLAS STREET, SUITE 801</t>
  </si>
  <si>
    <t>FREEPORT</t>
  </si>
  <si>
    <t>IL</t>
  </si>
  <si>
    <t>815/235-3157</t>
  </si>
  <si>
    <t>815/235-3158</t>
  </si>
  <si>
    <t>066-004238</t>
  </si>
  <si>
    <t>jblocker@benninggroup.com</t>
  </si>
  <si>
    <t>WINNEBAGO</t>
  </si>
  <si>
    <t>1050 EAST UNION STREET</t>
  </si>
  <si>
    <t>ROCKTON</t>
  </si>
  <si>
    <t>X</t>
  </si>
  <si>
    <t>GLENN TERRY</t>
  </si>
  <si>
    <t>terry@rockton140.org</t>
  </si>
  <si>
    <t>815/624-7143</t>
  </si>
  <si>
    <t>815/624-4640</t>
  </si>
  <si>
    <t>LORI FANELLO</t>
  </si>
  <si>
    <t>lfanello@kidsroe.org</t>
  </si>
  <si>
    <t>815/636-3060</t>
  </si>
  <si>
    <t>815/636-3069</t>
  </si>
  <si>
    <t>x</t>
  </si>
  <si>
    <t xml:space="preserve">2013 Bond - General Obligation - Limited </t>
  </si>
  <si>
    <t>2018 Refunding Bonds</t>
  </si>
  <si>
    <t>40-2550-300</t>
  </si>
  <si>
    <t>First Student</t>
  </si>
  <si>
    <t>Note 1</t>
  </si>
  <si>
    <t xml:space="preserve">Note 1: Special education services are received through a special education cooperative that serves 8 other districts also - Shirtland SD #134, Prairie Hill SD #133, Hononegah SD #207, Kinnikinnick SD #131, </t>
  </si>
  <si>
    <t xml:space="preserve">South Beloit SD #320, Pecatonica SD #321, Durand SD #322 and Winnebago SD #323. </t>
  </si>
  <si>
    <t xml:space="preserve">Trash removal is being shared with 2 other school districts </t>
  </si>
  <si>
    <t xml:space="preserve">Joint transportation services with Prairie Hill SD#133, South Beloit SD #320, </t>
  </si>
  <si>
    <t>Kinnikinnick SD #131, and Hononegah SD #207</t>
  </si>
  <si>
    <t xml:space="preserve">IL Scholastic Coop - health insurance; Prairie State Insurance Coop - prop &amp; general </t>
  </si>
  <si>
    <t xml:space="preserve">SD #133, Kinnikinnick SD #131, Hononegah SD #207 and South Beloit SD #320 </t>
  </si>
  <si>
    <t>Account #</t>
  </si>
  <si>
    <t>Fund #</t>
  </si>
  <si>
    <t>Line #</t>
  </si>
  <si>
    <t>Page #</t>
  </si>
  <si>
    <t xml:space="preserve">Miscellaneous Fees &amp; Reimbursements </t>
  </si>
  <si>
    <t xml:space="preserve">Reef Grants </t>
  </si>
  <si>
    <t>Self Insurance</t>
  </si>
  <si>
    <t xml:space="preserve">WCSEC Special Education Personnel </t>
  </si>
  <si>
    <t xml:space="preserve">Student Book Fines </t>
  </si>
  <si>
    <t>PTO Contributions for Student Field Trips</t>
  </si>
  <si>
    <t>PTO Mini Grants</t>
  </si>
  <si>
    <t>Booster Club Wish List</t>
  </si>
  <si>
    <t xml:space="preserve">2005 Bond - General Obligation - Limited </t>
  </si>
  <si>
    <t>TR-Pupil Transportation-Purchased Services</t>
  </si>
  <si>
    <t>Food services - joint bid for dairy &amp; bread products with Shirland SD #134, Prairie Hill</t>
  </si>
  <si>
    <t>E-Rate Reimbursements</t>
  </si>
  <si>
    <t>PTO Grant</t>
  </si>
  <si>
    <t>Rockton 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</si>
</sst>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1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56" fillId="0" borderId="0" xfId="0" applyFont="1" applyAlignment="1">
      <alignment horizontal="center"/>
    </xf>
    <xf numFmtId="0" fontId="74" fillId="0" borderId="0" xfId="0" applyFont="1" applyAlignment="1">
      <alignment horizontal="center"/>
    </xf>
    <xf numFmtId="181" fontId="56" fillId="0" borderId="0" xfId="19" applyNumberFormat="1" applyFont="1" applyAlignment="1">
      <alignment horizontal="center"/>
    </xf>
    <xf numFmtId="182" fontId="56" fillId="0" borderId="0" xfId="1" applyNumberFormat="1" applyFont="1" applyAlignment="1">
      <alignment horizontal="center"/>
    </xf>
    <xf numFmtId="181" fontId="56" fillId="0" borderId="166" xfId="19" applyNumberFormat="1" applyFont="1" applyBorder="1" applyAlignment="1">
      <alignment horizontal="center"/>
    </xf>
    <xf numFmtId="182" fontId="56" fillId="0" borderId="0" xfId="1" applyNumberFormat="1" applyFont="1"/>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2459182</xdr:colOff>
          <xdr:row>5</xdr:row>
          <xdr:rowOff>51954</xdr:rowOff>
        </xdr:from>
        <xdr:to>
          <xdr:col>1</xdr:col>
          <xdr:colOff>3370984</xdr:colOff>
          <xdr:row>10</xdr:row>
          <xdr:rowOff>11257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0" t="s">
        <v>425</v>
      </c>
      <c r="J1" s="2041"/>
      <c r="K1" s="2041"/>
      <c r="L1" s="2041"/>
      <c r="M1" s="2041"/>
      <c r="N1" s="2041"/>
      <c r="O1" s="2041"/>
      <c r="P1" s="2041"/>
      <c r="Q1" s="2041"/>
      <c r="R1" s="2041"/>
      <c r="S1" s="2041"/>
    </row>
    <row r="2" spans="1:28" ht="12" customHeight="1" x14ac:dyDescent="0.2">
      <c r="A2" s="47" t="s">
        <v>1684</v>
      </c>
      <c r="D2" s="48"/>
      <c r="I2" s="2042" t="s">
        <v>1036</v>
      </c>
      <c r="J2" s="2041"/>
      <c r="K2" s="2041"/>
      <c r="L2" s="2041"/>
      <c r="M2" s="2041"/>
      <c r="N2" s="2041"/>
      <c r="O2" s="2041"/>
      <c r="P2" s="2041"/>
      <c r="Q2" s="2041"/>
      <c r="R2" s="2041"/>
      <c r="S2" s="2041"/>
    </row>
    <row r="3" spans="1:28" ht="12" customHeight="1" x14ac:dyDescent="0.2">
      <c r="A3" s="155" t="s">
        <v>1685</v>
      </c>
      <c r="B3" s="156"/>
      <c r="C3" s="156"/>
      <c r="D3" s="157"/>
      <c r="I3" s="2042" t="s">
        <v>54</v>
      </c>
      <c r="J3" s="2041"/>
      <c r="K3" s="2041"/>
      <c r="L3" s="2041"/>
      <c r="M3" s="2041"/>
      <c r="N3" s="2041"/>
      <c r="O3" s="2041"/>
      <c r="P3" s="2041"/>
      <c r="Q3" s="2041"/>
      <c r="R3" s="2041"/>
      <c r="S3" s="2041"/>
    </row>
    <row r="4" spans="1:28" ht="12" customHeight="1" x14ac:dyDescent="0.2">
      <c r="A4" s="37"/>
      <c r="I4" s="2042" t="s">
        <v>545</v>
      </c>
      <c r="J4" s="2041"/>
      <c r="K4" s="2041"/>
      <c r="L4" s="2041"/>
      <c r="M4" s="2041"/>
      <c r="N4" s="2041"/>
      <c r="O4" s="2041"/>
      <c r="P4" s="2041"/>
      <c r="Q4" s="2041"/>
      <c r="R4" s="2041"/>
      <c r="S4" s="2041"/>
    </row>
    <row r="5" spans="1:28" ht="14.1" customHeight="1" x14ac:dyDescent="0.2">
      <c r="B5" s="104" t="s">
        <v>2089</v>
      </c>
      <c r="C5" s="26" t="s">
        <v>966</v>
      </c>
      <c r="D5" s="84"/>
      <c r="E5" s="84"/>
      <c r="H5" s="38"/>
      <c r="I5" s="2049" t="s">
        <v>701</v>
      </c>
      <c r="J5" s="1994"/>
      <c r="K5" s="1994"/>
      <c r="L5" s="1994"/>
      <c r="M5" s="1994"/>
      <c r="N5" s="1994"/>
      <c r="O5" s="1994"/>
      <c r="P5" s="1994"/>
      <c r="Q5" s="1994"/>
      <c r="R5" s="1994"/>
      <c r="S5" s="1994"/>
    </row>
    <row r="6" spans="1:28" ht="14.1" customHeight="1" x14ac:dyDescent="0.2">
      <c r="B6" s="104"/>
      <c r="C6" s="26" t="s">
        <v>967</v>
      </c>
      <c r="D6" s="84"/>
      <c r="E6" s="84"/>
      <c r="I6" s="2048" t="s">
        <v>938</v>
      </c>
      <c r="J6" s="1994"/>
      <c r="K6" s="1994"/>
      <c r="L6" s="1994"/>
      <c r="M6" s="1994"/>
      <c r="N6" s="1994"/>
      <c r="O6" s="1994"/>
      <c r="P6" s="1994"/>
      <c r="Q6" s="1994"/>
      <c r="R6" s="1994"/>
      <c r="S6" s="1994"/>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695</v>
      </c>
      <c r="J9" s="2046"/>
      <c r="K9" s="2046"/>
      <c r="L9" s="2046"/>
      <c r="M9" s="2046"/>
      <c r="N9" s="2046"/>
      <c r="O9" s="2046"/>
      <c r="P9" s="2046"/>
      <c r="Q9" s="2046"/>
      <c r="R9" s="2046"/>
      <c r="S9" s="2047"/>
      <c r="T9" s="1990" t="s">
        <v>554</v>
      </c>
      <c r="U9" s="1991"/>
      <c r="V9" s="1991"/>
      <c r="W9" s="1991"/>
      <c r="X9" s="1991"/>
      <c r="Y9" s="1991"/>
      <c r="Z9" s="1991"/>
      <c r="AA9" s="1992"/>
    </row>
    <row r="10" spans="1:28" ht="13.5" customHeight="1" x14ac:dyDescent="0.2">
      <c r="A10" s="1999" t="s">
        <v>696</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1012</v>
      </c>
      <c r="B11" s="2003"/>
      <c r="C11" s="2003"/>
      <c r="D11" s="2003"/>
      <c r="E11" s="2003"/>
      <c r="F11" s="2003"/>
      <c r="G11" s="2003"/>
      <c r="H11" s="2004"/>
      <c r="I11" s="27"/>
      <c r="J11" s="74"/>
      <c r="K11" s="27"/>
      <c r="O11" s="148" t="s">
        <v>2089</v>
      </c>
      <c r="P11" s="100" t="s">
        <v>210</v>
      </c>
      <c r="Q11" s="30"/>
      <c r="R11" s="28"/>
      <c r="S11" s="27"/>
      <c r="T11" s="1996"/>
      <c r="U11" s="1997"/>
      <c r="V11" s="1997"/>
      <c r="W11" s="1997"/>
      <c r="X11" s="1997"/>
      <c r="Y11" s="1997"/>
      <c r="Z11" s="1997"/>
      <c r="AA11" s="199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0">
        <v>4101140004</v>
      </c>
      <c r="B13" s="2011"/>
      <c r="C13" s="2011"/>
      <c r="D13" s="2011"/>
      <c r="E13" s="2011"/>
      <c r="F13" s="2011"/>
      <c r="G13" s="2011"/>
      <c r="H13" s="2012"/>
      <c r="I13" s="31"/>
      <c r="J13" s="30"/>
      <c r="K13" s="28"/>
      <c r="L13" s="30"/>
      <c r="M13" s="30"/>
      <c r="N13" s="30"/>
      <c r="O13" s="30"/>
      <c r="P13" s="30"/>
      <c r="Q13" s="30"/>
      <c r="R13" s="30"/>
      <c r="S13" s="30"/>
      <c r="T13" s="2015" t="s">
        <v>2077</v>
      </c>
      <c r="U13" s="2016"/>
      <c r="V13" s="2016"/>
      <c r="W13" s="2016"/>
      <c r="X13" s="2016"/>
      <c r="Y13" s="2017"/>
      <c r="Z13" s="2017"/>
      <c r="AA13" s="201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8" t="s">
        <v>2086</v>
      </c>
      <c r="B15" s="2013"/>
      <c r="C15" s="2013"/>
      <c r="D15" s="2013"/>
      <c r="E15" s="2013"/>
      <c r="F15" s="2013"/>
      <c r="G15" s="2013"/>
      <c r="H15" s="2014"/>
      <c r="T15" s="1976" t="s">
        <v>2078</v>
      </c>
      <c r="U15" s="1977"/>
      <c r="V15" s="1977"/>
      <c r="W15" s="1977"/>
      <c r="X15" s="1977"/>
      <c r="Y15" s="2019"/>
      <c r="Z15" s="2019"/>
      <c r="AA15" s="202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8" t="s">
        <v>2128</v>
      </c>
      <c r="B17" s="2038"/>
      <c r="C17" s="2038"/>
      <c r="D17" s="2038"/>
      <c r="E17" s="2038"/>
      <c r="F17" s="2038"/>
      <c r="G17" s="2038"/>
      <c r="H17" s="2039"/>
      <c r="T17" s="2025" t="s">
        <v>2079</v>
      </c>
      <c r="U17" s="2026"/>
      <c r="V17" s="2026"/>
      <c r="W17" s="2026"/>
      <c r="X17" s="2026"/>
      <c r="Y17" s="2026"/>
      <c r="Z17" s="2026"/>
      <c r="AA17" s="2027"/>
    </row>
    <row r="18" spans="1:27" ht="13.5" customHeight="1" x14ac:dyDescent="0.2">
      <c r="A18" s="85" t="s">
        <v>551</v>
      </c>
      <c r="B18" s="76"/>
      <c r="C18" s="72"/>
      <c r="D18" s="76"/>
      <c r="E18" s="76"/>
      <c r="F18" s="76"/>
      <c r="G18" s="76"/>
      <c r="H18" s="56"/>
      <c r="I18" s="2035" t="s">
        <v>697</v>
      </c>
      <c r="J18" s="2036"/>
      <c r="K18" s="2036"/>
      <c r="L18" s="2036"/>
      <c r="M18" s="2036"/>
      <c r="N18" s="2036"/>
      <c r="O18" s="2036"/>
      <c r="P18" s="2036"/>
      <c r="Q18" s="2036"/>
      <c r="R18" s="2036"/>
      <c r="S18" s="2037"/>
      <c r="T18" s="85" t="s">
        <v>735</v>
      </c>
      <c r="U18" s="51"/>
      <c r="V18" s="72"/>
      <c r="W18" s="50"/>
      <c r="X18" s="85" t="s">
        <v>284</v>
      </c>
      <c r="Y18" s="81"/>
      <c r="Z18" s="159" t="s">
        <v>698</v>
      </c>
      <c r="AA18" s="46"/>
    </row>
    <row r="19" spans="1:27" ht="13.5" customHeight="1" x14ac:dyDescent="0.2">
      <c r="A19" s="2008" t="s">
        <v>2087</v>
      </c>
      <c r="B19" s="2009"/>
      <c r="C19" s="2009"/>
      <c r="D19" s="2009"/>
      <c r="E19" s="2009"/>
      <c r="F19" s="2009"/>
      <c r="G19" s="2009"/>
      <c r="H19" s="2007"/>
      <c r="I19" s="30"/>
      <c r="J19" s="99"/>
      <c r="K19" s="40"/>
      <c r="L19" s="38"/>
      <c r="M19" s="112" t="s">
        <v>333</v>
      </c>
      <c r="P19" s="27"/>
      <c r="Q19" s="27"/>
      <c r="R19" s="27"/>
      <c r="S19" s="31"/>
      <c r="T19" s="2008" t="s">
        <v>2080</v>
      </c>
      <c r="U19" s="2006"/>
      <c r="V19" s="2006"/>
      <c r="W19" s="2007"/>
      <c r="X19" s="2023" t="s">
        <v>2081</v>
      </c>
      <c r="Y19" s="2024"/>
      <c r="Z19" s="2021">
        <v>61032</v>
      </c>
      <c r="AA19" s="202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5" t="s">
        <v>2088</v>
      </c>
      <c r="B21" s="2006"/>
      <c r="C21" s="2006"/>
      <c r="D21" s="2006"/>
      <c r="E21" s="2006"/>
      <c r="F21" s="2006"/>
      <c r="G21" s="2006"/>
      <c r="H21" s="2007"/>
      <c r="I21" s="2031" t="s">
        <v>699</v>
      </c>
      <c r="J21" s="1994"/>
      <c r="K21" s="1994"/>
      <c r="L21" s="1994"/>
      <c r="M21" s="1994"/>
      <c r="N21" s="1994"/>
      <c r="O21" s="1994"/>
      <c r="P21" s="1994"/>
      <c r="Q21" s="1994"/>
      <c r="R21" s="1994"/>
      <c r="S21" s="1995"/>
      <c r="T21" s="1973" t="s">
        <v>2082</v>
      </c>
      <c r="U21" s="1974"/>
      <c r="V21" s="1974"/>
      <c r="W21" s="1974"/>
      <c r="X21" s="1987" t="s">
        <v>2083</v>
      </c>
      <c r="Y21" s="1988"/>
      <c r="Z21" s="1988"/>
      <c r="AA21" s="1989"/>
    </row>
    <row r="22" spans="1:27" ht="13.5" customHeight="1" x14ac:dyDescent="0.2">
      <c r="A22" s="87" t="s">
        <v>552</v>
      </c>
      <c r="B22" s="59"/>
      <c r="C22" s="59"/>
      <c r="D22" s="59"/>
      <c r="E22" s="59"/>
      <c r="F22" s="59"/>
      <c r="G22" s="59"/>
      <c r="H22" s="60"/>
      <c r="I22" s="2032" t="s">
        <v>1504</v>
      </c>
      <c r="J22" s="2033"/>
      <c r="K22" s="2033"/>
      <c r="L22" s="2033"/>
      <c r="M22" s="2033"/>
      <c r="N22" s="2033"/>
      <c r="O22" s="2033"/>
      <c r="P22" s="2033"/>
      <c r="Q22" s="2033"/>
      <c r="R22" s="2033"/>
      <c r="S22" s="2034"/>
      <c r="T22" s="85" t="s">
        <v>1596</v>
      </c>
      <c r="U22" s="51"/>
      <c r="V22" s="72"/>
      <c r="W22" s="51"/>
      <c r="X22" s="160" t="s">
        <v>1385</v>
      </c>
      <c r="Z22" s="45"/>
      <c r="AA22" s="46"/>
    </row>
    <row r="23" spans="1:27" ht="13.5" customHeight="1" x14ac:dyDescent="0.2">
      <c r="A23" s="2028"/>
      <c r="B23" s="2029"/>
      <c r="C23" s="2029"/>
      <c r="D23" s="2029"/>
      <c r="E23" s="2029"/>
      <c r="F23" s="2029"/>
      <c r="G23" s="2029"/>
      <c r="H23" s="2030"/>
      <c r="T23" s="1968" t="s">
        <v>2084</v>
      </c>
      <c r="U23" s="1969"/>
      <c r="V23" s="1969"/>
      <c r="W23" s="1969"/>
      <c r="X23" s="1984">
        <v>43434</v>
      </c>
      <c r="Y23" s="1985"/>
      <c r="Z23" s="1985"/>
      <c r="AA23" s="1986"/>
    </row>
    <row r="24" spans="1:27" ht="14.1" customHeight="1" x14ac:dyDescent="0.2">
      <c r="A24" s="88" t="s">
        <v>698</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552</v>
      </c>
      <c r="U24" s="106"/>
      <c r="V24" s="106"/>
      <c r="W24" s="106"/>
      <c r="X24" s="107"/>
      <c r="Y24" s="107"/>
      <c r="Z24" s="107"/>
      <c r="AA24" s="108"/>
    </row>
    <row r="25" spans="1:27" ht="14.1" customHeight="1" x14ac:dyDescent="0.2">
      <c r="A25" s="2005">
        <v>61072</v>
      </c>
      <c r="B25" s="2006"/>
      <c r="C25" s="2006"/>
      <c r="D25" s="2006"/>
      <c r="E25" s="2006"/>
      <c r="F25" s="2006"/>
      <c r="G25" s="2006"/>
      <c r="H25" s="2007"/>
      <c r="I25" s="113"/>
      <c r="J25" s="2072"/>
      <c r="K25" s="2072"/>
      <c r="L25" s="2072"/>
      <c r="M25" s="2072"/>
      <c r="N25" s="2072"/>
      <c r="O25" s="2072"/>
      <c r="P25" s="2072"/>
      <c r="Q25" s="2072"/>
      <c r="R25" s="2072"/>
      <c r="S25" s="2073"/>
      <c r="T25" s="1965" t="s">
        <v>2085</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3" t="s">
        <v>1591</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2089</v>
      </c>
      <c r="M29" s="40" t="s">
        <v>101</v>
      </c>
      <c r="N29" s="32" t="s">
        <v>1604</v>
      </c>
      <c r="O29" s="32"/>
      <c r="P29" s="32"/>
      <c r="Q29" s="32"/>
      <c r="R29" s="32"/>
      <c r="S29" s="123"/>
      <c r="T29" s="6"/>
      <c r="U29" s="6"/>
      <c r="V29" s="6"/>
      <c r="W29" s="6"/>
      <c r="X29" s="6"/>
      <c r="Y29" s="6"/>
      <c r="Z29" s="6"/>
      <c r="AA29" s="132"/>
    </row>
    <row r="30" spans="1:27" ht="13.5" customHeight="1" x14ac:dyDescent="0.2">
      <c r="A30" s="153"/>
      <c r="B30" s="136" t="s">
        <v>2089</v>
      </c>
      <c r="C30" s="124" t="s">
        <v>1226</v>
      </c>
      <c r="D30" s="28"/>
      <c r="E30" s="28"/>
      <c r="F30" s="140"/>
      <c r="G30" s="114"/>
      <c r="H30" s="114"/>
      <c r="I30" s="54"/>
      <c r="J30" s="102"/>
      <c r="K30" s="28" t="s">
        <v>597</v>
      </c>
      <c r="L30" s="148" t="s">
        <v>2089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8" t="s">
        <v>2090</v>
      </c>
      <c r="B38" s="2038"/>
      <c r="C38" s="2038"/>
      <c r="D38" s="2038"/>
      <c r="E38" s="2038"/>
      <c r="F38" s="2006"/>
      <c r="G38" s="2006"/>
      <c r="H38" s="2007"/>
      <c r="I38" s="2057"/>
      <c r="J38" s="1977"/>
      <c r="K38" s="1977"/>
      <c r="L38" s="1977"/>
      <c r="M38" s="1977"/>
      <c r="N38" s="1977"/>
      <c r="O38" s="1977"/>
      <c r="P38" s="1978"/>
      <c r="Q38" s="1978"/>
      <c r="R38" s="1978"/>
      <c r="S38" s="1979"/>
      <c r="T38" s="1976" t="s">
        <v>2094</v>
      </c>
      <c r="U38" s="1977"/>
      <c r="V38" s="1977"/>
      <c r="W38" s="1977"/>
      <c r="X38" s="1978"/>
      <c r="Y38" s="1978"/>
      <c r="Z38" s="1978"/>
      <c r="AA38" s="1979"/>
    </row>
    <row r="39" spans="1:27" ht="12" customHeight="1" x14ac:dyDescent="0.2">
      <c r="A39" s="2061" t="s">
        <v>552</v>
      </c>
      <c r="B39" s="2062"/>
      <c r="C39" s="72"/>
      <c r="D39" s="69"/>
      <c r="E39" s="69"/>
      <c r="F39" s="79"/>
      <c r="G39" s="69"/>
      <c r="H39" s="56"/>
      <c r="I39" s="2061" t="s">
        <v>552</v>
      </c>
      <c r="J39" s="2062"/>
      <c r="K39" s="2062"/>
      <c r="L39" s="2062"/>
      <c r="M39" s="2062"/>
      <c r="N39" s="67"/>
      <c r="O39" s="72"/>
      <c r="P39" s="72"/>
      <c r="Q39" s="78"/>
      <c r="R39" s="72"/>
      <c r="S39" s="56"/>
      <c r="T39" s="72" t="s">
        <v>552</v>
      </c>
      <c r="U39" s="51"/>
      <c r="V39" s="72"/>
      <c r="W39" s="50"/>
      <c r="X39" s="78"/>
      <c r="Y39" s="45"/>
      <c r="Z39" s="45"/>
      <c r="AA39" s="46"/>
    </row>
    <row r="40" spans="1:27" ht="13.5" customHeight="1" x14ac:dyDescent="0.2">
      <c r="A40" s="2064" t="s">
        <v>2091</v>
      </c>
      <c r="B40" s="2065"/>
      <c r="C40" s="2066"/>
      <c r="D40" s="2066"/>
      <c r="E40" s="2066"/>
      <c r="F40" s="2067"/>
      <c r="G40" s="2067"/>
      <c r="H40" s="2068"/>
      <c r="I40" s="1980"/>
      <c r="J40" s="1982"/>
      <c r="K40" s="1982"/>
      <c r="L40" s="1982"/>
      <c r="M40" s="1982"/>
      <c r="N40" s="1982"/>
      <c r="O40" s="1982"/>
      <c r="P40" s="1982"/>
      <c r="Q40" s="1982"/>
      <c r="R40" s="1982"/>
      <c r="S40" s="1983"/>
      <c r="T40" s="1980" t="s">
        <v>2095</v>
      </c>
      <c r="U40" s="1981"/>
      <c r="V40" s="1982"/>
      <c r="W40" s="1982"/>
      <c r="X40" s="1982"/>
      <c r="Y40" s="1982"/>
      <c r="Z40" s="1982"/>
      <c r="AA40" s="198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4" t="s">
        <v>2092</v>
      </c>
      <c r="B42" s="2055"/>
      <c r="C42" s="2056"/>
      <c r="D42" s="2069" t="s">
        <v>2093</v>
      </c>
      <c r="E42" s="2055"/>
      <c r="F42" s="2055"/>
      <c r="G42" s="2055"/>
      <c r="H42" s="2056"/>
      <c r="I42" s="1975"/>
      <c r="J42" s="1971"/>
      <c r="K42" s="1971"/>
      <c r="L42" s="1971"/>
      <c r="M42" s="1971"/>
      <c r="N42" s="1971"/>
      <c r="O42" s="1972"/>
      <c r="P42" s="1970"/>
      <c r="Q42" s="1971"/>
      <c r="R42" s="1971"/>
      <c r="S42" s="1972"/>
      <c r="T42" s="1975" t="s">
        <v>2096</v>
      </c>
      <c r="U42" s="1971"/>
      <c r="V42" s="1971"/>
      <c r="W42" s="1972"/>
      <c r="X42" s="1970" t="s">
        <v>2097</v>
      </c>
      <c r="Y42" s="1971"/>
      <c r="Z42" s="1971"/>
      <c r="AA42" s="197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7" zoomScale="110" zoomScaleNormal="110" workbookViewId="0">
      <selection activeCell="A13" sqref="A12:H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7" t="s">
        <v>1125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715</v>
      </c>
      <c r="B40" s="2074"/>
      <c r="C40" s="2074"/>
      <c r="D40" s="2074"/>
      <c r="E40" s="2074"/>
    </row>
    <row r="41" spans="1:5" x14ac:dyDescent="0.2">
      <c r="A41" s="2075" t="s">
        <v>1706</v>
      </c>
      <c r="B41" s="2075"/>
      <c r="C41" s="2075"/>
      <c r="D41" s="2075"/>
      <c r="E41" s="2075"/>
    </row>
    <row r="42" spans="1:5" ht="12.75" customHeight="1" x14ac:dyDescent="0.2">
      <c r="A42" s="2076" t="s">
        <v>1080</v>
      </c>
      <c r="B42" s="2076"/>
      <c r="C42" s="2076"/>
      <c r="D42" s="2076"/>
      <c r="E42" s="207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1230</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2089</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2" t="s">
        <v>1731</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331</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2089</v>
      </c>
      <c r="C53" s="179">
        <v>22</v>
      </c>
      <c r="D53" s="247" t="s">
        <v>1537</v>
      </c>
      <c r="E53" s="248"/>
      <c r="F53" s="249"/>
      <c r="G53" s="249" t="s">
        <v>1536</v>
      </c>
      <c r="H53" s="250">
        <v>35612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1390</v>
      </c>
      <c r="B70" s="2095"/>
      <c r="C70" s="2095"/>
      <c r="D70" s="2095"/>
      <c r="E70" s="2096"/>
      <c r="F70" s="2096"/>
      <c r="G70" s="2096"/>
      <c r="H70" s="2096"/>
      <c r="I70" s="209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1387</v>
      </c>
      <c r="B83" s="2097"/>
      <c r="C83" s="2097"/>
      <c r="D83" s="209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2077</v>
      </c>
      <c r="D114" s="208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1397</v>
      </c>
      <c r="D117" s="2090"/>
      <c r="E117" s="2091"/>
      <c r="F117" s="2091"/>
      <c r="G117" s="2091"/>
      <c r="H117" s="2091"/>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404</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227384668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2.2903E-2</v>
      </c>
      <c r="E10" s="356" t="s">
        <v>1062</v>
      </c>
      <c r="F10" s="355">
        <v>5.3829999999999998E-3</v>
      </c>
      <c r="G10" s="356" t="s">
        <v>1062</v>
      </c>
      <c r="H10" s="355">
        <v>5.7000000000000002E-3</v>
      </c>
      <c r="I10" s="356" t="s">
        <v>1063</v>
      </c>
      <c r="J10" s="1754">
        <f>ROUND(D10+F10+H10,5)</f>
        <v>3.3989999999999999E-2</v>
      </c>
      <c r="K10" s="222"/>
      <c r="L10" s="355">
        <v>4.8999999999999998E-4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14733366</v>
      </c>
      <c r="E16" s="356"/>
      <c r="F16" s="1755">
        <f>SUM('Acct Summary 7-8'!C17,'Acct Summary 7-8'!D17,'Acct Summary 7-8'!F17)</f>
        <v>13904349</v>
      </c>
      <c r="G16" s="356"/>
      <c r="H16" s="1755">
        <f>SUM(D16-F16)</f>
        <v>829017</v>
      </c>
      <c r="I16" s="222"/>
      <c r="J16" s="1755">
        <f>SUM('Acct Summary 7-8'!C81,'Acct Summary 7-8'!D81,'Acct Summary 7-8'!F81,'Acct Summary 7-8'!I81)</f>
        <v>7740197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2089</v>
      </c>
      <c r="C31" s="367" t="s">
        <v>607</v>
      </c>
      <c r="D31" s="237" t="s">
        <v>1132</v>
      </c>
      <c r="E31" s="222"/>
      <c r="F31" s="222"/>
      <c r="G31" s="363"/>
      <c r="H31" s="1757">
        <f>IF(B31="X",(J7*0.069),IF(B32="X",(J7*0.138),"Enter x in a.or b."))</f>
        <v>15689542.092000002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3720000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A13" sqref="A12:H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577</v>
      </c>
      <c r="B2" s="2127"/>
      <c r="C2" s="2127"/>
      <c r="D2" s="2127"/>
      <c r="E2" s="2127"/>
      <c r="F2" s="2127"/>
      <c r="G2" s="2127"/>
      <c r="H2" s="2127"/>
      <c r="I2" s="2127"/>
      <c r="J2" s="2127"/>
      <c r="K2" s="2127"/>
      <c r="L2" s="2127"/>
      <c r="M2" s="2127"/>
      <c r="N2" s="2127"/>
      <c r="O2" s="2127"/>
      <c r="P2" s="2127"/>
      <c r="Q2" s="2127"/>
      <c r="R2" s="2127"/>
    </row>
    <row r="3" spans="1:18" ht="12.75" x14ac:dyDescent="0.2">
      <c r="A3" s="2128" t="s">
        <v>1480</v>
      </c>
      <c r="B3" s="2128"/>
      <c r="C3" s="2128"/>
      <c r="D3" s="2128"/>
      <c r="E3" s="2128"/>
      <c r="F3" s="2128"/>
      <c r="G3" s="2128"/>
      <c r="H3" s="2128"/>
      <c r="I3" s="2128"/>
      <c r="J3" s="2128"/>
      <c r="K3" s="2128"/>
      <c r="L3" s="2128"/>
      <c r="M3" s="2128"/>
      <c r="N3" s="2128"/>
      <c r="O3" s="2128"/>
      <c r="P3" s="2128"/>
      <c r="Q3" s="2128"/>
      <c r="R3" s="2128"/>
    </row>
    <row r="4" spans="1:18" x14ac:dyDescent="0.2">
      <c r="A4" s="2129" t="s">
        <v>1635</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Rockton SD 140</v>
      </c>
      <c r="E7" s="391"/>
      <c r="G7" s="252"/>
      <c r="H7" s="387"/>
      <c r="I7" s="387"/>
      <c r="J7" s="387"/>
      <c r="K7" s="387"/>
      <c r="L7" s="329"/>
      <c r="M7" s="329"/>
      <c r="N7" s="329"/>
      <c r="O7" s="329"/>
      <c r="P7" s="329"/>
    </row>
    <row r="8" spans="1:18" ht="12.75" x14ac:dyDescent="0.2">
      <c r="A8" s="329"/>
      <c r="B8" s="329"/>
      <c r="C8" s="389" t="s">
        <v>1187</v>
      </c>
      <c r="D8" s="392">
        <f>COVER!A13</f>
        <v>4101140004</v>
      </c>
      <c r="E8" s="393"/>
      <c r="G8" s="329"/>
      <c r="H8" s="329"/>
      <c r="I8" s="329"/>
      <c r="J8" s="329"/>
      <c r="K8" s="329"/>
      <c r="L8" s="329"/>
      <c r="M8" s="329"/>
      <c r="N8" s="329"/>
      <c r="O8" s="329"/>
      <c r="P8" s="329"/>
    </row>
    <row r="9" spans="1:18" ht="12.75" x14ac:dyDescent="0.2">
      <c r="A9" s="329"/>
      <c r="B9" s="329"/>
      <c r="C9" s="389" t="s">
        <v>737</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7740197</v>
      </c>
      <c r="I12" s="404"/>
      <c r="J12" s="404"/>
      <c r="K12" s="405">
        <f>TRUNC((H12/H13*100000),5)/100000</f>
        <v>0.52535157269999999</v>
      </c>
      <c r="L12" s="406"/>
      <c r="M12" s="360" t="s">
        <v>1206</v>
      </c>
      <c r="N12" s="360"/>
      <c r="O12" s="407">
        <v>0.35</v>
      </c>
      <c r="P12" s="218"/>
      <c r="Q12" s="218"/>
    </row>
    <row r="13" spans="1:18" s="408" customFormat="1" ht="12.75" x14ac:dyDescent="0.2">
      <c r="A13" s="218"/>
      <c r="B13" s="401"/>
      <c r="C13" s="2125" t="s">
        <v>1391</v>
      </c>
      <c r="D13" s="2126"/>
      <c r="E13" s="218"/>
      <c r="F13" s="409" t="s">
        <v>826</v>
      </c>
      <c r="G13" s="402"/>
      <c r="H13" s="403">
        <f>SUM('Acct Summary 7-8'!C8+'Acct Summary 7-8'!D8+'Acct Summary 7-8'!F8+'Acct Summary 7-8'!I8)+H14</f>
        <v>14733366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13904349</v>
      </c>
      <c r="I17" s="404"/>
      <c r="J17" s="416"/>
      <c r="K17" s="405">
        <f>TRUNC((H17/H18*100000),5)/100000</f>
        <v>0.94373200249999989</v>
      </c>
      <c r="L17" s="406"/>
      <c r="M17" s="417" t="s">
        <v>1233</v>
      </c>
      <c r="O17" s="418" t="str">
        <f>IF(AND(O16="2", J20 &gt; 2),"1",IF(AND(O16 = "1", J20 &gt; 2),"2",IF(AND(O16="1", J20 &gt;1),"1","0")))</f>
        <v>0</v>
      </c>
      <c r="P17" s="218"/>
    </row>
    <row r="18" spans="1:18" s="408" customFormat="1" ht="11.25" x14ac:dyDescent="0.2">
      <c r="A18" s="218"/>
      <c r="B18" s="401"/>
      <c r="C18" s="2125" t="s">
        <v>1384</v>
      </c>
      <c r="D18" s="2126"/>
      <c r="E18" s="218"/>
      <c r="F18" s="419" t="s">
        <v>827</v>
      </c>
      <c r="G18" s="402"/>
      <c r="H18" s="403">
        <f>SUM('Acct Summary 7-8'!C8+'Acct Summary 7-8'!D8+'Acct Summary 7-8'!F8+'Acct Summary 7-8'!I8)+H19</f>
        <v>14733366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2" t="s">
        <v>1479</v>
      </c>
      <c r="D24" s="2122"/>
      <c r="E24" s="218"/>
      <c r="F24" s="218" t="s">
        <v>465</v>
      </c>
      <c r="G24" s="402"/>
      <c r="H24" s="403">
        <f>SUM('Assets-Liab 5-6'!C4+'Assets-Liab 5-6'!D4+'Assets-Liab 5-6'!F4+'Assets-Liab 5-6'!I4+'Assets-Liab 5-6'!C5+'Assets-Liab 5-6'!D5+'Assets-Liab 5-6'!F5+'Assets-Liab 5-6'!I5)</f>
        <v>7741591</v>
      </c>
      <c r="I24" s="422"/>
      <c r="J24" s="422"/>
      <c r="K24" s="423">
        <f>TRUNC(((H24/H25*100000)/100000),2)</f>
        <v>200.43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38623.19167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6569484.13552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3720000</v>
      </c>
      <c r="I32" s="420"/>
      <c r="J32" s="420"/>
      <c r="K32" s="423">
        <f>TRUNC(100-((((H32/H33*100))*100)/100),2)</f>
        <v>76.28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15689542.092000002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Normal="100" workbookViewId="0">
      <pane ySplit="2" topLeftCell="A12" activePane="bottomLeft" state="frozen"/>
      <selection activeCell="A13" sqref="A12:H15"/>
      <selection pane="bottomLeft" activeCell="A13" sqref="A12:H1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2" t="s">
        <v>1030</v>
      </c>
      <c r="B3" s="2133"/>
      <c r="C3" s="1581"/>
      <c r="D3" s="1582"/>
      <c r="E3" s="1582"/>
      <c r="F3" s="1582"/>
      <c r="G3" s="1582"/>
      <c r="H3" s="1582"/>
      <c r="I3" s="1582"/>
      <c r="J3" s="1582"/>
      <c r="K3" s="1582"/>
      <c r="L3" s="1582"/>
      <c r="M3" s="1583"/>
      <c r="N3" s="1584"/>
    </row>
    <row r="4" spans="1:14" ht="13.5" customHeight="1" x14ac:dyDescent="0.2">
      <c r="A4" s="463" t="s">
        <v>1750</v>
      </c>
      <c r="B4" s="464"/>
      <c r="C4" s="465">
        <v>5315504</v>
      </c>
      <c r="D4" s="466">
        <v>812953</v>
      </c>
      <c r="E4" s="466">
        <v>7062</v>
      </c>
      <c r="F4" s="466">
        <v>633403</v>
      </c>
      <c r="G4" s="466">
        <v>23004</v>
      </c>
      <c r="H4" s="466">
        <v>119</v>
      </c>
      <c r="I4" s="466">
        <v>979731</v>
      </c>
      <c r="J4" s="467">
        <v>152</v>
      </c>
      <c r="K4" s="466">
        <v>296803</v>
      </c>
      <c r="L4" s="466">
        <v>64386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5315504</v>
      </c>
      <c r="D13" s="1759">
        <f t="shared" ref="D13:L13" si="0">SUM(D4:D12)</f>
        <v>812953</v>
      </c>
      <c r="E13" s="1759">
        <f t="shared" si="0"/>
        <v>7062</v>
      </c>
      <c r="F13" s="1759">
        <f t="shared" si="0"/>
        <v>633403</v>
      </c>
      <c r="G13" s="1759">
        <f t="shared" si="0"/>
        <v>23004</v>
      </c>
      <c r="H13" s="1759">
        <f t="shared" si="0"/>
        <v>119</v>
      </c>
      <c r="I13" s="1759">
        <f t="shared" si="0"/>
        <v>979731</v>
      </c>
      <c r="J13" s="1759">
        <f t="shared" si="0"/>
        <v>152</v>
      </c>
      <c r="K13" s="1759">
        <f t="shared" si="0"/>
        <v>296803</v>
      </c>
      <c r="L13" s="1759">
        <f t="shared" si="0"/>
        <v>64386</v>
      </c>
      <c r="M13" s="468"/>
      <c r="N13" s="469"/>
    </row>
    <row r="14" spans="1:14" ht="18" customHeight="1" thickTop="1" x14ac:dyDescent="0.2">
      <c r="A14" s="2134" t="s">
        <v>149</v>
      </c>
      <c r="B14" s="213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851570</v>
      </c>
      <c r="N16" s="484"/>
    </row>
    <row r="17" spans="1:14" s="485" customFormat="1" ht="12.75" customHeight="1" x14ac:dyDescent="0.2">
      <c r="A17" s="482" t="s">
        <v>1470</v>
      </c>
      <c r="B17" s="483">
        <v>230</v>
      </c>
      <c r="C17" s="477"/>
      <c r="D17" s="477"/>
      <c r="E17" s="477"/>
      <c r="F17" s="477"/>
      <c r="G17" s="477"/>
      <c r="H17" s="477"/>
      <c r="I17" s="477"/>
      <c r="J17" s="477"/>
      <c r="K17" s="477"/>
      <c r="L17" s="477"/>
      <c r="M17" s="467">
        <v>24772900</v>
      </c>
      <c r="N17" s="484"/>
    </row>
    <row r="18" spans="1:14" s="485" customFormat="1" ht="12.75" customHeight="1" x14ac:dyDescent="0.2">
      <c r="A18" s="482" t="s">
        <v>1471</v>
      </c>
      <c r="B18" s="483">
        <v>240</v>
      </c>
      <c r="C18" s="477"/>
      <c r="D18" s="477"/>
      <c r="E18" s="477"/>
      <c r="F18" s="477"/>
      <c r="G18" s="477"/>
      <c r="H18" s="477"/>
      <c r="I18" s="477"/>
      <c r="J18" s="477"/>
      <c r="K18" s="477"/>
      <c r="L18" s="477"/>
      <c r="M18" s="467">
        <v>685154</v>
      </c>
      <c r="N18" s="484"/>
    </row>
    <row r="19" spans="1:14" s="485" customFormat="1" ht="12.75" customHeight="1" x14ac:dyDescent="0.2">
      <c r="A19" s="482" t="s">
        <v>1472</v>
      </c>
      <c r="B19" s="483">
        <v>250</v>
      </c>
      <c r="C19" s="477"/>
      <c r="D19" s="477"/>
      <c r="E19" s="477"/>
      <c r="F19" s="477"/>
      <c r="G19" s="477"/>
      <c r="H19" s="477"/>
      <c r="I19" s="477"/>
      <c r="J19" s="477"/>
      <c r="K19" s="477"/>
      <c r="L19" s="477"/>
      <c r="M19" s="467">
        <f>2968484+135920</f>
        <v>3104404</v>
      </c>
      <c r="N19" s="484"/>
    </row>
    <row r="20" spans="1:14" s="485" customFormat="1" ht="12.75" customHeight="1" x14ac:dyDescent="0.2">
      <c r="A20" s="482" t="s">
        <v>1473</v>
      </c>
      <c r="B20" s="483">
        <v>260</v>
      </c>
      <c r="C20" s="477"/>
      <c r="D20" s="477"/>
      <c r="E20" s="477"/>
      <c r="F20" s="477"/>
      <c r="G20" s="477"/>
      <c r="H20" s="477"/>
      <c r="I20" s="477"/>
      <c r="J20" s="477"/>
      <c r="K20" s="477"/>
      <c r="L20" s="477"/>
      <c r="M20" s="467">
        <v>202495</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7062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3712938</v>
      </c>
    </row>
    <row r="23" spans="1:14" ht="13.5" customHeight="1" thickBot="1" x14ac:dyDescent="0.25">
      <c r="A23" s="1758" t="s">
        <v>664</v>
      </c>
      <c r="B23" s="1763"/>
      <c r="C23" s="468"/>
      <c r="D23" s="468"/>
      <c r="E23" s="468"/>
      <c r="F23" s="468"/>
      <c r="G23" s="468"/>
      <c r="H23" s="468"/>
      <c r="I23" s="468"/>
      <c r="J23" s="468"/>
      <c r="K23" s="468"/>
      <c r="L23" s="468"/>
      <c r="M23" s="1710">
        <f>SUM(M15:M22)</f>
        <v>29616523</v>
      </c>
      <c r="N23" s="1710">
        <f>SUM(N21:N22)</f>
        <v>3720000</v>
      </c>
    </row>
    <row r="24" spans="1:14" ht="18" customHeight="1" thickTop="1" x14ac:dyDescent="0.2">
      <c r="A24" s="2136" t="s">
        <v>619</v>
      </c>
      <c r="B24" s="213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1394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64386</v>
      </c>
      <c r="M33" s="468"/>
      <c r="N33" s="469"/>
    </row>
    <row r="34" spans="1:14" ht="13.5" customHeight="1" thickBot="1" x14ac:dyDescent="0.25">
      <c r="A34" s="1760" t="s">
        <v>675</v>
      </c>
      <c r="B34" s="1761"/>
      <c r="C34" s="1762">
        <f>SUM(C25:C33)</f>
        <v>1394</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64386</v>
      </c>
      <c r="M34" s="468"/>
      <c r="N34" s="480"/>
    </row>
    <row r="35" spans="1:14" ht="18" customHeight="1" thickTop="1" x14ac:dyDescent="0.2">
      <c r="A35" s="2138" t="s">
        <v>550</v>
      </c>
      <c r="B35" s="213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3720000</v>
      </c>
    </row>
    <row r="37" spans="1:14" ht="13.5" thickBot="1" x14ac:dyDescent="0.25">
      <c r="A37" s="1758" t="s">
        <v>674</v>
      </c>
      <c r="B37" s="1763"/>
      <c r="C37" s="477"/>
      <c r="D37" s="477"/>
      <c r="E37" s="477"/>
      <c r="F37" s="477"/>
      <c r="G37" s="477"/>
      <c r="H37" s="477"/>
      <c r="I37" s="477"/>
      <c r="J37" s="477"/>
      <c r="K37" s="477"/>
      <c r="L37" s="480"/>
      <c r="M37" s="468"/>
      <c r="N37" s="1710">
        <f>SUM(N36:N36)</f>
        <v>3720000</v>
      </c>
    </row>
    <row r="38" spans="1:14" s="329" customFormat="1" ht="13.5" customHeight="1" thickTop="1" x14ac:dyDescent="0.2">
      <c r="A38" s="496" t="s">
        <v>440</v>
      </c>
      <c r="B38" s="483">
        <v>714</v>
      </c>
      <c r="C38" s="466">
        <v>401855</v>
      </c>
      <c r="D38" s="466"/>
      <c r="E38" s="466"/>
      <c r="F38" s="466"/>
      <c r="G38" s="466">
        <v>4955</v>
      </c>
      <c r="H38" s="466"/>
      <c r="I38" s="466"/>
      <c r="J38" s="467"/>
      <c r="K38" s="466"/>
      <c r="L38" s="481"/>
      <c r="M38" s="497"/>
      <c r="N38" s="497"/>
    </row>
    <row r="39" spans="1:14" s="329" customFormat="1" ht="13.5" customHeight="1" x14ac:dyDescent="0.2">
      <c r="A39" s="496" t="s">
        <v>360</v>
      </c>
      <c r="B39" s="483">
        <v>730</v>
      </c>
      <c r="C39" s="466">
        <v>4912255</v>
      </c>
      <c r="D39" s="466">
        <v>812953</v>
      </c>
      <c r="E39" s="466">
        <v>7062</v>
      </c>
      <c r="F39" s="466">
        <v>633403</v>
      </c>
      <c r="G39" s="466">
        <v>18049</v>
      </c>
      <c r="H39" s="466">
        <v>119</v>
      </c>
      <c r="I39" s="466">
        <v>979731</v>
      </c>
      <c r="J39" s="467">
        <v>152</v>
      </c>
      <c r="K39" s="466">
        <v>296803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29616523</v>
      </c>
      <c r="N40" s="497"/>
    </row>
    <row r="41" spans="1:14" ht="13.5" customHeight="1" thickBot="1" x14ac:dyDescent="0.25">
      <c r="A41" s="1758" t="s">
        <v>676</v>
      </c>
      <c r="B41" s="1728"/>
      <c r="C41" s="1710">
        <f>(SUM(C34,C37,C38,C39))</f>
        <v>5315504</v>
      </c>
      <c r="D41" s="1710">
        <f t="shared" ref="D41:L41" si="2">SUM(D34,D37,D38:D39)</f>
        <v>812953</v>
      </c>
      <c r="E41" s="1710">
        <f t="shared" si="2"/>
        <v>7062</v>
      </c>
      <c r="F41" s="1710">
        <f t="shared" si="2"/>
        <v>633403</v>
      </c>
      <c r="G41" s="1710">
        <f t="shared" si="2"/>
        <v>23004</v>
      </c>
      <c r="H41" s="1710">
        <f t="shared" si="2"/>
        <v>119</v>
      </c>
      <c r="I41" s="1710">
        <f t="shared" si="2"/>
        <v>979731</v>
      </c>
      <c r="J41" s="1710">
        <f t="shared" si="2"/>
        <v>152</v>
      </c>
      <c r="K41" s="1710">
        <f t="shared" si="2"/>
        <v>296803</v>
      </c>
      <c r="L41" s="1710">
        <f t="shared" si="2"/>
        <v>64386</v>
      </c>
      <c r="M41" s="1710">
        <f>SUM(M40)</f>
        <v>29616523</v>
      </c>
      <c r="N41" s="1710">
        <f>SUM(N37)</f>
        <v>3720000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0" activePane="bottomLeft" state="frozenSplit"/>
      <selection activeCell="A13" sqref="A12:H15"/>
      <selection pane="bottomLeft" activeCell="A13" sqref="A12:H1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0" t="s">
        <v>1237</v>
      </c>
      <c r="B3" s="2161"/>
      <c r="C3" s="1595"/>
      <c r="D3" s="1596"/>
      <c r="E3" s="1596"/>
      <c r="F3" s="1596"/>
      <c r="G3" s="1596"/>
      <c r="H3" s="1596"/>
      <c r="I3" s="1596"/>
      <c r="J3" s="1596"/>
      <c r="K3" s="1597"/>
      <c r="L3" s="506"/>
    </row>
    <row r="4" spans="1:13" ht="15.75" customHeight="1" x14ac:dyDescent="0.2">
      <c r="A4" s="1954" t="s">
        <v>1579</v>
      </c>
      <c r="B4" s="1955">
        <v>1000</v>
      </c>
      <c r="C4" s="1764">
        <f>'Revenues 9-14'!C109</f>
        <v>7165671</v>
      </c>
      <c r="D4" s="1764">
        <f>'Revenues 9-14'!D109</f>
        <v>1164636</v>
      </c>
      <c r="E4" s="1764">
        <f>'Revenues 9-14'!E109</f>
        <v>340065</v>
      </c>
      <c r="F4" s="1764">
        <f>'Revenues 9-14'!F109</f>
        <v>246579</v>
      </c>
      <c r="G4" s="1764">
        <f>'Revenues 9-14'!G109</f>
        <v>328390</v>
      </c>
      <c r="H4" s="1764">
        <f>'Revenues 9-14'!H109</f>
        <v>0</v>
      </c>
      <c r="I4" s="1764">
        <f>'Revenues 9-14'!I109</f>
        <v>106600</v>
      </c>
      <c r="J4" s="1764">
        <f>'Revenues 9-14'!J109</f>
        <v>0</v>
      </c>
      <c r="K4" s="1764">
        <f>'Revenues 9-14'!K109</f>
        <v>3450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4774256</v>
      </c>
      <c r="D6" s="1765">
        <f>'Revenues 9-14'!D173</f>
        <v>0</v>
      </c>
      <c r="E6" s="1765">
        <f>'Revenues 9-14'!E173</f>
        <v>0</v>
      </c>
      <c r="F6" s="1765">
        <f>'Revenues 9-14'!F173</f>
        <v>567112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698229</v>
      </c>
      <c r="D7" s="1765">
        <f>'Revenues 9-14'!D274</f>
        <v>0</v>
      </c>
      <c r="E7" s="1765">
        <f>'Revenues 9-14'!E274</f>
        <v>0</v>
      </c>
      <c r="F7" s="1765">
        <f>'Revenues 9-14'!F274</f>
        <v>10283</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12638156</v>
      </c>
      <c r="D8" s="1710">
        <f t="shared" ref="D8:K8" si="0">SUM(D4:D7)</f>
        <v>1164636</v>
      </c>
      <c r="E8" s="1710">
        <f t="shared" si="0"/>
        <v>340065</v>
      </c>
      <c r="F8" s="1710">
        <f t="shared" si="0"/>
        <v>823974</v>
      </c>
      <c r="G8" s="1710">
        <f t="shared" si="0"/>
        <v>328390</v>
      </c>
      <c r="H8" s="1710">
        <f t="shared" si="0"/>
        <v>0</v>
      </c>
      <c r="I8" s="1710">
        <f t="shared" si="0"/>
        <v>106600</v>
      </c>
      <c r="J8" s="1710">
        <f t="shared" si="0"/>
        <v>0</v>
      </c>
      <c r="K8" s="1710">
        <f t="shared" si="0"/>
        <v>3450</v>
      </c>
      <c r="L8" s="347"/>
    </row>
    <row r="9" spans="1:13" ht="15.75" thickTop="1" x14ac:dyDescent="0.2">
      <c r="A9" s="514" t="s">
        <v>1752</v>
      </c>
      <c r="B9" s="515">
        <v>3998</v>
      </c>
      <c r="C9" s="481">
        <v>781285</v>
      </c>
      <c r="D9" s="516"/>
      <c r="E9" s="481"/>
      <c r="F9" s="481"/>
      <c r="G9" s="517"/>
      <c r="H9" s="481"/>
      <c r="I9" s="509" t="s">
        <v>1231</v>
      </c>
      <c r="J9" s="478"/>
      <c r="K9" s="481"/>
      <c r="L9" s="347"/>
    </row>
    <row r="10" spans="1:13" s="519" customFormat="1" ht="13.5" thickBot="1" x14ac:dyDescent="0.25">
      <c r="A10" s="1758" t="s">
        <v>1235</v>
      </c>
      <c r="B10" s="1731"/>
      <c r="C10" s="1710">
        <f>SUM(C8:C9)</f>
        <v>13419441</v>
      </c>
      <c r="D10" s="1710">
        <f t="shared" ref="D10:K10" si="1">SUM(D8:D9)</f>
        <v>1164636</v>
      </c>
      <c r="E10" s="1710">
        <f t="shared" si="1"/>
        <v>340065</v>
      </c>
      <c r="F10" s="1710">
        <f t="shared" si="1"/>
        <v>823974</v>
      </c>
      <c r="G10" s="1710">
        <f t="shared" si="1"/>
        <v>328390</v>
      </c>
      <c r="H10" s="1710">
        <f t="shared" si="1"/>
        <v>0</v>
      </c>
      <c r="I10" s="1710">
        <f t="shared" si="1"/>
        <v>106600</v>
      </c>
      <c r="J10" s="1710">
        <f t="shared" si="1"/>
        <v>0</v>
      </c>
      <c r="K10" s="1710">
        <f t="shared" si="1"/>
        <v>3450</v>
      </c>
      <c r="L10" s="518"/>
    </row>
    <row r="11" spans="1:13" s="519" customFormat="1" ht="16.7" customHeight="1" thickTop="1" x14ac:dyDescent="0.2">
      <c r="A11" s="2134" t="s">
        <v>1238</v>
      </c>
      <c r="B11" s="2135"/>
      <c r="C11" s="1592"/>
      <c r="D11" s="1593"/>
      <c r="E11" s="1593"/>
      <c r="F11" s="1593"/>
      <c r="G11" s="1593"/>
      <c r="H11" s="1593"/>
      <c r="I11" s="1593"/>
      <c r="J11" s="1593"/>
      <c r="K11" s="1594"/>
      <c r="L11" s="518"/>
    </row>
    <row r="12" spans="1:13" ht="15.75" customHeight="1" x14ac:dyDescent="0.2">
      <c r="A12" s="1598" t="s">
        <v>476</v>
      </c>
      <c r="B12" s="1600">
        <v>1000</v>
      </c>
      <c r="C12" s="1764">
        <f>'Expenditures 15-22'!K33</f>
        <v>7850752</v>
      </c>
      <c r="D12" s="520" t="s">
        <v>1231</v>
      </c>
      <c r="E12" s="468" t="s">
        <v>1231</v>
      </c>
      <c r="F12" s="468" t="s">
        <v>1231</v>
      </c>
      <c r="G12" s="1764">
        <f>'Expenditures 15-22'!K229</f>
        <v>187519</v>
      </c>
      <c r="H12" s="521"/>
      <c r="I12" s="468" t="s">
        <v>1231</v>
      </c>
      <c r="J12" s="468" t="s">
        <v>1231</v>
      </c>
      <c r="K12" s="521" t="s">
        <v>1231</v>
      </c>
      <c r="L12" s="347"/>
    </row>
    <row r="13" spans="1:13" ht="15.75" customHeight="1" x14ac:dyDescent="0.2">
      <c r="A13" s="1598" t="s">
        <v>477</v>
      </c>
      <c r="B13" s="1600">
        <v>2000</v>
      </c>
      <c r="C13" s="1765">
        <f>'Expenditures 15-22'!K74</f>
        <v>3037173</v>
      </c>
      <c r="D13" s="1765">
        <f>'Expenditures 15-22'!K129</f>
        <v>1349690</v>
      </c>
      <c r="E13" s="469" t="s">
        <v>1231</v>
      </c>
      <c r="F13" s="1765">
        <f>'Expenditures 15-22'!K184</f>
        <v>802918</v>
      </c>
      <c r="G13" s="1765">
        <f>'Expenditures 15-22'!K279</f>
        <v>204242</v>
      </c>
      <c r="H13" s="1765">
        <f>'Expenditures 15-22'!K303</f>
        <v>0</v>
      </c>
      <c r="I13" s="468" t="s">
        <v>1231</v>
      </c>
      <c r="J13" s="1765">
        <f>'Expenditures 15-22'!K330</f>
        <v>0</v>
      </c>
      <c r="K13" s="1769">
        <f>'Expenditures 15-22'!K352</f>
        <v>114964</v>
      </c>
      <c r="L13" s="347"/>
    </row>
    <row r="14" spans="1:13" ht="15.75" customHeight="1" x14ac:dyDescent="0.2">
      <c r="A14" s="1598" t="s">
        <v>469</v>
      </c>
      <c r="B14" s="1600">
        <v>3000</v>
      </c>
      <c r="C14" s="1765">
        <f>'Expenditures 15-22'!K75</f>
        <v>709</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863107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1517640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11751741</v>
      </c>
      <c r="D17" s="1710">
        <f t="shared" si="2"/>
        <v>1349690</v>
      </c>
      <c r="E17" s="1710">
        <f t="shared" si="2"/>
        <v>1517640</v>
      </c>
      <c r="F17" s="1710">
        <f t="shared" si="2"/>
        <v>802918</v>
      </c>
      <c r="G17" s="1710">
        <f t="shared" si="2"/>
        <v>391761</v>
      </c>
      <c r="H17" s="1710">
        <f t="shared" si="2"/>
        <v>0</v>
      </c>
      <c r="I17" s="468"/>
      <c r="J17" s="1710">
        <f>SUM(J12:J16)</f>
        <v>0</v>
      </c>
      <c r="K17" s="1710">
        <f>SUM(K12:K16)</f>
        <v>114964</v>
      </c>
      <c r="L17" s="347"/>
    </row>
    <row r="18" spans="1:12" ht="15" customHeight="1" thickTop="1" x14ac:dyDescent="0.2">
      <c r="A18" s="1766" t="s">
        <v>1753</v>
      </c>
      <c r="B18" s="1767">
        <v>4180</v>
      </c>
      <c r="C18" s="1764">
        <f t="shared" ref="C18:H18" si="3">C9</f>
        <v>781285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12533026</v>
      </c>
      <c r="D19" s="1710">
        <f t="shared" si="4"/>
        <v>1349690</v>
      </c>
      <c r="E19" s="1710">
        <f t="shared" si="4"/>
        <v>1517640</v>
      </c>
      <c r="F19" s="1710">
        <f t="shared" si="4"/>
        <v>802918</v>
      </c>
      <c r="G19" s="1710">
        <f t="shared" si="4"/>
        <v>391761</v>
      </c>
      <c r="H19" s="1710">
        <f t="shared" si="4"/>
        <v>0</v>
      </c>
      <c r="I19" s="468"/>
      <c r="J19" s="1710">
        <f>SUM(J17:J18)</f>
        <v>0</v>
      </c>
      <c r="K19" s="1710">
        <f>SUM(K17:K18)</f>
        <v>114964</v>
      </c>
      <c r="L19" s="347"/>
    </row>
    <row r="20" spans="1:12" ht="16.5" thickTop="1" thickBot="1" x14ac:dyDescent="0.25">
      <c r="A20" s="2150" t="s">
        <v>1754</v>
      </c>
      <c r="B20" s="2151"/>
      <c r="C20" s="1768">
        <f>C8-C17</f>
        <v>886415</v>
      </c>
      <c r="D20" s="1768">
        <f t="shared" ref="D20:K20" si="5">D8-D17</f>
        <v>-185054</v>
      </c>
      <c r="E20" s="1768">
        <f t="shared" si="5"/>
        <v>-1177575</v>
      </c>
      <c r="F20" s="1768">
        <f t="shared" si="5"/>
        <v>21056</v>
      </c>
      <c r="G20" s="1768">
        <f t="shared" si="5"/>
        <v>-63371</v>
      </c>
      <c r="H20" s="1768">
        <f t="shared" si="5"/>
        <v>0</v>
      </c>
      <c r="I20" s="1768">
        <f t="shared" si="5"/>
        <v>106600</v>
      </c>
      <c r="J20" s="1768">
        <f t="shared" si="5"/>
        <v>0</v>
      </c>
      <c r="K20" s="1768">
        <f t="shared" si="5"/>
        <v>-111514</v>
      </c>
      <c r="L20" s="347"/>
    </row>
    <row r="21" spans="1:12" ht="16.7" customHeight="1" thickTop="1" x14ac:dyDescent="0.2">
      <c r="A21" s="2162" t="s">
        <v>616</v>
      </c>
      <c r="B21" s="2163"/>
      <c r="C21" s="1592"/>
      <c r="D21" s="1593"/>
      <c r="E21" s="1593"/>
      <c r="F21" s="1593"/>
      <c r="G21" s="1593"/>
      <c r="H21" s="1593"/>
      <c r="I21" s="1593"/>
      <c r="J21" s="1593"/>
      <c r="K21" s="1594"/>
      <c r="L21" s="524"/>
    </row>
    <row r="22" spans="1:12" ht="15.75" customHeight="1" collapsed="1" x14ac:dyDescent="0.2">
      <c r="A22" s="2158" t="s">
        <v>617</v>
      </c>
      <c r="B22" s="2159"/>
      <c r="C22" s="477"/>
      <c r="D22" s="477"/>
      <c r="E22" s="477"/>
      <c r="F22" s="477"/>
      <c r="G22" s="477"/>
      <c r="H22" s="477"/>
      <c r="I22" s="477"/>
      <c r="J22" s="477"/>
      <c r="K22" s="477"/>
      <c r="L22" s="347"/>
    </row>
    <row r="23" spans="1:12" s="485" customFormat="1" ht="15.75" customHeight="1" x14ac:dyDescent="0.2">
      <c r="A23" s="2154" t="s">
        <v>311</v>
      </c>
      <c r="B23" s="215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6" t="s">
        <v>1038</v>
      </c>
      <c r="B32" s="2157"/>
      <c r="C32" s="477"/>
      <c r="D32" s="477"/>
      <c r="E32" s="475"/>
      <c r="F32" s="477"/>
      <c r="G32" s="477"/>
      <c r="H32" s="477"/>
      <c r="I32" s="477"/>
      <c r="J32" s="477"/>
      <c r="K32" s="477"/>
      <c r="L32" s="524"/>
    </row>
    <row r="33" spans="1:12" s="485" customFormat="1" x14ac:dyDescent="0.2">
      <c r="A33" s="1511" t="s">
        <v>432</v>
      </c>
      <c r="B33" s="525">
        <v>7210</v>
      </c>
      <c r="C33" s="467"/>
      <c r="D33" s="467"/>
      <c r="E33" s="467">
        <v>1200000</v>
      </c>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4" t="s">
        <v>392</v>
      </c>
      <c r="B44" s="2165"/>
      <c r="C44" s="1725">
        <f>SUM(C24:C43)</f>
        <v>0</v>
      </c>
      <c r="D44" s="1725">
        <f t="shared" ref="D44:K44" si="6">SUM(D24:D43)</f>
        <v>0</v>
      </c>
      <c r="E44" s="1725">
        <f t="shared" si="6"/>
        <v>1200000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v>22800</v>
      </c>
      <c r="F75" s="532"/>
      <c r="G75" s="532"/>
      <c r="H75" s="532"/>
      <c r="I75" s="530"/>
      <c r="J75" s="530"/>
      <c r="K75" s="532"/>
      <c r="L75" s="524"/>
    </row>
    <row r="76" spans="1:12" s="485" customFormat="1" ht="14.25" thickTop="1" thickBot="1" x14ac:dyDescent="0.25">
      <c r="A76" s="2140" t="s">
        <v>460</v>
      </c>
      <c r="B76" s="2141"/>
      <c r="C76" s="1725">
        <f t="shared" ref="C76:K76" si="7">SUM(C47:C75)</f>
        <v>0</v>
      </c>
      <c r="D76" s="1725">
        <f t="shared" si="7"/>
        <v>0</v>
      </c>
      <c r="E76" s="1725">
        <f t="shared" si="7"/>
        <v>22800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2" t="s">
        <v>1239</v>
      </c>
      <c r="B77" s="2143"/>
      <c r="C77" s="1725">
        <f t="shared" ref="C77:K77" si="8">C44-C76</f>
        <v>0</v>
      </c>
      <c r="D77" s="1725">
        <f t="shared" si="8"/>
        <v>0</v>
      </c>
      <c r="E77" s="1725">
        <f t="shared" si="8"/>
        <v>1177200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6" t="s">
        <v>618</v>
      </c>
      <c r="B78" s="2147"/>
      <c r="C78" s="1724">
        <f t="shared" ref="C78:K78" si="9">C20+C77</f>
        <v>886415</v>
      </c>
      <c r="D78" s="1724">
        <f t="shared" si="9"/>
        <v>-185054</v>
      </c>
      <c r="E78" s="1724">
        <f t="shared" si="9"/>
        <v>-375</v>
      </c>
      <c r="F78" s="1724">
        <f t="shared" si="9"/>
        <v>21056</v>
      </c>
      <c r="G78" s="1724">
        <f t="shared" si="9"/>
        <v>-63371</v>
      </c>
      <c r="H78" s="1724">
        <f t="shared" si="9"/>
        <v>0</v>
      </c>
      <c r="I78" s="1724">
        <f t="shared" si="9"/>
        <v>106600</v>
      </c>
      <c r="J78" s="1724">
        <f t="shared" si="9"/>
        <v>0</v>
      </c>
      <c r="K78" s="1724">
        <f t="shared" si="9"/>
        <v>-111514</v>
      </c>
      <c r="L78" s="533"/>
    </row>
    <row r="79" spans="1:12" ht="13.5" thickTop="1" x14ac:dyDescent="0.2">
      <c r="A79" s="1516" t="s">
        <v>2073</v>
      </c>
      <c r="B79" s="534"/>
      <c r="C79" s="478">
        <v>4427695</v>
      </c>
      <c r="D79" s="535">
        <v>998007</v>
      </c>
      <c r="E79" s="535">
        <v>7437</v>
      </c>
      <c r="F79" s="535">
        <v>612347</v>
      </c>
      <c r="G79" s="535">
        <v>86375</v>
      </c>
      <c r="H79" s="535">
        <v>119</v>
      </c>
      <c r="I79" s="535">
        <v>873131</v>
      </c>
      <c r="J79" s="535">
        <v>152</v>
      </c>
      <c r="K79" s="535">
        <v>408317</v>
      </c>
      <c r="L79" s="347"/>
    </row>
    <row r="80" spans="1:12" x14ac:dyDescent="0.2">
      <c r="A80" s="2152" t="s">
        <v>1898</v>
      </c>
      <c r="B80" s="2153"/>
      <c r="C80" s="467"/>
      <c r="D80" s="467"/>
      <c r="E80" s="467"/>
      <c r="F80" s="467"/>
      <c r="G80" s="467"/>
      <c r="H80" s="467"/>
      <c r="I80" s="467"/>
      <c r="J80" s="467"/>
      <c r="K80" s="467"/>
      <c r="L80" s="347"/>
    </row>
    <row r="81" spans="1:12" ht="13.5" thickBot="1" x14ac:dyDescent="0.25">
      <c r="A81" s="2144" t="s">
        <v>2074</v>
      </c>
      <c r="B81" s="2145"/>
      <c r="C81" s="1710">
        <f>(SUM(C78:C80))</f>
        <v>5314110</v>
      </c>
      <c r="D81" s="1710">
        <f>SUM(D78:D80)</f>
        <v>812953</v>
      </c>
      <c r="E81" s="1710">
        <f t="shared" ref="E81:K81" si="10">SUM(E78:E80)</f>
        <v>7062</v>
      </c>
      <c r="F81" s="1710">
        <f t="shared" si="10"/>
        <v>633403</v>
      </c>
      <c r="G81" s="1710">
        <f t="shared" si="10"/>
        <v>23004</v>
      </c>
      <c r="H81" s="1710">
        <f t="shared" si="10"/>
        <v>119</v>
      </c>
      <c r="I81" s="1710">
        <f t="shared" si="10"/>
        <v>979731</v>
      </c>
      <c r="J81" s="1710">
        <f t="shared" si="10"/>
        <v>152</v>
      </c>
      <c r="K81" s="1710">
        <f t="shared" si="10"/>
        <v>296803</v>
      </c>
      <c r="L81" s="347"/>
    </row>
    <row r="82" spans="1:12" ht="0.75" customHeight="1" thickTop="1" thickBot="1" x14ac:dyDescent="0.25">
      <c r="A82" s="536" t="s">
        <v>361</v>
      </c>
      <c r="B82" s="537"/>
      <c r="C82" s="538">
        <f>(C81-C79)</f>
        <v>886415</v>
      </c>
      <c r="D82" s="538">
        <f t="shared" ref="D82:K82" si="11">(D81-D79)</f>
        <v>-185054</v>
      </c>
      <c r="E82" s="538">
        <f t="shared" si="11"/>
        <v>-375</v>
      </c>
      <c r="F82" s="538">
        <f t="shared" si="11"/>
        <v>21056</v>
      </c>
      <c r="G82" s="538">
        <f t="shared" si="11"/>
        <v>-63371</v>
      </c>
      <c r="H82" s="538">
        <f t="shared" si="11"/>
        <v>0</v>
      </c>
      <c r="I82" s="538">
        <f t="shared" si="11"/>
        <v>106600</v>
      </c>
      <c r="J82" s="538">
        <f t="shared" si="11"/>
        <v>0</v>
      </c>
      <c r="K82" s="538">
        <f t="shared" si="11"/>
        <v>-111514</v>
      </c>
    </row>
    <row r="83" spans="1:12" ht="14.25" hidden="1" thickTop="1" thickBot="1" x14ac:dyDescent="0.25">
      <c r="A83" s="539" t="s">
        <v>362</v>
      </c>
      <c r="B83" s="464"/>
      <c r="C83" s="540">
        <f>C82/C81</f>
        <v>0.1668040368001415</v>
      </c>
      <c r="D83" s="540">
        <f t="shared" ref="D83:K83" si="12">D82/D81</f>
        <v>-0.22763185571613612</v>
      </c>
      <c r="E83" s="540">
        <f t="shared" si="12"/>
        <v>-5.3101104502973659E-2</v>
      </c>
      <c r="F83" s="540">
        <f t="shared" si="12"/>
        <v>3.3242659096973014E-2</v>
      </c>
      <c r="G83" s="540">
        <f t="shared" si="12"/>
        <v>-2.7547817770822465</v>
      </c>
      <c r="H83" s="540">
        <f t="shared" si="12"/>
        <v>0</v>
      </c>
      <c r="I83" s="540">
        <f t="shared" si="12"/>
        <v>0.10880537616958125</v>
      </c>
      <c r="J83" s="540">
        <f t="shared" si="12"/>
        <v>0</v>
      </c>
      <c r="K83" s="540">
        <f t="shared" si="12"/>
        <v>-0.37571722657789847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13" sqref="A12:H1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1905</v>
      </c>
      <c r="B1" s="452"/>
      <c r="C1" s="453" t="s">
        <v>445</v>
      </c>
      <c r="D1" s="453" t="s">
        <v>446</v>
      </c>
      <c r="E1" s="453" t="s">
        <v>447</v>
      </c>
      <c r="F1" s="453" t="s">
        <v>448</v>
      </c>
      <c r="G1" s="453" t="s">
        <v>449</v>
      </c>
      <c r="H1" s="453" t="s">
        <v>450</v>
      </c>
      <c r="I1" s="453" t="s">
        <v>451</v>
      </c>
      <c r="J1" s="453" t="s">
        <v>452</v>
      </c>
      <c r="K1" s="453" t="s">
        <v>780</v>
      </c>
    </row>
    <row r="2" spans="1:12" ht="36" x14ac:dyDescent="0.2">
      <c r="A2" s="214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6080213</v>
      </c>
      <c r="D5" s="481">
        <v>1132322</v>
      </c>
      <c r="E5" s="466">
        <v>339074</v>
      </c>
      <c r="F5" s="548">
        <v>238123</v>
      </c>
      <c r="G5" s="466">
        <v>9856</v>
      </c>
      <c r="H5" s="466"/>
      <c r="I5" s="466">
        <v>96664</v>
      </c>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49081</v>
      </c>
      <c r="D7" s="466"/>
      <c r="E7" s="468"/>
      <c r="F7" s="467"/>
      <c r="G7" s="467"/>
      <c r="H7" s="467"/>
      <c r="I7" s="468"/>
      <c r="J7" s="468"/>
      <c r="K7" s="468"/>
    </row>
    <row r="8" spans="1:12" x14ac:dyDescent="0.2">
      <c r="A8" s="463" t="s">
        <v>433</v>
      </c>
      <c r="B8" s="470">
        <v>1150</v>
      </c>
      <c r="C8" s="475"/>
      <c r="D8" s="475"/>
      <c r="E8" s="477"/>
      <c r="F8" s="477"/>
      <c r="G8" s="481">
        <v>281421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6129294</v>
      </c>
      <c r="D12" s="1729">
        <f t="shared" si="0"/>
        <v>1132322</v>
      </c>
      <c r="E12" s="1729">
        <f t="shared" si="0"/>
        <v>339074</v>
      </c>
      <c r="F12" s="1729">
        <f t="shared" si="0"/>
        <v>238123</v>
      </c>
      <c r="G12" s="1729">
        <f t="shared" si="0"/>
        <v>291277</v>
      </c>
      <c r="H12" s="1729">
        <f t="shared" si="0"/>
        <v>0</v>
      </c>
      <c r="I12" s="1729">
        <f t="shared" si="0"/>
        <v>96664</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113</v>
      </c>
      <c r="D14" s="466">
        <v>21</v>
      </c>
      <c r="E14" s="466">
        <v>6</v>
      </c>
      <c r="F14" s="466">
        <v>4</v>
      </c>
      <c r="G14" s="466">
        <v>5</v>
      </c>
      <c r="H14" s="466"/>
      <c r="I14" s="466">
        <v>2</v>
      </c>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214823</v>
      </c>
      <c r="D16" s="466"/>
      <c r="E16" s="466"/>
      <c r="F16" s="466"/>
      <c r="G16" s="466">
        <v>35522</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214936</v>
      </c>
      <c r="D18" s="1732">
        <f t="shared" ref="D18:K18" si="1">SUM(D14:D17)</f>
        <v>21</v>
      </c>
      <c r="E18" s="1732">
        <f t="shared" si="1"/>
        <v>6</v>
      </c>
      <c r="F18" s="1732">
        <f t="shared" si="1"/>
        <v>4</v>
      </c>
      <c r="G18" s="1732">
        <f t="shared" si="1"/>
        <v>35527</v>
      </c>
      <c r="H18" s="1732">
        <f t="shared" si="1"/>
        <v>0</v>
      </c>
      <c r="I18" s="1732">
        <f t="shared" si="1"/>
        <v>2</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1450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21352</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22802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75333</v>
      </c>
      <c r="D65" s="466">
        <v>13973</v>
      </c>
      <c r="E65" s="466">
        <v>985</v>
      </c>
      <c r="F65" s="467">
        <v>8452</v>
      </c>
      <c r="G65" s="466">
        <v>1586</v>
      </c>
      <c r="H65" s="466"/>
      <c r="I65" s="466">
        <v>9934</v>
      </c>
      <c r="J65" s="467"/>
      <c r="K65" s="466">
        <v>3450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75333</v>
      </c>
      <c r="D67" s="1710">
        <f t="shared" ref="D67:K67" si="2">SUM(D65:D66)</f>
        <v>13973</v>
      </c>
      <c r="E67" s="1710">
        <f t="shared" si="2"/>
        <v>985</v>
      </c>
      <c r="F67" s="1710">
        <f t="shared" si="2"/>
        <v>8452</v>
      </c>
      <c r="G67" s="1710">
        <f t="shared" si="2"/>
        <v>1586</v>
      </c>
      <c r="H67" s="1710">
        <f t="shared" si="2"/>
        <v>0</v>
      </c>
      <c r="I67" s="1710">
        <f t="shared" si="2"/>
        <v>9934</v>
      </c>
      <c r="J67" s="1710">
        <f t="shared" si="2"/>
        <v>0</v>
      </c>
      <c r="K67" s="1710">
        <f t="shared" si="2"/>
        <v>3450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236892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4534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7018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248444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22739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133894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156633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v>121</v>
      </c>
      <c r="D92" s="468"/>
      <c r="E92" s="468"/>
      <c r="F92" s="468"/>
      <c r="G92" s="468"/>
      <c r="H92" s="468"/>
      <c r="I92" s="468"/>
      <c r="J92" s="468"/>
      <c r="K92" s="468"/>
    </row>
    <row r="93" spans="1:11" ht="12.75" customHeight="1" thickBot="1" x14ac:dyDescent="0.25">
      <c r="A93" s="1730" t="s">
        <v>261</v>
      </c>
      <c r="B93" s="1731"/>
      <c r="C93" s="1710">
        <f>SUM(C84:C92)</f>
        <v>121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18320</v>
      </c>
      <c r="E95" s="521"/>
      <c r="F95" s="521"/>
      <c r="G95" s="521"/>
      <c r="H95" s="521"/>
      <c r="I95" s="521"/>
      <c r="J95" s="521"/>
      <c r="K95" s="521"/>
    </row>
    <row r="96" spans="1:11" ht="12.75" customHeight="1" x14ac:dyDescent="0.2">
      <c r="A96" s="463" t="s">
        <v>409</v>
      </c>
      <c r="B96" s="470">
        <v>1920</v>
      </c>
      <c r="C96" s="551">
        <v>64713</v>
      </c>
      <c r="D96" s="551"/>
      <c r="E96" s="479"/>
      <c r="F96" s="478"/>
      <c r="G96" s="478"/>
      <c r="H96" s="478"/>
      <c r="I96" s="478"/>
      <c r="J96" s="478"/>
      <c r="K96" s="478"/>
    </row>
    <row r="97" spans="1:12" ht="12.75" customHeight="1" x14ac:dyDescent="0.2">
      <c r="A97" s="1517" t="s">
        <v>262</v>
      </c>
      <c r="B97" s="559">
        <v>1930</v>
      </c>
      <c r="C97" s="489">
        <v>11788</v>
      </c>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14127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227480</v>
      </c>
      <c r="D107" s="466"/>
      <c r="E107" s="466"/>
      <c r="F107" s="466"/>
      <c r="G107" s="466"/>
      <c r="H107" s="466"/>
      <c r="I107" s="466"/>
      <c r="J107" s="467"/>
      <c r="K107" s="466"/>
    </row>
    <row r="108" spans="1:12" ht="12.75" customHeight="1" thickBot="1" x14ac:dyDescent="0.25">
      <c r="A108" s="1730" t="s">
        <v>508</v>
      </c>
      <c r="B108" s="1734"/>
      <c r="C108" s="1729">
        <f>SUM(C95:C107)</f>
        <v>318108</v>
      </c>
      <c r="D108" s="1729">
        <f t="shared" ref="D108:K108" si="3">SUM(D95:D107)</f>
        <v>18320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7165671</v>
      </c>
      <c r="D109" s="1737">
        <f t="shared" si="4"/>
        <v>1164636</v>
      </c>
      <c r="E109" s="1737">
        <f t="shared" si="4"/>
        <v>340065</v>
      </c>
      <c r="F109" s="1737">
        <f t="shared" si="4"/>
        <v>246579</v>
      </c>
      <c r="G109" s="1737">
        <f t="shared" si="4"/>
        <v>328390</v>
      </c>
      <c r="H109" s="1737">
        <f t="shared" si="4"/>
        <v>0</v>
      </c>
      <c r="I109" s="1737">
        <f t="shared" si="4"/>
        <v>106600</v>
      </c>
      <c r="J109" s="1737">
        <f t="shared" si="4"/>
        <v>0</v>
      </c>
      <c r="K109" s="1724">
        <f t="shared" si="4"/>
        <v>3450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4326194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4326194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69061</v>
      </c>
      <c r="D124" s="561"/>
      <c r="E124" s="468"/>
      <c r="F124" s="548"/>
      <c r="G124" s="468"/>
      <c r="H124" s="468"/>
      <c r="I124" s="468"/>
      <c r="J124" s="468"/>
      <c r="K124" s="468"/>
    </row>
    <row r="125" spans="1:11" ht="12.75" customHeight="1" x14ac:dyDescent="0.2">
      <c r="A125" s="463" t="s">
        <v>1521</v>
      </c>
      <c r="B125" s="562">
        <v>3105</v>
      </c>
      <c r="C125" s="466">
        <v>94261</v>
      </c>
      <c r="D125" s="561"/>
      <c r="E125" s="468"/>
      <c r="F125" s="466"/>
      <c r="G125" s="468"/>
      <c r="H125" s="468"/>
      <c r="I125" s="468"/>
      <c r="J125" s="468"/>
      <c r="K125" s="468"/>
    </row>
    <row r="126" spans="1:11" ht="12.75" customHeight="1" x14ac:dyDescent="0.2">
      <c r="A126" s="463" t="s">
        <v>922</v>
      </c>
      <c r="B126" s="562">
        <v>3110</v>
      </c>
      <c r="C126" s="551">
        <v>99993</v>
      </c>
      <c r="D126" s="466"/>
      <c r="E126" s="468"/>
      <c r="F126" s="466"/>
      <c r="G126" s="468"/>
      <c r="H126" s="468"/>
      <c r="I126" s="468"/>
      <c r="J126" s="468"/>
      <c r="K126" s="468"/>
    </row>
    <row r="127" spans="1:11" ht="12.75" customHeight="1" x14ac:dyDescent="0.2">
      <c r="A127" s="463" t="s">
        <v>107</v>
      </c>
      <c r="B127" s="562">
        <v>3120</v>
      </c>
      <c r="C127" s="466">
        <v>4364</v>
      </c>
      <c r="D127" s="561"/>
      <c r="E127" s="468"/>
      <c r="F127" s="466"/>
      <c r="G127" s="468"/>
      <c r="H127" s="468"/>
      <c r="I127" s="468"/>
      <c r="J127" s="468"/>
      <c r="K127" s="468"/>
    </row>
    <row r="128" spans="1:11" ht="12.75" customHeight="1" x14ac:dyDescent="0.2">
      <c r="A128" s="463" t="s">
        <v>1522</v>
      </c>
      <c r="B128" s="562">
        <v>3130</v>
      </c>
      <c r="C128" s="466">
        <v>15783</v>
      </c>
      <c r="D128" s="561"/>
      <c r="E128" s="468"/>
      <c r="F128" s="466"/>
      <c r="G128" s="468"/>
      <c r="H128" s="468"/>
      <c r="I128" s="468"/>
      <c r="J128" s="468"/>
      <c r="K128" s="468"/>
    </row>
    <row r="129" spans="1:11" ht="12.75" customHeight="1" x14ac:dyDescent="0.2">
      <c r="A129" s="463" t="s">
        <v>139</v>
      </c>
      <c r="B129" s="562">
        <v>3145</v>
      </c>
      <c r="C129" s="466">
        <v>1152</v>
      </c>
      <c r="D129" s="561"/>
      <c r="E129" s="468"/>
      <c r="F129" s="466"/>
      <c r="G129" s="468"/>
      <c r="H129" s="468"/>
      <c r="I129" s="468"/>
      <c r="J129" s="468"/>
      <c r="K129" s="468"/>
    </row>
    <row r="130" spans="1:11" ht="12.75" customHeight="1" x14ac:dyDescent="0.2">
      <c r="A130" s="463" t="s">
        <v>68</v>
      </c>
      <c r="B130" s="562">
        <v>3199</v>
      </c>
      <c r="C130" s="551">
        <v>19545</v>
      </c>
      <c r="D130" s="467"/>
      <c r="E130" s="468"/>
      <c r="F130" s="466"/>
      <c r="G130" s="468"/>
      <c r="H130" s="468"/>
      <c r="I130" s="468"/>
      <c r="J130" s="468"/>
      <c r="K130" s="468"/>
    </row>
    <row r="131" spans="1:11" ht="12.75" customHeight="1" thickBot="1" x14ac:dyDescent="0.25">
      <c r="A131" s="1730" t="s">
        <v>1092</v>
      </c>
      <c r="B131" s="1742"/>
      <c r="C131" s="1729">
        <f>SUM(C124:C130)</f>
        <v>304159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2292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417956</v>
      </c>
      <c r="G151" s="467"/>
      <c r="H151" s="468"/>
      <c r="I151" s="468"/>
      <c r="J151" s="468"/>
      <c r="K151" s="468"/>
    </row>
    <row r="152" spans="1:11" ht="12.75" customHeight="1" x14ac:dyDescent="0.2">
      <c r="A152" s="463" t="s">
        <v>1117</v>
      </c>
      <c r="B152" s="562">
        <v>3510</v>
      </c>
      <c r="C152" s="551"/>
      <c r="D152" s="466"/>
      <c r="E152" s="561"/>
      <c r="F152" s="466">
        <v>132247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550203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141611</v>
      </c>
      <c r="D158" s="578"/>
      <c r="E158" s="561"/>
      <c r="F158" s="576">
        <v>16909</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8" t="s">
        <v>418</v>
      </c>
      <c r="B172" s="2169"/>
      <c r="C172" s="1744">
        <f t="shared" ref="C172:K172" si="6">SUM(C131,C140,C144,C145:C149,C154,C155:C170,C171)</f>
        <v>448062</v>
      </c>
      <c r="D172" s="1744">
        <f t="shared" si="6"/>
        <v>0</v>
      </c>
      <c r="E172" s="1744">
        <f t="shared" si="6"/>
        <v>0</v>
      </c>
      <c r="F172" s="1744">
        <f t="shared" si="6"/>
        <v>567112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4774256</v>
      </c>
      <c r="D173" s="1737">
        <f>SUM(D121,D172)</f>
        <v>0</v>
      </c>
      <c r="E173" s="1737">
        <f>SUM(E121,E172)</f>
        <v>0</v>
      </c>
      <c r="F173" s="1737">
        <f t="shared" ref="F173:K173" si="7">SUM(F121,F172)</f>
        <v>567112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0" t="s">
        <v>1572</v>
      </c>
      <c r="B175" s="217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4" t="s">
        <v>1764</v>
      </c>
      <c r="B178" s="217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8" t="s">
        <v>1763</v>
      </c>
      <c r="B179" s="217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6" t="s">
        <v>818</v>
      </c>
      <c r="B184" s="2177"/>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2" t="s">
        <v>1906</v>
      </c>
      <c r="B185" s="217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175785</v>
      </c>
      <c r="D194" s="468"/>
      <c r="E194" s="561"/>
      <c r="F194" s="468"/>
      <c r="G194" s="585"/>
      <c r="H194" s="468"/>
      <c r="I194" s="468"/>
      <c r="J194" s="468"/>
      <c r="K194" s="468"/>
    </row>
    <row r="195" spans="1:11" ht="12.75" customHeight="1" x14ac:dyDescent="0.2">
      <c r="A195" s="463" t="s">
        <v>1107</v>
      </c>
      <c r="B195" s="470">
        <v>4215</v>
      </c>
      <c r="C195" s="551">
        <v>1213</v>
      </c>
      <c r="D195" s="468"/>
      <c r="E195" s="561"/>
      <c r="F195" s="468"/>
      <c r="G195" s="585"/>
      <c r="H195" s="468"/>
      <c r="I195" s="468"/>
      <c r="J195" s="468"/>
      <c r="K195" s="468"/>
    </row>
    <row r="196" spans="1:11" ht="12.75" customHeight="1" x14ac:dyDescent="0.2">
      <c r="A196" s="463" t="s">
        <v>1119</v>
      </c>
      <c r="B196" s="470">
        <v>4220</v>
      </c>
      <c r="C196" s="551">
        <v>22378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199376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114482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114482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5425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228376</v>
      </c>
      <c r="D220" s="466"/>
      <c r="E220" s="468"/>
      <c r="F220" s="466"/>
      <c r="G220" s="466"/>
      <c r="H220" s="468"/>
      <c r="I220" s="468"/>
      <c r="J220" s="468"/>
      <c r="K220" s="468"/>
    </row>
    <row r="221" spans="1:11" ht="12.75" customHeight="1" x14ac:dyDescent="0.2">
      <c r="A221" s="463" t="s">
        <v>1114</v>
      </c>
      <c r="B221" s="470">
        <v>4625</v>
      </c>
      <c r="C221" s="551">
        <v>5435</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239236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39362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14716</v>
      </c>
      <c r="D270" s="576"/>
      <c r="E270" s="468"/>
      <c r="F270" s="576"/>
      <c r="G270" s="576"/>
      <c r="H270" s="468"/>
      <c r="I270" s="468"/>
      <c r="J270" s="468"/>
      <c r="K270" s="468"/>
    </row>
    <row r="271" spans="1:11" ht="12.75" customHeight="1" thickTop="1" thickBot="1" x14ac:dyDescent="0.25">
      <c r="A271" s="463" t="s">
        <v>395</v>
      </c>
      <c r="B271" s="470">
        <v>4992</v>
      </c>
      <c r="C271" s="575">
        <v>91057</v>
      </c>
      <c r="D271" s="576"/>
      <c r="E271" s="468"/>
      <c r="F271" s="576">
        <v>10283</v>
      </c>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698229</v>
      </c>
      <c r="D273" s="1737">
        <f t="shared" si="10"/>
        <v>0</v>
      </c>
      <c r="E273" s="1737">
        <f t="shared" si="10"/>
        <v>0</v>
      </c>
      <c r="F273" s="1737">
        <f t="shared" si="10"/>
        <v>10283</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698229</v>
      </c>
      <c r="D274" s="1737">
        <f>SUM(D178,D184,D273)</f>
        <v>0</v>
      </c>
      <c r="E274" s="1737">
        <f>SUM(E178,E273)</f>
        <v>0</v>
      </c>
      <c r="F274" s="1737">
        <f t="shared" ref="F274:K274" si="11">SUM(F178,F184,F273)</f>
        <v>10283</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12638156</v>
      </c>
      <c r="D275" s="1737">
        <f t="shared" si="12"/>
        <v>1164636</v>
      </c>
      <c r="E275" s="1737">
        <f t="shared" si="12"/>
        <v>340065</v>
      </c>
      <c r="F275" s="1737">
        <f t="shared" si="12"/>
        <v>823974</v>
      </c>
      <c r="G275" s="1737">
        <f t="shared" si="12"/>
        <v>328390</v>
      </c>
      <c r="H275" s="1737">
        <f t="shared" si="12"/>
        <v>0</v>
      </c>
      <c r="I275" s="1737">
        <f t="shared" si="12"/>
        <v>106600</v>
      </c>
      <c r="J275" s="1737">
        <f t="shared" si="12"/>
        <v>0</v>
      </c>
      <c r="K275" s="1724">
        <f t="shared" si="12"/>
        <v>3450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60" activePane="bottomLeft" state="frozen"/>
      <selection activeCell="A13" sqref="A12:H15"/>
      <selection pane="bottomLeft" activeCell="A13" sqref="A12:H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6" t="s">
        <v>315</v>
      </c>
      <c r="B3" s="2187"/>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4460790</v>
      </c>
      <c r="D5" s="466">
        <v>1630047</v>
      </c>
      <c r="E5" s="466">
        <v>70977</v>
      </c>
      <c r="F5" s="466">
        <v>177329</v>
      </c>
      <c r="G5" s="466"/>
      <c r="H5" s="466">
        <v>15435</v>
      </c>
      <c r="I5" s="467">
        <v>27982</v>
      </c>
      <c r="J5" s="467"/>
      <c r="K5" s="1693">
        <f>SUM(C5:J5)</f>
        <v>6382560</v>
      </c>
      <c r="L5" s="466">
        <v>6585491</v>
      </c>
    </row>
    <row r="6" spans="1:14" x14ac:dyDescent="0.2">
      <c r="A6" s="1526" t="s">
        <v>1508</v>
      </c>
      <c r="B6" s="615" t="s">
        <v>1506</v>
      </c>
      <c r="C6" s="477"/>
      <c r="D6" s="477"/>
      <c r="E6" s="466"/>
      <c r="F6" s="477"/>
      <c r="G6" s="477"/>
      <c r="H6" s="477"/>
      <c r="I6" s="477"/>
      <c r="J6" s="477"/>
      <c r="K6" s="1693">
        <f>SUM(C6,E6)</f>
        <v>0</v>
      </c>
      <c r="L6" s="466">
        <v>2300</v>
      </c>
    </row>
    <row r="7" spans="1:14" x14ac:dyDescent="0.2">
      <c r="A7" s="1526" t="s">
        <v>165</v>
      </c>
      <c r="B7" s="615" t="s">
        <v>1024</v>
      </c>
      <c r="C7" s="467">
        <v>82329</v>
      </c>
      <c r="D7" s="467">
        <v>22046</v>
      </c>
      <c r="E7" s="467">
        <v>150</v>
      </c>
      <c r="F7" s="467"/>
      <c r="G7" s="467"/>
      <c r="H7" s="467"/>
      <c r="I7" s="467"/>
      <c r="J7" s="467"/>
      <c r="K7" s="1693">
        <f t="shared" ref="K7:K32" si="0">SUM(C7:J7)</f>
        <v>104525</v>
      </c>
      <c r="L7" s="466">
        <v>95575</v>
      </c>
    </row>
    <row r="8" spans="1:14" x14ac:dyDescent="0.2">
      <c r="A8" s="1526" t="s">
        <v>166</v>
      </c>
      <c r="B8" s="615">
        <v>1200</v>
      </c>
      <c r="C8" s="466">
        <v>969195</v>
      </c>
      <c r="D8" s="466">
        <v>189657</v>
      </c>
      <c r="E8" s="466"/>
      <c r="F8" s="466">
        <v>7204</v>
      </c>
      <c r="G8" s="466"/>
      <c r="H8" s="466"/>
      <c r="I8" s="467"/>
      <c r="J8" s="467"/>
      <c r="K8" s="1693">
        <f t="shared" si="0"/>
        <v>1166056</v>
      </c>
      <c r="L8" s="466">
        <v>1183321</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59569</v>
      </c>
      <c r="D10" s="466">
        <v>7403</v>
      </c>
      <c r="E10" s="466"/>
      <c r="F10" s="466">
        <v>56087</v>
      </c>
      <c r="G10" s="466"/>
      <c r="H10" s="466"/>
      <c r="I10" s="467"/>
      <c r="J10" s="467"/>
      <c r="K10" s="1693">
        <f t="shared" si="0"/>
        <v>123059</v>
      </c>
      <c r="L10" s="466">
        <v>125109</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60862</v>
      </c>
      <c r="D14" s="466">
        <v>1468</v>
      </c>
      <c r="E14" s="466">
        <v>9589</v>
      </c>
      <c r="F14" s="466">
        <v>2227</v>
      </c>
      <c r="G14" s="466"/>
      <c r="H14" s="466"/>
      <c r="I14" s="467">
        <v>406</v>
      </c>
      <c r="J14" s="467"/>
      <c r="K14" s="1693">
        <f t="shared" si="0"/>
        <v>74552</v>
      </c>
      <c r="L14" s="466">
        <v>79312</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5632745</v>
      </c>
      <c r="D33" s="1692">
        <f t="shared" ref="D33:L33" si="1">SUM(D5:D32)</f>
        <v>1850621</v>
      </c>
      <c r="E33" s="1692">
        <f t="shared" si="1"/>
        <v>80716</v>
      </c>
      <c r="F33" s="1692">
        <f t="shared" si="1"/>
        <v>242847</v>
      </c>
      <c r="G33" s="1692">
        <f t="shared" si="1"/>
        <v>0</v>
      </c>
      <c r="H33" s="1692">
        <f t="shared" si="1"/>
        <v>15435</v>
      </c>
      <c r="I33" s="1692">
        <f t="shared" si="1"/>
        <v>28388</v>
      </c>
      <c r="J33" s="1692">
        <f t="shared" si="1"/>
        <v>0</v>
      </c>
      <c r="K33" s="1692">
        <f t="shared" si="1"/>
        <v>7850752</v>
      </c>
      <c r="L33" s="1692">
        <f t="shared" si="1"/>
        <v>8071108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155833</v>
      </c>
      <c r="D36" s="481">
        <v>53125</v>
      </c>
      <c r="E36" s="481"/>
      <c r="F36" s="481">
        <v>1057</v>
      </c>
      <c r="G36" s="481"/>
      <c r="H36" s="481"/>
      <c r="I36" s="467"/>
      <c r="J36" s="467"/>
      <c r="K36" s="1693">
        <f t="shared" ref="K36:K41" si="2">SUM(C36:J36)</f>
        <v>210015</v>
      </c>
      <c r="L36" s="466">
        <v>221626</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84185</v>
      </c>
      <c r="D38" s="466">
        <v>13412</v>
      </c>
      <c r="E38" s="466">
        <v>570</v>
      </c>
      <c r="F38" s="466">
        <v>1783</v>
      </c>
      <c r="G38" s="466"/>
      <c r="H38" s="466"/>
      <c r="I38" s="467"/>
      <c r="J38" s="467"/>
      <c r="K38" s="1693">
        <f t="shared" si="2"/>
        <v>99950</v>
      </c>
      <c r="L38" s="466">
        <v>94182</v>
      </c>
    </row>
    <row r="39" spans="1:14" x14ac:dyDescent="0.2">
      <c r="A39" s="1526" t="s">
        <v>208</v>
      </c>
      <c r="B39" s="615">
        <v>2140</v>
      </c>
      <c r="C39" s="466">
        <v>65371</v>
      </c>
      <c r="D39" s="466">
        <v>23079</v>
      </c>
      <c r="E39" s="466">
        <v>206</v>
      </c>
      <c r="F39" s="466">
        <v>1513</v>
      </c>
      <c r="G39" s="466"/>
      <c r="H39" s="466"/>
      <c r="I39" s="467"/>
      <c r="J39" s="467"/>
      <c r="K39" s="1693">
        <f t="shared" si="2"/>
        <v>90169</v>
      </c>
      <c r="L39" s="466">
        <v>89268</v>
      </c>
    </row>
    <row r="40" spans="1:14" x14ac:dyDescent="0.2">
      <c r="A40" s="1526" t="s">
        <v>209</v>
      </c>
      <c r="B40" s="615">
        <v>2150</v>
      </c>
      <c r="C40" s="466">
        <v>16056</v>
      </c>
      <c r="D40" s="466">
        <v>175580</v>
      </c>
      <c r="E40" s="466">
        <v>625</v>
      </c>
      <c r="F40" s="466">
        <v>1005</v>
      </c>
      <c r="G40" s="466"/>
      <c r="H40" s="466"/>
      <c r="I40" s="467"/>
      <c r="J40" s="467"/>
      <c r="K40" s="1693">
        <f t="shared" si="2"/>
        <v>193266</v>
      </c>
      <c r="L40" s="466">
        <v>242387</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321445</v>
      </c>
      <c r="D42" s="1692">
        <f t="shared" ref="D42:L42" si="3">SUM(D36:D41)</f>
        <v>265196</v>
      </c>
      <c r="E42" s="1692">
        <f t="shared" si="3"/>
        <v>1401</v>
      </c>
      <c r="F42" s="1692">
        <f t="shared" si="3"/>
        <v>5358</v>
      </c>
      <c r="G42" s="1692">
        <f t="shared" si="3"/>
        <v>0</v>
      </c>
      <c r="H42" s="1692">
        <f t="shared" si="3"/>
        <v>0</v>
      </c>
      <c r="I42" s="1692">
        <f t="shared" si="3"/>
        <v>0</v>
      </c>
      <c r="J42" s="1692">
        <f t="shared" si="3"/>
        <v>0</v>
      </c>
      <c r="K42" s="1692">
        <f t="shared" si="3"/>
        <v>593400</v>
      </c>
      <c r="L42" s="1692">
        <f t="shared" si="3"/>
        <v>647463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84430</v>
      </c>
      <c r="D44" s="481">
        <v>22797</v>
      </c>
      <c r="E44" s="481">
        <v>31756</v>
      </c>
      <c r="F44" s="481">
        <v>544</v>
      </c>
      <c r="G44" s="481"/>
      <c r="H44" s="481"/>
      <c r="I44" s="467"/>
      <c r="J44" s="467"/>
      <c r="K44" s="1694">
        <f>SUM(C44:J44)</f>
        <v>139527</v>
      </c>
      <c r="L44" s="481">
        <v>175035</v>
      </c>
    </row>
    <row r="45" spans="1:14" x14ac:dyDescent="0.2">
      <c r="A45" s="1526" t="s">
        <v>869</v>
      </c>
      <c r="B45" s="615">
        <v>2220</v>
      </c>
      <c r="C45" s="466">
        <v>167905</v>
      </c>
      <c r="D45" s="466">
        <v>34234</v>
      </c>
      <c r="E45" s="466">
        <v>38589</v>
      </c>
      <c r="F45" s="466">
        <v>17888</v>
      </c>
      <c r="G45" s="466"/>
      <c r="H45" s="466"/>
      <c r="I45" s="467">
        <v>230367</v>
      </c>
      <c r="J45" s="467"/>
      <c r="K45" s="1694">
        <f>SUM(C45:J45)</f>
        <v>488983</v>
      </c>
      <c r="L45" s="466">
        <v>497603</v>
      </c>
    </row>
    <row r="46" spans="1:14" x14ac:dyDescent="0.2">
      <c r="A46" s="1526" t="s">
        <v>870</v>
      </c>
      <c r="B46" s="615">
        <v>2230</v>
      </c>
      <c r="C46" s="466"/>
      <c r="D46" s="466"/>
      <c r="E46" s="466">
        <v>15795</v>
      </c>
      <c r="F46" s="466">
        <v>5600</v>
      </c>
      <c r="G46" s="466"/>
      <c r="H46" s="466"/>
      <c r="I46" s="467"/>
      <c r="J46" s="467"/>
      <c r="K46" s="1694">
        <f>SUM(C46:J46)</f>
        <v>21395</v>
      </c>
      <c r="L46" s="466">
        <v>22100</v>
      </c>
    </row>
    <row r="47" spans="1:14" ht="12.75" customHeight="1" thickBot="1" x14ac:dyDescent="0.25">
      <c r="A47" s="1690" t="s">
        <v>582</v>
      </c>
      <c r="B47" s="1691" t="s">
        <v>32</v>
      </c>
      <c r="C47" s="1692">
        <f>SUM(C44:C46)</f>
        <v>252335</v>
      </c>
      <c r="D47" s="1692">
        <f t="shared" ref="D47:K47" si="4">SUM(D44:D46)</f>
        <v>57031</v>
      </c>
      <c r="E47" s="1692">
        <f t="shared" si="4"/>
        <v>86140</v>
      </c>
      <c r="F47" s="1692">
        <f t="shared" si="4"/>
        <v>24032</v>
      </c>
      <c r="G47" s="1692">
        <f t="shared" si="4"/>
        <v>0</v>
      </c>
      <c r="H47" s="1692">
        <f t="shared" si="4"/>
        <v>0</v>
      </c>
      <c r="I47" s="1692">
        <f t="shared" si="4"/>
        <v>230367</v>
      </c>
      <c r="J47" s="1692">
        <f t="shared" si="4"/>
        <v>0</v>
      </c>
      <c r="K47" s="1692">
        <f t="shared" si="4"/>
        <v>649905</v>
      </c>
      <c r="L47" s="1692">
        <f>SUM(L44:L46)</f>
        <v>694738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33740</v>
      </c>
      <c r="F49" s="481">
        <v>12</v>
      </c>
      <c r="G49" s="481"/>
      <c r="H49" s="481">
        <v>2079</v>
      </c>
      <c r="I49" s="467"/>
      <c r="J49" s="467"/>
      <c r="K49" s="1694">
        <f>SUM(C49:J49)</f>
        <v>35831</v>
      </c>
      <c r="L49" s="481">
        <v>47800</v>
      </c>
    </row>
    <row r="50" spans="1:14" x14ac:dyDescent="0.2">
      <c r="A50" s="1526" t="s">
        <v>872</v>
      </c>
      <c r="B50" s="615">
        <v>2320</v>
      </c>
      <c r="C50" s="466">
        <v>150992</v>
      </c>
      <c r="D50" s="466">
        <v>48655</v>
      </c>
      <c r="E50" s="466">
        <v>6078</v>
      </c>
      <c r="F50" s="466">
        <v>449</v>
      </c>
      <c r="G50" s="466"/>
      <c r="H50" s="466">
        <v>529</v>
      </c>
      <c r="I50" s="467"/>
      <c r="J50" s="467"/>
      <c r="K50" s="1694">
        <f>SUM(C50:J50)</f>
        <v>206703</v>
      </c>
      <c r="L50" s="466">
        <v>232918</v>
      </c>
    </row>
    <row r="51" spans="1:14" x14ac:dyDescent="0.2">
      <c r="A51" s="1526" t="s">
        <v>44</v>
      </c>
      <c r="B51" s="615">
        <v>2330</v>
      </c>
      <c r="C51" s="466">
        <v>70808</v>
      </c>
      <c r="D51" s="466">
        <v>29762</v>
      </c>
      <c r="E51" s="466"/>
      <c r="F51" s="466"/>
      <c r="G51" s="466"/>
      <c r="H51" s="466"/>
      <c r="I51" s="467"/>
      <c r="J51" s="467"/>
      <c r="K51" s="1694">
        <f>SUM(C51:J51)</f>
        <v>100570</v>
      </c>
      <c r="L51" s="466">
        <v>121585</v>
      </c>
    </row>
    <row r="52" spans="1:14" ht="22.5" x14ac:dyDescent="0.2">
      <c r="A52" s="1527" t="s">
        <v>316</v>
      </c>
      <c r="B52" s="628" t="s">
        <v>384</v>
      </c>
      <c r="C52" s="474"/>
      <c r="D52" s="474">
        <v>84253</v>
      </c>
      <c r="E52" s="474">
        <v>78704</v>
      </c>
      <c r="F52" s="474"/>
      <c r="G52" s="474"/>
      <c r="H52" s="474"/>
      <c r="I52" s="474"/>
      <c r="J52" s="474"/>
      <c r="K52" s="1694">
        <f>SUM(C52:J52)</f>
        <v>162957</v>
      </c>
      <c r="L52" s="474">
        <v>160166</v>
      </c>
    </row>
    <row r="53" spans="1:14" ht="12.75" customHeight="1" thickBot="1" x14ac:dyDescent="0.25">
      <c r="A53" s="1690" t="s">
        <v>741</v>
      </c>
      <c r="B53" s="1691" t="s">
        <v>33</v>
      </c>
      <c r="C53" s="1692">
        <f>SUM(C49:C52)</f>
        <v>221800</v>
      </c>
      <c r="D53" s="1692">
        <f t="shared" ref="D53:L53" si="5">SUM(D49:D52)</f>
        <v>162670</v>
      </c>
      <c r="E53" s="1692">
        <f t="shared" si="5"/>
        <v>118522</v>
      </c>
      <c r="F53" s="1692">
        <f t="shared" si="5"/>
        <v>461</v>
      </c>
      <c r="G53" s="1692">
        <f t="shared" si="5"/>
        <v>0</v>
      </c>
      <c r="H53" s="1692">
        <f t="shared" si="5"/>
        <v>2608</v>
      </c>
      <c r="I53" s="1692">
        <f t="shared" si="5"/>
        <v>0</v>
      </c>
      <c r="J53" s="1692">
        <f t="shared" si="5"/>
        <v>0</v>
      </c>
      <c r="K53" s="1692">
        <f t="shared" si="5"/>
        <v>506061</v>
      </c>
      <c r="L53" s="1692">
        <f t="shared" si="5"/>
        <v>562469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470338</v>
      </c>
      <c r="D55" s="481">
        <v>231343</v>
      </c>
      <c r="E55" s="481">
        <v>789</v>
      </c>
      <c r="F55" s="481">
        <v>2963</v>
      </c>
      <c r="G55" s="481"/>
      <c r="H55" s="481">
        <v>538</v>
      </c>
      <c r="I55" s="467"/>
      <c r="J55" s="467"/>
      <c r="K55" s="1694">
        <f>SUM(C55:J55)</f>
        <v>705971</v>
      </c>
      <c r="L55" s="481">
        <v>700030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470338</v>
      </c>
      <c r="D57" s="1696">
        <f t="shared" ref="D57:K57" si="6">SUM(D55:D56)</f>
        <v>231343</v>
      </c>
      <c r="E57" s="1696">
        <f t="shared" si="6"/>
        <v>789</v>
      </c>
      <c r="F57" s="1696">
        <f t="shared" si="6"/>
        <v>2963</v>
      </c>
      <c r="G57" s="1696">
        <f t="shared" si="6"/>
        <v>0</v>
      </c>
      <c r="H57" s="1696">
        <f t="shared" si="6"/>
        <v>538</v>
      </c>
      <c r="I57" s="1696">
        <f t="shared" si="6"/>
        <v>0</v>
      </c>
      <c r="J57" s="1696">
        <f t="shared" si="6"/>
        <v>0</v>
      </c>
      <c r="K57" s="1696">
        <f t="shared" si="6"/>
        <v>705971</v>
      </c>
      <c r="L57" s="1692">
        <f>SUM(L55:L56)</f>
        <v>700030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130181</v>
      </c>
      <c r="D60" s="466">
        <v>26312</v>
      </c>
      <c r="E60" s="466">
        <v>634</v>
      </c>
      <c r="F60" s="466">
        <v>1916</v>
      </c>
      <c r="G60" s="466"/>
      <c r="H60" s="466"/>
      <c r="I60" s="467"/>
      <c r="J60" s="467"/>
      <c r="K60" s="1694">
        <f t="shared" si="7"/>
        <v>159043</v>
      </c>
      <c r="L60" s="466">
        <v>196464</v>
      </c>
      <c r="M60" s="610"/>
      <c r="N60" s="610"/>
    </row>
    <row r="61" spans="1:14" s="343" customFormat="1" x14ac:dyDescent="0.2">
      <c r="A61" s="1526" t="s">
        <v>206</v>
      </c>
      <c r="B61" s="615">
        <v>2540</v>
      </c>
      <c r="C61" s="466"/>
      <c r="D61" s="466"/>
      <c r="E61" s="466">
        <v>25584</v>
      </c>
      <c r="F61" s="466"/>
      <c r="G61" s="466"/>
      <c r="H61" s="466"/>
      <c r="I61" s="467"/>
      <c r="J61" s="467"/>
      <c r="K61" s="1694">
        <f t="shared" si="7"/>
        <v>25584</v>
      </c>
      <c r="L61" s="466">
        <v>32500</v>
      </c>
      <c r="M61" s="610"/>
      <c r="N61" s="610"/>
    </row>
    <row r="62" spans="1:14" s="343" customFormat="1" x14ac:dyDescent="0.2">
      <c r="A62" s="1526" t="s">
        <v>1010</v>
      </c>
      <c r="B62" s="615">
        <v>2550</v>
      </c>
      <c r="C62" s="466"/>
      <c r="D62" s="466"/>
      <c r="E62" s="466">
        <v>225</v>
      </c>
      <c r="F62" s="466"/>
      <c r="G62" s="466"/>
      <c r="H62" s="466"/>
      <c r="I62" s="467"/>
      <c r="J62" s="467"/>
      <c r="K62" s="1694">
        <f t="shared" si="7"/>
        <v>225</v>
      </c>
      <c r="L62" s="466"/>
      <c r="M62" s="610"/>
      <c r="N62" s="610"/>
    </row>
    <row r="63" spans="1:14" s="610" customFormat="1" x14ac:dyDescent="0.2">
      <c r="A63" s="1526" t="s">
        <v>102</v>
      </c>
      <c r="B63" s="615">
        <v>2560</v>
      </c>
      <c r="C63" s="466">
        <v>104491</v>
      </c>
      <c r="D63" s="466">
        <v>13412</v>
      </c>
      <c r="E63" s="466">
        <v>3363</v>
      </c>
      <c r="F63" s="466">
        <v>214190</v>
      </c>
      <c r="G63" s="466"/>
      <c r="H63" s="466"/>
      <c r="I63" s="467"/>
      <c r="J63" s="467"/>
      <c r="K63" s="1694">
        <f t="shared" si="7"/>
        <v>335456</v>
      </c>
      <c r="L63" s="466">
        <v>339392</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234672</v>
      </c>
      <c r="D65" s="1692">
        <f t="shared" ref="D65:L65" si="8">SUM(D59:D64)</f>
        <v>39724</v>
      </c>
      <c r="E65" s="1692">
        <f t="shared" si="8"/>
        <v>29806</v>
      </c>
      <c r="F65" s="1692">
        <f t="shared" si="8"/>
        <v>216106</v>
      </c>
      <c r="G65" s="1692">
        <f t="shared" si="8"/>
        <v>0</v>
      </c>
      <c r="H65" s="1692">
        <f t="shared" si="8"/>
        <v>0</v>
      </c>
      <c r="I65" s="1692">
        <f t="shared" si="8"/>
        <v>0</v>
      </c>
      <c r="J65" s="1692">
        <f t="shared" si="8"/>
        <v>0</v>
      </c>
      <c r="K65" s="1692">
        <f t="shared" si="8"/>
        <v>520308</v>
      </c>
      <c r="L65" s="1692">
        <f t="shared" si="8"/>
        <v>568356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v>60628</v>
      </c>
      <c r="F73" s="573">
        <v>900</v>
      </c>
      <c r="G73" s="573"/>
      <c r="H73" s="573"/>
      <c r="I73" s="531"/>
      <c r="J73" s="531"/>
      <c r="K73" s="1692">
        <f>SUM(C73:J73)</f>
        <v>61528</v>
      </c>
      <c r="L73" s="576">
        <v>79700</v>
      </c>
      <c r="M73" s="610"/>
      <c r="N73" s="610"/>
    </row>
    <row r="74" spans="1:14" ht="12.75" customHeight="1" thickTop="1" thickBot="1" x14ac:dyDescent="0.25">
      <c r="A74" s="1690" t="s">
        <v>865</v>
      </c>
      <c r="B74" s="1698">
        <v>2000</v>
      </c>
      <c r="C74" s="1699">
        <f>SUM(C42,C47,C53,C57,C65,C72,C73)</f>
        <v>1500590</v>
      </c>
      <c r="D74" s="1699">
        <f t="shared" ref="D74:K74" si="10">SUM(D42,D47,D53,D57,D65,D72,D73)</f>
        <v>755964</v>
      </c>
      <c r="E74" s="1699">
        <f t="shared" si="10"/>
        <v>297286</v>
      </c>
      <c r="F74" s="1699">
        <f t="shared" si="10"/>
        <v>249820</v>
      </c>
      <c r="G74" s="1699">
        <f t="shared" si="10"/>
        <v>0</v>
      </c>
      <c r="H74" s="1699">
        <f t="shared" si="10"/>
        <v>3146</v>
      </c>
      <c r="I74" s="1699">
        <f t="shared" si="10"/>
        <v>230367</v>
      </c>
      <c r="J74" s="1699">
        <f t="shared" si="10"/>
        <v>0</v>
      </c>
      <c r="K74" s="1699">
        <f t="shared" si="10"/>
        <v>3037173</v>
      </c>
      <c r="L74" s="1699">
        <f>SUM(L42,L47,L53,L57,L65,L72,L73)</f>
        <v>3252756</v>
      </c>
    </row>
    <row r="75" spans="1:14" s="259" customFormat="1" ht="15.75" customHeight="1" thickTop="1" thickBot="1" x14ac:dyDescent="0.25">
      <c r="A75" s="1632" t="s">
        <v>49</v>
      </c>
      <c r="B75" s="1633" t="s">
        <v>596</v>
      </c>
      <c r="C75" s="573"/>
      <c r="D75" s="573"/>
      <c r="E75" s="573"/>
      <c r="F75" s="573">
        <v>709</v>
      </c>
      <c r="G75" s="573"/>
      <c r="H75" s="573"/>
      <c r="I75" s="531"/>
      <c r="J75" s="531"/>
      <c r="K75" s="1692">
        <f>SUM(C75:J75)</f>
        <v>709</v>
      </c>
      <c r="L75" s="576">
        <v>289613</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286713</v>
      </c>
      <c r="I78" s="477"/>
      <c r="J78" s="477"/>
      <c r="K78" s="1693">
        <f t="shared" ref="K78:K83" si="11">SUM(C78:J78)</f>
        <v>286713</v>
      </c>
      <c r="L78" s="481"/>
    </row>
    <row r="79" spans="1:14" x14ac:dyDescent="0.2">
      <c r="A79" s="1526" t="s">
        <v>322</v>
      </c>
      <c r="B79" s="615">
        <v>4120</v>
      </c>
      <c r="C79" s="617"/>
      <c r="D79" s="617"/>
      <c r="E79" s="466">
        <v>198795</v>
      </c>
      <c r="F79" s="617"/>
      <c r="G79" s="617"/>
      <c r="H79" s="466">
        <v>377599</v>
      </c>
      <c r="I79" s="477"/>
      <c r="J79" s="477"/>
      <c r="K79" s="1693">
        <f t="shared" si="11"/>
        <v>576394</v>
      </c>
      <c r="L79" s="466">
        <v>610989</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198795</v>
      </c>
      <c r="F84" s="617"/>
      <c r="G84" s="617"/>
      <c r="H84" s="1692">
        <f>SUM(H78:H83)</f>
        <v>664312</v>
      </c>
      <c r="I84" s="477"/>
      <c r="J84" s="477"/>
      <c r="K84" s="1692">
        <f>SUM(K78:K83)</f>
        <v>863107</v>
      </c>
      <c r="L84" s="1692">
        <f>SUM(L78:L83)</f>
        <v>610989</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198795</v>
      </c>
      <c r="F102" s="617"/>
      <c r="G102" s="617"/>
      <c r="H102" s="1699">
        <f>SUM(H84,H92,H100,H101)</f>
        <v>664312</v>
      </c>
      <c r="I102" s="477"/>
      <c r="J102" s="477"/>
      <c r="K102" s="1699">
        <f>SUM(K84,K92,K100,K101)</f>
        <v>863107</v>
      </c>
      <c r="L102" s="1699">
        <f>SUM(L84,L92,L100,L101)</f>
        <v>610989</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7133335</v>
      </c>
      <c r="D114" s="1692">
        <f t="shared" ref="D114:K114" si="13">SUM(D33,D74,D75,D102,D112,D113)</f>
        <v>2606585</v>
      </c>
      <c r="E114" s="1692">
        <f t="shared" si="13"/>
        <v>576797</v>
      </c>
      <c r="F114" s="1692">
        <f t="shared" si="13"/>
        <v>493376</v>
      </c>
      <c r="G114" s="1692">
        <f t="shared" si="13"/>
        <v>0</v>
      </c>
      <c r="H114" s="1692">
        <f>SUM(H33,H74,H75,H102,H112,H113)</f>
        <v>682893</v>
      </c>
      <c r="I114" s="1692">
        <f t="shared" si="13"/>
        <v>258755</v>
      </c>
      <c r="J114" s="1692">
        <f t="shared" si="13"/>
        <v>0</v>
      </c>
      <c r="K114" s="1692">
        <f t="shared" si="13"/>
        <v>11751741</v>
      </c>
      <c r="L114" s="1692">
        <f>SUM(L33,L74,L75,L102,L112,L113)</f>
        <v>12224466</v>
      </c>
    </row>
    <row r="115" spans="1:14" ht="13.5" thickTop="1" x14ac:dyDescent="0.2">
      <c r="A115" s="2205" t="s">
        <v>1053</v>
      </c>
      <c r="B115" s="2206"/>
      <c r="C115" s="619"/>
      <c r="D115" s="619"/>
      <c r="E115" s="619"/>
      <c r="F115" s="619"/>
      <c r="G115" s="619"/>
      <c r="H115" s="619"/>
      <c r="I115" s="619"/>
      <c r="J115" s="619"/>
      <c r="K115" s="1706">
        <f>'Revenues 9-14'!C275-'Expenditures 15-22'!K114</f>
        <v>886415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314</v>
      </c>
      <c r="B117" s="2184"/>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v>1644</v>
      </c>
      <c r="H123" s="466"/>
      <c r="I123" s="467"/>
      <c r="J123" s="467"/>
      <c r="K123" s="1692">
        <f>SUM(C123:J123)</f>
        <v>1644</v>
      </c>
      <c r="L123" s="466"/>
    </row>
    <row r="124" spans="1:14" ht="14.25" thickTop="1" thickBot="1" x14ac:dyDescent="0.25">
      <c r="A124" s="1526" t="s">
        <v>206</v>
      </c>
      <c r="B124" s="615">
        <v>2540</v>
      </c>
      <c r="C124" s="466">
        <v>330605</v>
      </c>
      <c r="D124" s="466">
        <v>93724</v>
      </c>
      <c r="E124" s="466">
        <v>219264</v>
      </c>
      <c r="F124" s="466">
        <v>365109</v>
      </c>
      <c r="G124" s="466">
        <v>296014</v>
      </c>
      <c r="H124" s="466"/>
      <c r="I124" s="467">
        <v>43330</v>
      </c>
      <c r="J124" s="467"/>
      <c r="K124" s="1692">
        <f>SUM(C124:J124)</f>
        <v>1348046</v>
      </c>
      <c r="L124" s="466">
        <v>2790151</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330605</v>
      </c>
      <c r="D127" s="1692">
        <f t="shared" ref="D127:L127" si="14">SUM(D122:D126)</f>
        <v>93724</v>
      </c>
      <c r="E127" s="1692">
        <f t="shared" si="14"/>
        <v>219264</v>
      </c>
      <c r="F127" s="1692">
        <f t="shared" si="14"/>
        <v>365109</v>
      </c>
      <c r="G127" s="1692">
        <f t="shared" si="14"/>
        <v>297658</v>
      </c>
      <c r="H127" s="1692">
        <f t="shared" si="14"/>
        <v>0</v>
      </c>
      <c r="I127" s="1692">
        <f t="shared" si="14"/>
        <v>43330</v>
      </c>
      <c r="J127" s="1692">
        <f t="shared" si="14"/>
        <v>0</v>
      </c>
      <c r="K127" s="1692">
        <f t="shared" si="14"/>
        <v>1349690</v>
      </c>
      <c r="L127" s="1692">
        <f t="shared" si="14"/>
        <v>2790151</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330605</v>
      </c>
      <c r="D129" s="1699">
        <f t="shared" ref="D129:L129" si="15">SUM(D120,D127,D128)</f>
        <v>93724</v>
      </c>
      <c r="E129" s="1699">
        <f t="shared" si="15"/>
        <v>219264</v>
      </c>
      <c r="F129" s="1699">
        <f t="shared" si="15"/>
        <v>365109</v>
      </c>
      <c r="G129" s="1699">
        <f t="shared" si="15"/>
        <v>297658</v>
      </c>
      <c r="H129" s="1699">
        <f t="shared" si="15"/>
        <v>0</v>
      </c>
      <c r="I129" s="1699">
        <f t="shared" si="15"/>
        <v>43330</v>
      </c>
      <c r="J129" s="1699">
        <f t="shared" si="15"/>
        <v>0</v>
      </c>
      <c r="K129" s="1699">
        <f t="shared" si="15"/>
        <v>1349690</v>
      </c>
      <c r="L129" s="1699">
        <f t="shared" si="15"/>
        <v>2790151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5" t="s">
        <v>641</v>
      </c>
      <c r="B151" s="2177"/>
      <c r="C151" s="1692">
        <f>SUM(C129,C130,C139,C149,C150)</f>
        <v>330605</v>
      </c>
      <c r="D151" s="1692">
        <f t="shared" ref="D151:K151" si="16">SUM(D129,D130,D139,D149,D150)</f>
        <v>93724</v>
      </c>
      <c r="E151" s="1692">
        <f t="shared" si="16"/>
        <v>219264</v>
      </c>
      <c r="F151" s="1692">
        <f t="shared" si="16"/>
        <v>365109</v>
      </c>
      <c r="G151" s="1692">
        <f t="shared" si="16"/>
        <v>297658</v>
      </c>
      <c r="H151" s="1692">
        <f t="shared" si="16"/>
        <v>0</v>
      </c>
      <c r="I151" s="1692">
        <f t="shared" si="16"/>
        <v>43330</v>
      </c>
      <c r="J151" s="1692">
        <f t="shared" si="16"/>
        <v>0</v>
      </c>
      <c r="K151" s="1692">
        <f t="shared" si="16"/>
        <v>1349690</v>
      </c>
      <c r="L151" s="1692">
        <f>SUM(L129,L130,L139,L149,L150)</f>
        <v>2790151</v>
      </c>
    </row>
    <row r="152" spans="1:14" ht="12.75" customHeight="1" thickTop="1" x14ac:dyDescent="0.2">
      <c r="A152" s="2198" t="s">
        <v>1240</v>
      </c>
      <c r="B152" s="2199"/>
      <c r="C152" s="619"/>
      <c r="D152" s="619"/>
      <c r="E152" s="619"/>
      <c r="F152" s="619"/>
      <c r="G152" s="619"/>
      <c r="H152" s="619"/>
      <c r="I152" s="619"/>
      <c r="J152" s="617"/>
      <c r="K152" s="1706">
        <f>'Revenues 9-14'!D275-'Expenditures 15-22'!K151</f>
        <v>-185054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642</v>
      </c>
      <c r="B154" s="218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172640</v>
      </c>
      <c r="I169" s="617"/>
      <c r="J169" s="617"/>
      <c r="K169" s="1693">
        <f>SUM(C169:H169)</f>
        <v>172640</v>
      </c>
      <c r="L169" s="657">
        <v>168806</v>
      </c>
    </row>
    <row r="170" spans="1:14" ht="33.75" customHeight="1" x14ac:dyDescent="0.2">
      <c r="A170" s="670" t="s">
        <v>1769</v>
      </c>
      <c r="B170" s="672" t="s">
        <v>31</v>
      </c>
      <c r="C170" s="617"/>
      <c r="D170" s="617"/>
      <c r="E170" s="617"/>
      <c r="F170" s="617"/>
      <c r="G170" s="617"/>
      <c r="H170" s="569">
        <v>1345000</v>
      </c>
      <c r="I170" s="617"/>
      <c r="J170" s="617"/>
      <c r="K170" s="1693">
        <f>SUM(C170:J170)</f>
        <v>1345000</v>
      </c>
      <c r="L170" s="569">
        <v>175000</v>
      </c>
    </row>
    <row r="171" spans="1:14" ht="15.75" customHeight="1" x14ac:dyDescent="0.2">
      <c r="A171" s="622" t="s">
        <v>790</v>
      </c>
      <c r="B171" s="673" t="s">
        <v>86</v>
      </c>
      <c r="C171" s="617"/>
      <c r="D171" s="617"/>
      <c r="E171" s="466"/>
      <c r="F171" s="617"/>
      <c r="G171" s="617"/>
      <c r="H171" s="569"/>
      <c r="I171" s="477"/>
      <c r="J171" s="617"/>
      <c r="K171" s="1693">
        <f>SUM(C171:J171)</f>
        <v>0</v>
      </c>
      <c r="L171" s="569">
        <v>1000</v>
      </c>
    </row>
    <row r="172" spans="1:14" ht="12.75" customHeight="1" thickBot="1" x14ac:dyDescent="0.25">
      <c r="A172" s="1690" t="s">
        <v>659</v>
      </c>
      <c r="B172" s="1691" t="s">
        <v>513</v>
      </c>
      <c r="C172" s="617"/>
      <c r="D172" s="617"/>
      <c r="E172" s="1699">
        <f>SUM(E168,E169,E170,E171)</f>
        <v>0</v>
      </c>
      <c r="F172" s="617"/>
      <c r="G172" s="617"/>
      <c r="H172" s="1699">
        <f>SUM(H168,H169,H170,H171)</f>
        <v>1517640</v>
      </c>
      <c r="I172" s="639"/>
      <c r="J172" s="617"/>
      <c r="K172" s="1699">
        <f>SUM(K168,K169,K170,K171)</f>
        <v>1517640</v>
      </c>
      <c r="L172" s="1699">
        <f>SUM(L168,L169,L170,L171)</f>
        <v>344806</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1517640</v>
      </c>
      <c r="I174" s="639"/>
      <c r="J174" s="617"/>
      <c r="K174" s="1699">
        <f>SUM(K160,K172,K173)</f>
        <v>1517640</v>
      </c>
      <c r="L174" s="1699">
        <f>SUM(L160,L172,L173)</f>
        <v>344806</v>
      </c>
    </row>
    <row r="175" spans="1:14" ht="13.5" thickTop="1" x14ac:dyDescent="0.2">
      <c r="A175" s="2205" t="s">
        <v>1053</v>
      </c>
      <c r="B175" s="2206"/>
      <c r="C175" s="617"/>
      <c r="D175" s="617"/>
      <c r="E175" s="617"/>
      <c r="F175" s="617"/>
      <c r="G175" s="617"/>
      <c r="H175" s="619"/>
      <c r="I175" s="617"/>
      <c r="J175" s="617"/>
      <c r="K175" s="1706">
        <f>'Revenues 9-14'!E275-'Expenditures 15-22'!K174</f>
        <v>-1177575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5000</v>
      </c>
      <c r="D182" s="466">
        <v>0</v>
      </c>
      <c r="E182" s="466">
        <v>797918</v>
      </c>
      <c r="F182" s="466"/>
      <c r="G182" s="466"/>
      <c r="H182" s="466"/>
      <c r="I182" s="467"/>
      <c r="J182" s="467"/>
      <c r="K182" s="1693">
        <f>SUM(C182:J182)</f>
        <v>802918</v>
      </c>
      <c r="L182" s="466">
        <v>798405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5000</v>
      </c>
      <c r="D184" s="1699">
        <f t="shared" ref="D184:J184" si="17">SUM(D180,D182,D183)</f>
        <v>0</v>
      </c>
      <c r="E184" s="1699">
        <f t="shared" si="17"/>
        <v>797918</v>
      </c>
      <c r="F184" s="1699">
        <f t="shared" si="17"/>
        <v>0</v>
      </c>
      <c r="G184" s="1699">
        <f t="shared" si="17"/>
        <v>0</v>
      </c>
      <c r="H184" s="1699">
        <f t="shared" si="17"/>
        <v>0</v>
      </c>
      <c r="I184" s="1699">
        <f t="shared" si="17"/>
        <v>0</v>
      </c>
      <c r="J184" s="1699">
        <f t="shared" si="17"/>
        <v>0</v>
      </c>
      <c r="K184" s="1699">
        <f>SUM(K180,K182,K183)</f>
        <v>802918</v>
      </c>
      <c r="L184" s="1699">
        <f>SUM(L180, L182:L183)</f>
        <v>798405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5000</v>
      </c>
      <c r="D210" s="1692">
        <f>SUM(D184,D185)</f>
        <v>0</v>
      </c>
      <c r="E210" s="1692">
        <f>SUM(E184,E185,E196)</f>
        <v>797918</v>
      </c>
      <c r="F210" s="1692">
        <f>SUM(F184,F185)</f>
        <v>0</v>
      </c>
      <c r="G210" s="1692">
        <f>SUM(G184,G185)</f>
        <v>0</v>
      </c>
      <c r="H210" s="1692">
        <f>SUM(H184,H185,H196,H208,H209)</f>
        <v>0</v>
      </c>
      <c r="I210" s="1692">
        <f>SUM(I184,I185)</f>
        <v>0</v>
      </c>
      <c r="J210" s="1692">
        <f>SUM(J184,J185)</f>
        <v>0</v>
      </c>
      <c r="K210" s="1693">
        <f>SUM(K184,K185,K196,K208,K209)</f>
        <v>802918</v>
      </c>
      <c r="L210" s="1692">
        <f>SUM(L184,L185,L196,L208,L209)</f>
        <v>798405</v>
      </c>
    </row>
    <row r="211" spans="1:14" ht="13.5" thickTop="1" x14ac:dyDescent="0.2">
      <c r="A211" s="2205" t="s">
        <v>1053</v>
      </c>
      <c r="B211" s="2206"/>
      <c r="C211" s="619"/>
      <c r="D211" s="619"/>
      <c r="E211" s="619"/>
      <c r="F211" s="619"/>
      <c r="G211" s="619"/>
      <c r="H211" s="619"/>
      <c r="I211" s="617"/>
      <c r="J211" s="617"/>
      <c r="K211" s="1706">
        <f>'Revenues 9-14'!F275-'Expenditures 15-22'!K210</f>
        <v>21056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1022</v>
      </c>
      <c r="B213" s="2201"/>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72402</v>
      </c>
      <c r="E215" s="617"/>
      <c r="F215" s="617"/>
      <c r="G215" s="617"/>
      <c r="H215" s="617"/>
      <c r="I215" s="617"/>
      <c r="J215" s="617"/>
      <c r="K215" s="1693">
        <f>D215</f>
        <v>72402</v>
      </c>
      <c r="L215" s="466">
        <v>81721</v>
      </c>
    </row>
    <row r="216" spans="1:14" x14ac:dyDescent="0.2">
      <c r="A216" s="1526" t="s">
        <v>165</v>
      </c>
      <c r="B216" s="615" t="s">
        <v>1024</v>
      </c>
      <c r="C216" s="617"/>
      <c r="D216" s="467">
        <v>3296</v>
      </c>
      <c r="E216" s="617"/>
      <c r="F216" s="617"/>
      <c r="G216" s="617"/>
      <c r="H216" s="617"/>
      <c r="I216" s="617"/>
      <c r="J216" s="617"/>
      <c r="K216" s="1693">
        <f t="shared" ref="K216:K228" si="19">D216</f>
        <v>3296</v>
      </c>
      <c r="L216" s="466">
        <v>2925</v>
      </c>
    </row>
    <row r="217" spans="1:14" x14ac:dyDescent="0.2">
      <c r="A217" s="1526" t="s">
        <v>166</v>
      </c>
      <c r="B217" s="615">
        <v>1200</v>
      </c>
      <c r="C217" s="617"/>
      <c r="D217" s="466">
        <v>103164</v>
      </c>
      <c r="E217" s="617"/>
      <c r="F217" s="617"/>
      <c r="G217" s="617"/>
      <c r="H217" s="617"/>
      <c r="I217" s="617"/>
      <c r="J217" s="617"/>
      <c r="K217" s="1693">
        <f t="shared" si="19"/>
        <v>103164</v>
      </c>
      <c r="L217" s="466">
        <v>105618</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6531</v>
      </c>
      <c r="E219" s="617"/>
      <c r="F219" s="617"/>
      <c r="G219" s="617"/>
      <c r="H219" s="617"/>
      <c r="I219" s="617"/>
      <c r="J219" s="617"/>
      <c r="K219" s="1693">
        <f t="shared" si="19"/>
        <v>6531</v>
      </c>
      <c r="L219" s="466">
        <v>5677</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2126</v>
      </c>
      <c r="E223" s="617"/>
      <c r="F223" s="617"/>
      <c r="G223" s="617"/>
      <c r="H223" s="617"/>
      <c r="I223" s="617"/>
      <c r="J223" s="617"/>
      <c r="K223" s="1693">
        <f t="shared" si="19"/>
        <v>2126</v>
      </c>
      <c r="L223" s="466">
        <v>1775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187519</v>
      </c>
      <c r="E229" s="617"/>
      <c r="F229" s="617"/>
      <c r="G229" s="617"/>
      <c r="H229" s="617"/>
      <c r="I229" s="617"/>
      <c r="J229" s="617"/>
      <c r="K229" s="1692">
        <f>SUM(K215:K228)</f>
        <v>187519</v>
      </c>
      <c r="L229" s="1692">
        <f>SUM(L215:L228)</f>
        <v>197716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1996</v>
      </c>
      <c r="E232" s="617"/>
      <c r="F232" s="617"/>
      <c r="G232" s="617"/>
      <c r="H232" s="617"/>
      <c r="I232" s="617"/>
      <c r="J232" s="617"/>
      <c r="K232" s="1693">
        <f t="shared" ref="K232:K237" si="20">D232</f>
        <v>1996</v>
      </c>
      <c r="L232" s="466">
        <v>2422</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17896</v>
      </c>
      <c r="E234" s="617"/>
      <c r="F234" s="617"/>
      <c r="G234" s="617"/>
      <c r="H234" s="617"/>
      <c r="I234" s="617"/>
      <c r="J234" s="617"/>
      <c r="K234" s="1693">
        <f t="shared" si="20"/>
        <v>17896</v>
      </c>
      <c r="L234" s="466">
        <v>16047</v>
      </c>
    </row>
    <row r="235" spans="1:12" x14ac:dyDescent="0.2">
      <c r="A235" s="1526" t="s">
        <v>208</v>
      </c>
      <c r="B235" s="615">
        <v>2140</v>
      </c>
      <c r="C235" s="617"/>
      <c r="D235" s="466">
        <v>947</v>
      </c>
      <c r="E235" s="617"/>
      <c r="F235" s="617"/>
      <c r="G235" s="617"/>
      <c r="H235" s="617"/>
      <c r="I235" s="617"/>
      <c r="J235" s="617"/>
      <c r="K235" s="1693">
        <f t="shared" si="20"/>
        <v>947</v>
      </c>
      <c r="L235" s="466">
        <v>1055</v>
      </c>
    </row>
    <row r="236" spans="1:12" x14ac:dyDescent="0.2">
      <c r="A236" s="1526" t="s">
        <v>209</v>
      </c>
      <c r="B236" s="615">
        <v>2150</v>
      </c>
      <c r="C236" s="617"/>
      <c r="D236" s="466">
        <v>2016</v>
      </c>
      <c r="E236" s="617"/>
      <c r="F236" s="617"/>
      <c r="G236" s="617"/>
      <c r="H236" s="617"/>
      <c r="I236" s="617"/>
      <c r="J236" s="617"/>
      <c r="K236" s="1693">
        <f t="shared" si="20"/>
        <v>2016</v>
      </c>
      <c r="L236" s="466">
        <v>2950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22855</v>
      </c>
      <c r="E238" s="617"/>
      <c r="F238" s="617"/>
      <c r="G238" s="617"/>
      <c r="H238" s="617"/>
      <c r="I238" s="617"/>
      <c r="J238" s="617"/>
      <c r="K238" s="1692">
        <f>SUM(K232:K237)</f>
        <v>22855</v>
      </c>
      <c r="L238" s="1692">
        <f>SUM(L232:L237)</f>
        <v>22474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1220</v>
      </c>
      <c r="E240" s="617"/>
      <c r="F240" s="617"/>
      <c r="G240" s="617"/>
      <c r="H240" s="617"/>
      <c r="I240" s="617"/>
      <c r="J240" s="617"/>
      <c r="K240" s="1694">
        <f>D240</f>
        <v>1220</v>
      </c>
      <c r="L240" s="481">
        <v>1485</v>
      </c>
    </row>
    <row r="241" spans="1:12" x14ac:dyDescent="0.2">
      <c r="A241" s="1526" t="s">
        <v>869</v>
      </c>
      <c r="B241" s="615">
        <v>2220</v>
      </c>
      <c r="C241" s="617"/>
      <c r="D241" s="466">
        <v>23699</v>
      </c>
      <c r="E241" s="617"/>
      <c r="F241" s="617"/>
      <c r="G241" s="617"/>
      <c r="H241" s="617"/>
      <c r="I241" s="617"/>
      <c r="J241" s="617"/>
      <c r="K241" s="1694">
        <f>D241</f>
        <v>23699</v>
      </c>
      <c r="L241" s="466">
        <v>22722</v>
      </c>
    </row>
    <row r="242" spans="1:12" x14ac:dyDescent="0.2">
      <c r="A242" s="1526" t="s">
        <v>870</v>
      </c>
      <c r="B242" s="615">
        <v>2230</v>
      </c>
      <c r="C242" s="617"/>
      <c r="D242" s="466">
        <v>8803</v>
      </c>
      <c r="E242" s="617"/>
      <c r="F242" s="617"/>
      <c r="G242" s="617"/>
      <c r="H242" s="617"/>
      <c r="I242" s="617"/>
      <c r="J242" s="617"/>
      <c r="K242" s="1694">
        <f>D242</f>
        <v>8803</v>
      </c>
      <c r="L242" s="466"/>
    </row>
    <row r="243" spans="1:12" ht="12.75" customHeight="1" thickBot="1" x14ac:dyDescent="0.25">
      <c r="A243" s="1716" t="s">
        <v>582</v>
      </c>
      <c r="B243" s="1717">
        <v>2200</v>
      </c>
      <c r="C243" s="617"/>
      <c r="D243" s="1692">
        <f>SUM(D240:D242)</f>
        <v>33722</v>
      </c>
      <c r="E243" s="617"/>
      <c r="F243" s="617"/>
      <c r="G243" s="617"/>
      <c r="H243" s="617"/>
      <c r="I243" s="617"/>
      <c r="J243" s="617"/>
      <c r="K243" s="1692">
        <f>SUM(K240:K242)</f>
        <v>33722</v>
      </c>
      <c r="L243" s="1692">
        <f>SUM(L240:L242)</f>
        <v>24207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v>8391</v>
      </c>
    </row>
    <row r="247" spans="1:12" x14ac:dyDescent="0.2">
      <c r="A247" s="1526" t="s">
        <v>873</v>
      </c>
      <c r="B247" s="615">
        <v>2330</v>
      </c>
      <c r="C247" s="617"/>
      <c r="D247" s="466">
        <v>1027</v>
      </c>
      <c r="E247" s="617"/>
      <c r="F247" s="617"/>
      <c r="G247" s="617"/>
      <c r="H247" s="617"/>
      <c r="I247" s="617"/>
      <c r="J247" s="617"/>
      <c r="K247" s="1694">
        <f t="shared" si="21"/>
        <v>1027</v>
      </c>
      <c r="L247" s="466">
        <v>1335</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1027</v>
      </c>
      <c r="E257" s="617"/>
      <c r="F257" s="617"/>
      <c r="G257" s="617"/>
      <c r="H257" s="617"/>
      <c r="I257" s="617"/>
      <c r="J257" s="617"/>
      <c r="K257" s="1692">
        <f>SUM(K245:K256)</f>
        <v>1027</v>
      </c>
      <c r="L257" s="1692">
        <f>SUM(L245:L256)</f>
        <v>9726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32480</v>
      </c>
      <c r="E259" s="617"/>
      <c r="F259" s="617"/>
      <c r="G259" s="617"/>
      <c r="H259" s="617"/>
      <c r="I259" s="617"/>
      <c r="J259" s="617"/>
      <c r="K259" s="1694">
        <f>D259</f>
        <v>32480</v>
      </c>
      <c r="L259" s="481">
        <v>33300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32480</v>
      </c>
      <c r="E261" s="617"/>
      <c r="F261" s="617"/>
      <c r="G261" s="617"/>
      <c r="H261" s="617"/>
      <c r="I261" s="617"/>
      <c r="J261" s="617"/>
      <c r="K261" s="1692">
        <f>SUM(K259:K260)</f>
        <v>32480</v>
      </c>
      <c r="L261" s="1692">
        <f>SUM(L259:L260)</f>
        <v>33300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27047</v>
      </c>
      <c r="E264" s="617"/>
      <c r="F264" s="617"/>
      <c r="G264" s="617"/>
      <c r="H264" s="617"/>
      <c r="I264" s="617"/>
      <c r="J264" s="617"/>
      <c r="K264" s="1694">
        <f t="shared" ref="K264:K269" si="22">D264</f>
        <v>27047</v>
      </c>
      <c r="L264" s="466">
        <v>31888</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66972</v>
      </c>
      <c r="E266" s="617"/>
      <c r="F266" s="617"/>
      <c r="G266" s="617"/>
      <c r="H266" s="617"/>
      <c r="I266" s="617"/>
      <c r="J266" s="617"/>
      <c r="K266" s="1694">
        <f t="shared" si="22"/>
        <v>66972</v>
      </c>
      <c r="L266" s="466">
        <v>64200</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20139</v>
      </c>
      <c r="E268" s="617"/>
      <c r="F268" s="617"/>
      <c r="G268" s="617"/>
      <c r="H268" s="617"/>
      <c r="I268" s="617"/>
      <c r="J268" s="617"/>
      <c r="K268" s="1694">
        <f t="shared" si="22"/>
        <v>20139</v>
      </c>
      <c r="L268" s="466">
        <v>21800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114158</v>
      </c>
      <c r="E270" s="617"/>
      <c r="F270" s="617"/>
      <c r="G270" s="617"/>
      <c r="H270" s="617"/>
      <c r="I270" s="617"/>
      <c r="J270" s="617"/>
      <c r="K270" s="1692">
        <f>SUM(K263:K269)</f>
        <v>114158</v>
      </c>
      <c r="L270" s="1692">
        <f>SUM(L263:L269)</f>
        <v>117888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204242</v>
      </c>
      <c r="E279" s="617"/>
      <c r="F279" s="617"/>
      <c r="G279" s="617"/>
      <c r="H279" s="617"/>
      <c r="I279" s="617"/>
      <c r="J279" s="617"/>
      <c r="K279" s="1699">
        <f>SUM(K238,K243,K257,K261,K270,K277,K278)</f>
        <v>204242</v>
      </c>
      <c r="L279" s="1699">
        <f>SUM(L238,L243,L257,L261,L270,L277,L278)</f>
        <v>207595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6" t="s">
        <v>526</v>
      </c>
      <c r="B295" s="2197"/>
      <c r="C295" s="617"/>
      <c r="D295" s="1692">
        <f>SUM(D229,D279,D280,D285)</f>
        <v>391761</v>
      </c>
      <c r="E295" s="617"/>
      <c r="F295" s="617"/>
      <c r="G295" s="617"/>
      <c r="H295" s="1692">
        <f>H293</f>
        <v>0</v>
      </c>
      <c r="I295" s="617"/>
      <c r="J295" s="617"/>
      <c r="K295" s="1692">
        <f>SUM(K229,K279,K280,K285,K293,K294)</f>
        <v>391761</v>
      </c>
      <c r="L295" s="1692">
        <f>SUM(L229,L279,L280,L285,L293,L294)</f>
        <v>405311</v>
      </c>
    </row>
    <row r="296" spans="1:14" ht="13.5" thickTop="1" x14ac:dyDescent="0.2">
      <c r="A296" s="2205" t="s">
        <v>1053</v>
      </c>
      <c r="B296" s="2206"/>
      <c r="C296" s="617"/>
      <c r="D296" s="619"/>
      <c r="E296" s="617"/>
      <c r="F296" s="617"/>
      <c r="G296" s="617"/>
      <c r="H296" s="688"/>
      <c r="I296" s="617"/>
      <c r="J296" s="617"/>
      <c r="K296" s="1706">
        <f>'Revenues 9-14'!G275-'Expenditures 15-22'!K295</f>
        <v>-63371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3" t="s">
        <v>295</v>
      </c>
      <c r="B312" s="2194"/>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9" t="s">
        <v>1053</v>
      </c>
      <c r="B313" s="2190"/>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954</v>
      </c>
      <c r="B317" s="2203"/>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91" t="s">
        <v>1053</v>
      </c>
      <c r="B343" s="2192"/>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1023</v>
      </c>
      <c r="B345" s="2182"/>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18714</v>
      </c>
      <c r="F348" s="466"/>
      <c r="G348" s="466">
        <v>96250</v>
      </c>
      <c r="H348" s="466"/>
      <c r="I348" s="467"/>
      <c r="J348" s="467"/>
      <c r="K348" s="1693">
        <f>SUM(C348:J348)</f>
        <v>114964</v>
      </c>
      <c r="L348" s="466">
        <v>114965</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18714</v>
      </c>
      <c r="F350" s="1692">
        <f t="shared" si="26"/>
        <v>0</v>
      </c>
      <c r="G350" s="1692">
        <f t="shared" si="26"/>
        <v>96250</v>
      </c>
      <c r="H350" s="1692">
        <f t="shared" si="26"/>
        <v>0</v>
      </c>
      <c r="I350" s="1692">
        <f t="shared" si="26"/>
        <v>0</v>
      </c>
      <c r="J350" s="1692">
        <f t="shared" si="26"/>
        <v>0</v>
      </c>
      <c r="K350" s="1692">
        <f t="shared" si="26"/>
        <v>114964</v>
      </c>
      <c r="L350" s="1692">
        <f t="shared" si="26"/>
        <v>114965</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18714</v>
      </c>
      <c r="F352" s="1692">
        <f t="shared" si="27"/>
        <v>0</v>
      </c>
      <c r="G352" s="1692">
        <f t="shared" si="27"/>
        <v>96250</v>
      </c>
      <c r="H352" s="1692">
        <f t="shared" si="27"/>
        <v>0</v>
      </c>
      <c r="I352" s="1692">
        <f t="shared" si="27"/>
        <v>0</v>
      </c>
      <c r="J352" s="1692">
        <f t="shared" si="27"/>
        <v>0</v>
      </c>
      <c r="K352" s="1692">
        <f t="shared" si="27"/>
        <v>114964</v>
      </c>
      <c r="L352" s="1692">
        <f t="shared" si="27"/>
        <v>114965</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18714</v>
      </c>
      <c r="F367" s="1692">
        <f t="shared" si="28"/>
        <v>0</v>
      </c>
      <c r="G367" s="1692">
        <f t="shared" si="28"/>
        <v>96250</v>
      </c>
      <c r="H367" s="1692">
        <f t="shared" si="28"/>
        <v>0</v>
      </c>
      <c r="I367" s="1692">
        <f t="shared" si="28"/>
        <v>0</v>
      </c>
      <c r="J367" s="1692">
        <f t="shared" si="28"/>
        <v>0</v>
      </c>
      <c r="K367" s="1692">
        <f t="shared" si="28"/>
        <v>114964</v>
      </c>
      <c r="L367" s="1692">
        <f t="shared" si="28"/>
        <v>114965</v>
      </c>
    </row>
    <row r="368" spans="1:14" ht="13.5" thickTop="1" x14ac:dyDescent="0.2">
      <c r="A368" s="2205" t="s">
        <v>1053</v>
      </c>
      <c r="B368" s="2206"/>
      <c r="C368" s="655"/>
      <c r="D368" s="655"/>
      <c r="E368" s="627"/>
      <c r="F368" s="627"/>
      <c r="G368" s="627"/>
      <c r="H368" s="627"/>
      <c r="I368" s="627"/>
      <c r="J368" s="624"/>
      <c r="K368" s="1693">
        <f>'Revenues 9-14'!K275-'Expenditures 15-22'!K367</f>
        <v>-111514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3" sqref="A12:H1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7" t="s">
        <v>1905</v>
      </c>
      <c r="B2" s="1550" t="s">
        <v>2037</v>
      </c>
      <c r="C2" s="715" t="s">
        <v>1910</v>
      </c>
      <c r="D2" s="715" t="s">
        <v>1911</v>
      </c>
      <c r="E2" s="715" t="s">
        <v>1912</v>
      </c>
      <c r="F2" s="715" t="s">
        <v>1913</v>
      </c>
    </row>
    <row r="3" spans="1:6" ht="12" customHeight="1" x14ac:dyDescent="0.2">
      <c r="A3" s="2208"/>
      <c r="B3" s="1547"/>
      <c r="C3" s="1548"/>
      <c r="D3" s="1549" t="s">
        <v>274</v>
      </c>
      <c r="E3" s="1548"/>
      <c r="F3" s="1549" t="s">
        <v>275</v>
      </c>
    </row>
    <row r="4" spans="1:6" ht="13.7" customHeight="1" x14ac:dyDescent="0.2">
      <c r="A4" s="716" t="s">
        <v>1217</v>
      </c>
      <c r="B4" s="1771">
        <f>'Revenues 9-14'!C5</f>
        <v>6080213</v>
      </c>
      <c r="C4" s="1546"/>
      <c r="D4" s="1774">
        <f>B4-C4</f>
        <v>6080213</v>
      </c>
      <c r="E4" s="1546">
        <v>5106355</v>
      </c>
      <c r="F4" s="1774">
        <f>E4-C4</f>
        <v>5106355</v>
      </c>
    </row>
    <row r="5" spans="1:6" ht="13.7" customHeight="1" x14ac:dyDescent="0.2">
      <c r="A5" s="716" t="s">
        <v>925</v>
      </c>
      <c r="B5" s="1772">
        <f>'Revenues 9-14'!D5</f>
        <v>1132322</v>
      </c>
      <c r="C5" s="585"/>
      <c r="D5" s="1775">
        <f t="shared" ref="D5:D18" si="0">B5-C5</f>
        <v>1132322</v>
      </c>
      <c r="E5" s="585">
        <v>1200171</v>
      </c>
      <c r="F5" s="1775">
        <f>E5-C5</f>
        <v>1200171</v>
      </c>
    </row>
    <row r="6" spans="1:6" ht="13.7" customHeight="1" x14ac:dyDescent="0.2">
      <c r="A6" s="716" t="s">
        <v>431</v>
      </c>
      <c r="B6" s="1772">
        <f>'Revenues 9-14'!E5</f>
        <v>339074</v>
      </c>
      <c r="C6" s="585"/>
      <c r="D6" s="1775">
        <f t="shared" si="0"/>
        <v>339074</v>
      </c>
      <c r="E6" s="585">
        <v>356506</v>
      </c>
      <c r="F6" s="1775">
        <f t="shared" ref="F6:F18" si="1">E6-C6</f>
        <v>356506</v>
      </c>
    </row>
    <row r="7" spans="1:6" ht="13.7" customHeight="1" x14ac:dyDescent="0.2">
      <c r="A7" s="716" t="s">
        <v>157</v>
      </c>
      <c r="B7" s="1772">
        <f>'Revenues 9-14'!F5</f>
        <v>238123</v>
      </c>
      <c r="C7" s="585"/>
      <c r="D7" s="1775">
        <f t="shared" si="0"/>
        <v>238123</v>
      </c>
      <c r="E7" s="585">
        <v>1270848</v>
      </c>
      <c r="F7" s="1775">
        <f t="shared" si="1"/>
        <v>1270848</v>
      </c>
    </row>
    <row r="8" spans="1:6" ht="13.7" customHeight="1" x14ac:dyDescent="0.2">
      <c r="A8" s="716" t="s">
        <v>1241</v>
      </c>
      <c r="B8" s="1772">
        <f>'Revenues 9-14'!G5</f>
        <v>9856</v>
      </c>
      <c r="C8" s="585"/>
      <c r="D8" s="1775">
        <f t="shared" si="0"/>
        <v>9856</v>
      </c>
      <c r="E8" s="585">
        <v>146928</v>
      </c>
      <c r="F8" s="1775">
        <f t="shared" si="1"/>
        <v>146928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96664</v>
      </c>
      <c r="C10" s="585"/>
      <c r="D10" s="1775">
        <f t="shared" si="0"/>
        <v>96664</v>
      </c>
      <c r="E10" s="585">
        <v>109248</v>
      </c>
      <c r="F10" s="1775">
        <f t="shared" si="1"/>
        <v>109248</v>
      </c>
    </row>
    <row r="11" spans="1:6" x14ac:dyDescent="0.2">
      <c r="A11" s="716" t="s">
        <v>429</v>
      </c>
      <c r="B11" s="1772">
        <f>'Revenues 9-14'!J5</f>
        <v>0</v>
      </c>
      <c r="C11" s="585"/>
      <c r="D11" s="1775">
        <f t="shared" si="0"/>
        <v>0</v>
      </c>
      <c r="E11" s="585">
        <v>223</v>
      </c>
      <c r="F11" s="1775">
        <f t="shared" si="1"/>
        <v>223</v>
      </c>
    </row>
    <row r="12" spans="1:6" ht="13.7" customHeight="1" x14ac:dyDescent="0.2">
      <c r="A12" s="716" t="s">
        <v>159</v>
      </c>
      <c r="B12" s="1772">
        <f>'Revenues 9-14'!K5</f>
        <v>0</v>
      </c>
      <c r="C12" s="585"/>
      <c r="D12" s="1775">
        <f t="shared" si="0"/>
        <v>0</v>
      </c>
      <c r="E12" s="585">
        <v>223</v>
      </c>
      <c r="F12" s="1775">
        <f t="shared" si="1"/>
        <v>223</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49081</v>
      </c>
      <c r="C14" s="585"/>
      <c r="D14" s="1775">
        <f t="shared" si="0"/>
        <v>49081</v>
      </c>
      <c r="E14" s="585">
        <v>49942</v>
      </c>
      <c r="F14" s="1775">
        <f t="shared" si="1"/>
        <v>49942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281421</v>
      </c>
      <c r="C16" s="585"/>
      <c r="D16" s="1775">
        <f t="shared" si="0"/>
        <v>281421</v>
      </c>
      <c r="E16" s="585">
        <v>215375</v>
      </c>
      <c r="F16" s="1775">
        <f t="shared" si="1"/>
        <v>215375</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8226754</v>
      </c>
      <c r="C19" s="1773">
        <f>SUM(C4:C18)</f>
        <v>0</v>
      </c>
      <c r="D19" s="1773">
        <f>SUM(D4:D18)</f>
        <v>8226754</v>
      </c>
      <c r="E19" s="1773">
        <f>SUM(E4:E18)</f>
        <v>8455819</v>
      </c>
      <c r="F19" s="1773">
        <f>SUM(F4:F18)</f>
        <v>8455819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13" sqref="A12:H1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650</v>
      </c>
      <c r="B1" s="2214"/>
      <c r="C1" s="722"/>
    </row>
    <row r="2" spans="1:7" ht="33.75" x14ac:dyDescent="0.2">
      <c r="A2" s="2222" t="s">
        <v>1905</v>
      </c>
      <c r="B2" s="2223"/>
      <c r="C2" s="1909" t="s">
        <v>2038</v>
      </c>
      <c r="D2" s="724" t="s">
        <v>2045</v>
      </c>
      <c r="E2" s="724" t="s">
        <v>2046</v>
      </c>
      <c r="F2" s="1909" t="s">
        <v>2039</v>
      </c>
    </row>
    <row r="3" spans="1:7" ht="15.75" customHeight="1" x14ac:dyDescent="0.2">
      <c r="A3" s="2226" t="s">
        <v>1176</v>
      </c>
      <c r="B3" s="2227"/>
      <c r="C3" s="2215"/>
      <c r="D3" s="2216"/>
      <c r="E3" s="2216"/>
      <c r="F3" s="2217"/>
    </row>
    <row r="4" spans="1:7" ht="12.75" customHeight="1" thickBot="1" x14ac:dyDescent="0.25">
      <c r="A4" s="2224" t="s">
        <v>651</v>
      </c>
      <c r="B4" s="2225"/>
      <c r="C4" s="581"/>
      <c r="D4" s="581"/>
      <c r="E4" s="581"/>
      <c r="F4" s="1777">
        <f>SUM(C4+D4)-E4</f>
        <v>0</v>
      </c>
    </row>
    <row r="5" spans="1:7" ht="15.75" customHeight="1" thickTop="1" x14ac:dyDescent="0.2">
      <c r="A5" s="2209" t="s">
        <v>1172</v>
      </c>
      <c r="B5" s="2210"/>
      <c r="C5" s="2218"/>
      <c r="D5" s="2219"/>
      <c r="E5" s="2219"/>
      <c r="F5" s="222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1" t="s">
        <v>652</v>
      </c>
      <c r="B15" s="2212"/>
      <c r="C15" s="1777">
        <f>SUM(C6:C14)</f>
        <v>0</v>
      </c>
      <c r="D15" s="1777">
        <f>SUM(D6:D14)</f>
        <v>0</v>
      </c>
      <c r="E15" s="1777">
        <f>SUM(E6:E14)</f>
        <v>0</v>
      </c>
      <c r="F15" s="1777">
        <f>SUM(F6:F14)</f>
        <v>0</v>
      </c>
      <c r="G15" s="552"/>
    </row>
    <row r="16" spans="1:7" s="202" customFormat="1" ht="15.75" customHeight="1" thickTop="1" x14ac:dyDescent="0.2">
      <c r="A16" s="2221" t="s">
        <v>1173</v>
      </c>
      <c r="B16" s="2210"/>
      <c r="C16" s="2218"/>
      <c r="D16" s="2219"/>
      <c r="E16" s="2219"/>
      <c r="F16" s="2220"/>
    </row>
    <row r="17" spans="1:11" ht="12.75" customHeight="1" thickBot="1" x14ac:dyDescent="0.25">
      <c r="A17" s="2234" t="s">
        <v>66</v>
      </c>
      <c r="B17" s="2235"/>
      <c r="C17" s="727"/>
      <c r="D17" s="585"/>
      <c r="E17" s="727"/>
      <c r="F17" s="1777">
        <f>SUM(C17+D17)-E17</f>
        <v>0</v>
      </c>
    </row>
    <row r="18" spans="1:11" ht="12.75" customHeight="1" thickTop="1" thickBot="1" x14ac:dyDescent="0.25">
      <c r="A18" s="2234" t="s">
        <v>6</v>
      </c>
      <c r="B18" s="2235"/>
      <c r="C18" s="727"/>
      <c r="D18" s="585"/>
      <c r="E18" s="727"/>
      <c r="F18" s="1777">
        <f>SUM(C18+D18)-E18</f>
        <v>0</v>
      </c>
    </row>
    <row r="19" spans="1:11" ht="12.75" customHeight="1" thickTop="1" thickBot="1" x14ac:dyDescent="0.25">
      <c r="A19" s="2234" t="s">
        <v>406</v>
      </c>
      <c r="B19" s="2235"/>
      <c r="C19" s="727"/>
      <c r="D19" s="585"/>
      <c r="E19" s="727"/>
      <c r="F19" s="1777">
        <f>SUM(C19+D19)-E19</f>
        <v>0</v>
      </c>
    </row>
    <row r="20" spans="1:11" ht="12.75" customHeight="1" thickTop="1" thickBot="1" x14ac:dyDescent="0.25">
      <c r="A20" s="2234" t="s">
        <v>468</v>
      </c>
      <c r="B20" s="2235"/>
      <c r="C20" s="727"/>
      <c r="D20" s="585"/>
      <c r="E20" s="727"/>
      <c r="F20" s="1777">
        <f>SUM(C20+D20)-E20</f>
        <v>0</v>
      </c>
    </row>
    <row r="21" spans="1:11" ht="14.25" thickTop="1" thickBot="1" x14ac:dyDescent="0.25">
      <c r="A21" s="2211" t="s">
        <v>653</v>
      </c>
      <c r="B21" s="2212"/>
      <c r="C21" s="1777">
        <f>SUM(C17:C20)</f>
        <v>0</v>
      </c>
      <c r="D21" s="1777">
        <f>SUM(D17:D20)</f>
        <v>0</v>
      </c>
      <c r="E21" s="1777">
        <f>SUM(E17:E20)</f>
        <v>0</v>
      </c>
      <c r="F21" s="1777">
        <f>SUM(F17:F20)</f>
        <v>0</v>
      </c>
      <c r="G21" s="552"/>
    </row>
    <row r="22" spans="1:11" ht="15.75" customHeight="1" thickTop="1" x14ac:dyDescent="0.2">
      <c r="A22" s="2236" t="s">
        <v>1174</v>
      </c>
      <c r="B22" s="2210"/>
      <c r="C22" s="2218"/>
      <c r="D22" s="2219"/>
      <c r="E22" s="2219"/>
      <c r="F22" s="2220"/>
    </row>
    <row r="23" spans="1:11" ht="13.5" thickBot="1" x14ac:dyDescent="0.25">
      <c r="A23" s="2224" t="s">
        <v>654</v>
      </c>
      <c r="B23" s="2225"/>
      <c r="C23" s="581"/>
      <c r="D23" s="581"/>
      <c r="E23" s="581"/>
      <c r="F23" s="1777">
        <f>SUM(C23+D23)-E23</f>
        <v>0</v>
      </c>
      <c r="G23" s="552"/>
    </row>
    <row r="24" spans="1:11" ht="15.75" customHeight="1" thickTop="1" x14ac:dyDescent="0.2">
      <c r="A24" s="2236" t="s">
        <v>1175</v>
      </c>
      <c r="B24" s="2210"/>
      <c r="C24" s="2218"/>
      <c r="D24" s="2219"/>
      <c r="E24" s="2219"/>
      <c r="F24" s="2220"/>
    </row>
    <row r="25" spans="1:11" ht="13.5" thickBot="1" x14ac:dyDescent="0.25">
      <c r="A25" s="2224" t="s">
        <v>655</v>
      </c>
      <c r="B25" s="2225"/>
      <c r="C25" s="581"/>
      <c r="D25" s="581"/>
      <c r="E25" s="581"/>
      <c r="F25" s="1777">
        <f>SUM(C25+D25)-E25</f>
        <v>0</v>
      </c>
      <c r="G25" s="552"/>
    </row>
    <row r="26" spans="1:11" ht="15.75" customHeight="1" thickTop="1" x14ac:dyDescent="0.2">
      <c r="A26" s="2209" t="s">
        <v>678</v>
      </c>
      <c r="B26" s="2210"/>
      <c r="C26" s="728"/>
      <c r="D26" s="728"/>
      <c r="E26" s="728"/>
      <c r="F26" s="729"/>
    </row>
    <row r="27" spans="1:11" ht="13.5" thickBot="1" x14ac:dyDescent="0.25">
      <c r="A27" s="2211" t="s">
        <v>1130</v>
      </c>
      <c r="B27" s="2212"/>
      <c r="C27" s="585"/>
      <c r="D27" s="585"/>
      <c r="E27" s="585"/>
      <c r="F27" s="1777">
        <f>SUM(C27+D27)-E27</f>
        <v>0</v>
      </c>
      <c r="G27" s="552"/>
    </row>
    <row r="28" spans="1:11" ht="7.5" customHeight="1" thickTop="1" x14ac:dyDescent="0.2">
      <c r="A28" s="594"/>
    </row>
    <row r="29" spans="1:11" ht="23.25" customHeight="1" x14ac:dyDescent="0.2">
      <c r="A29" s="2237" t="s">
        <v>603</v>
      </c>
      <c r="B29" s="2214"/>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2123</v>
      </c>
      <c r="B31" s="734">
        <v>38565</v>
      </c>
      <c r="C31" s="735">
        <v>2995000</v>
      </c>
      <c r="D31" s="736">
        <v>1</v>
      </c>
      <c r="E31" s="735">
        <v>1345000</v>
      </c>
      <c r="F31" s="735"/>
      <c r="G31" s="735"/>
      <c r="H31" s="735">
        <v>1345000</v>
      </c>
      <c r="I31" s="1778">
        <f>((E31+F31)-H31)+G31</f>
        <v>0</v>
      </c>
      <c r="J31" s="735"/>
      <c r="K31" s="737"/>
    </row>
    <row r="32" spans="1:11" ht="12" customHeight="1" x14ac:dyDescent="0.2">
      <c r="A32" s="733" t="s">
        <v>2099</v>
      </c>
      <c r="B32" s="734">
        <v>41490</v>
      </c>
      <c r="C32" s="735">
        <v>2520000</v>
      </c>
      <c r="D32" s="736">
        <v>1</v>
      </c>
      <c r="E32" s="735">
        <v>1000000</v>
      </c>
      <c r="F32" s="735"/>
      <c r="G32" s="735"/>
      <c r="H32" s="735"/>
      <c r="I32" s="1778">
        <f>((E32+F32)-H32)+G32</f>
        <v>1000000</v>
      </c>
      <c r="J32" s="735">
        <v>992938</v>
      </c>
      <c r="K32" s="737"/>
    </row>
    <row r="33" spans="1:11" ht="12" customHeight="1" x14ac:dyDescent="0.2">
      <c r="A33" s="733"/>
      <c r="B33" s="734"/>
      <c r="C33" s="735"/>
      <c r="D33" s="736">
        <v>4</v>
      </c>
      <c r="E33" s="735">
        <v>440000</v>
      </c>
      <c r="F33" s="735"/>
      <c r="G33" s="735"/>
      <c r="H33" s="735"/>
      <c r="I33" s="1778">
        <f t="shared" ref="I33:I48" si="1">((E33+F33)-H33)+G33</f>
        <v>440000</v>
      </c>
      <c r="J33" s="735">
        <v>440000</v>
      </c>
      <c r="K33" s="737"/>
    </row>
    <row r="34" spans="1:11" ht="12" customHeight="1" x14ac:dyDescent="0.2">
      <c r="A34" s="733"/>
      <c r="B34" s="734"/>
      <c r="C34" s="735"/>
      <c r="D34" s="736">
        <v>3</v>
      </c>
      <c r="E34" s="735">
        <v>1080000</v>
      </c>
      <c r="F34" s="735"/>
      <c r="G34" s="735"/>
      <c r="H34" s="735"/>
      <c r="I34" s="1778">
        <f t="shared" si="1"/>
        <v>1080000</v>
      </c>
      <c r="J34" s="735">
        <v>1080000</v>
      </c>
      <c r="K34" s="738"/>
    </row>
    <row r="35" spans="1:11" ht="12" customHeight="1" x14ac:dyDescent="0.2">
      <c r="A35" s="733" t="s">
        <v>2100</v>
      </c>
      <c r="B35" s="734">
        <v>43145</v>
      </c>
      <c r="C35" s="739">
        <v>1200000</v>
      </c>
      <c r="D35" s="736">
        <v>3</v>
      </c>
      <c r="E35" s="739"/>
      <c r="F35" s="739">
        <v>1200000</v>
      </c>
      <c r="G35" s="739"/>
      <c r="H35" s="739"/>
      <c r="I35" s="1778">
        <f t="shared" si="1"/>
        <v>1200000</v>
      </c>
      <c r="J35" s="739">
        <v>1200000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6715000</v>
      </c>
      <c r="D49" s="746"/>
      <c r="E49" s="1778">
        <f t="shared" ref="E49:J49" si="2">SUM(E31:E48)</f>
        <v>3865000</v>
      </c>
      <c r="F49" s="1778">
        <f t="shared" si="2"/>
        <v>1200000</v>
      </c>
      <c r="G49" s="1778">
        <f t="shared" si="2"/>
        <v>0</v>
      </c>
      <c r="H49" s="1778">
        <f t="shared" si="2"/>
        <v>1345000</v>
      </c>
      <c r="I49" s="1778">
        <f t="shared" si="2"/>
        <v>3720000</v>
      </c>
      <c r="J49" s="1778">
        <f t="shared" si="2"/>
        <v>3712938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8" t="s">
        <v>605</v>
      </c>
      <c r="C52" s="2229"/>
      <c r="D52" s="2229"/>
      <c r="E52" s="750" t="s">
        <v>900</v>
      </c>
      <c r="F52" s="2230"/>
      <c r="G52" s="2231"/>
      <c r="H52" s="737"/>
      <c r="I52" s="737"/>
      <c r="J52" s="747"/>
    </row>
    <row r="53" spans="1:11" ht="11.25" customHeight="1" x14ac:dyDescent="0.2">
      <c r="A53" s="751" t="s">
        <v>969</v>
      </c>
      <c r="B53" s="752" t="s">
        <v>1008</v>
      </c>
      <c r="C53" s="747"/>
      <c r="D53" s="738"/>
      <c r="E53" s="750" t="s">
        <v>518</v>
      </c>
      <c r="F53" s="2232"/>
      <c r="G53" s="2233"/>
      <c r="H53" s="737"/>
      <c r="I53" s="737"/>
      <c r="J53" s="747"/>
    </row>
    <row r="54" spans="1:11" ht="11.25" customHeight="1" x14ac:dyDescent="0.2">
      <c r="A54" s="753" t="s">
        <v>970</v>
      </c>
      <c r="B54" s="748" t="s">
        <v>1009</v>
      </c>
      <c r="C54" s="747"/>
      <c r="D54" s="738"/>
      <c r="E54" s="750" t="s">
        <v>519</v>
      </c>
      <c r="F54" s="2232"/>
      <c r="G54" s="223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110" zoomScaleNormal="110" workbookViewId="0">
      <selection activeCell="A13" sqref="A12: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911</v>
      </c>
      <c r="B1" s="2263"/>
      <c r="C1" s="2263"/>
      <c r="D1" s="2263"/>
      <c r="E1" s="2263"/>
      <c r="F1" s="2263"/>
      <c r="G1" s="2264"/>
      <c r="H1" s="1552"/>
      <c r="I1" s="761"/>
      <c r="J1" s="433"/>
    </row>
    <row r="2" spans="1:11" ht="26.25" x14ac:dyDescent="0.2">
      <c r="A2" s="2241" t="s">
        <v>1776</v>
      </c>
      <c r="B2" s="2242"/>
      <c r="C2" s="2242"/>
      <c r="D2" s="2242"/>
      <c r="E2" s="2243"/>
      <c r="F2" s="762" t="s">
        <v>960</v>
      </c>
      <c r="G2" s="763" t="s">
        <v>1773</v>
      </c>
      <c r="H2" s="763" t="s">
        <v>430</v>
      </c>
      <c r="I2" s="763" t="s">
        <v>1220</v>
      </c>
      <c r="J2" s="763" t="s">
        <v>1919</v>
      </c>
      <c r="K2" s="763" t="s">
        <v>140</v>
      </c>
    </row>
    <row r="3" spans="1:11" x14ac:dyDescent="0.2">
      <c r="A3" s="2244" t="s">
        <v>1698</v>
      </c>
      <c r="B3" s="2245"/>
      <c r="C3" s="2245"/>
      <c r="D3" s="2245"/>
      <c r="E3" s="2246"/>
      <c r="F3" s="764"/>
      <c r="G3" s="765"/>
      <c r="H3" s="765"/>
      <c r="I3" s="765"/>
      <c r="J3" s="766"/>
      <c r="K3" s="766"/>
    </row>
    <row r="4" spans="1:11" x14ac:dyDescent="0.2">
      <c r="A4" s="2247" t="s">
        <v>387</v>
      </c>
      <c r="B4" s="2248"/>
      <c r="C4" s="2248"/>
      <c r="D4" s="2248"/>
      <c r="E4" s="2229"/>
      <c r="F4" s="767"/>
      <c r="G4" s="768"/>
      <c r="H4" s="769"/>
      <c r="I4" s="768"/>
      <c r="J4" s="770"/>
      <c r="K4" s="770"/>
    </row>
    <row r="5" spans="1:11" x14ac:dyDescent="0.2">
      <c r="A5" s="2265" t="s">
        <v>1129</v>
      </c>
      <c r="B5" s="2238"/>
      <c r="C5" s="2238"/>
      <c r="D5" s="2238"/>
      <c r="E5" s="2266"/>
      <c r="F5" s="771" t="s">
        <v>903</v>
      </c>
      <c r="G5" s="772"/>
      <c r="H5" s="765">
        <v>49081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5" t="s">
        <v>1920</v>
      </c>
      <c r="B10" s="2238"/>
      <c r="C10" s="2238"/>
      <c r="D10" s="2238"/>
      <c r="E10" s="2267"/>
      <c r="F10" s="784" t="s">
        <v>917</v>
      </c>
      <c r="G10" s="783"/>
      <c r="H10" s="785"/>
      <c r="I10" s="765"/>
      <c r="J10" s="766"/>
      <c r="K10" s="766"/>
    </row>
    <row r="11" spans="1:11" x14ac:dyDescent="0.2">
      <c r="A11" s="2265" t="s">
        <v>162</v>
      </c>
      <c r="B11" s="2238"/>
      <c r="C11" s="2238"/>
      <c r="D11" s="2238"/>
      <c r="E11" s="2266"/>
      <c r="F11" s="771" t="s">
        <v>907</v>
      </c>
      <c r="G11" s="772"/>
      <c r="H11" s="765"/>
      <c r="I11" s="765"/>
      <c r="J11" s="766"/>
      <c r="K11" s="774"/>
    </row>
    <row r="12" spans="1:11" ht="13.5" thickBot="1" x14ac:dyDescent="0.25">
      <c r="A12" s="2255" t="s">
        <v>961</v>
      </c>
      <c r="B12" s="2256"/>
      <c r="C12" s="2256"/>
      <c r="D12" s="2256"/>
      <c r="E12" s="2257"/>
      <c r="F12" s="1779"/>
      <c r="G12" s="1780">
        <f>SUM(G5:G11)</f>
        <v>0</v>
      </c>
      <c r="H12" s="1780">
        <f>SUM(H5:H11)</f>
        <v>49081</v>
      </c>
      <c r="I12" s="1780">
        <f>SUM(I5:I11)</f>
        <v>0</v>
      </c>
      <c r="J12" s="1780">
        <f>SUM(J5:J11)</f>
        <v>0</v>
      </c>
      <c r="K12" s="1780">
        <f>SUM(K5:K11)</f>
        <v>0</v>
      </c>
    </row>
    <row r="13" spans="1:11" ht="13.5" thickTop="1" x14ac:dyDescent="0.2">
      <c r="A13" s="2249" t="s">
        <v>388</v>
      </c>
      <c r="B13" s="2250"/>
      <c r="C13" s="2250"/>
      <c r="D13" s="2250"/>
      <c r="E13" s="2251"/>
      <c r="F13" s="786"/>
      <c r="G13" s="787"/>
      <c r="H13" s="788"/>
      <c r="I13" s="789"/>
      <c r="J13" s="789"/>
      <c r="K13" s="789"/>
    </row>
    <row r="14" spans="1:11" x14ac:dyDescent="0.2">
      <c r="A14" s="2271" t="s">
        <v>476</v>
      </c>
      <c r="B14" s="2271"/>
      <c r="C14" s="2271"/>
      <c r="D14" s="2271"/>
      <c r="E14" s="2272"/>
      <c r="F14" s="790" t="s">
        <v>909</v>
      </c>
      <c r="G14" s="783"/>
      <c r="H14" s="765">
        <v>49081</v>
      </c>
      <c r="I14" s="772"/>
      <c r="J14" s="774"/>
      <c r="K14" s="766"/>
    </row>
    <row r="15" spans="1:11" x14ac:dyDescent="0.2">
      <c r="A15" s="2238" t="s">
        <v>4</v>
      </c>
      <c r="B15" s="2238"/>
      <c r="C15" s="2238"/>
      <c r="D15" s="2238"/>
      <c r="E15" s="2266"/>
      <c r="F15" s="790" t="s">
        <v>910</v>
      </c>
      <c r="G15" s="772"/>
      <c r="H15" s="765"/>
      <c r="I15" s="765"/>
      <c r="J15" s="766"/>
      <c r="K15" s="766"/>
    </row>
    <row r="16" spans="1:11" x14ac:dyDescent="0.2">
      <c r="A16" s="2238" t="s">
        <v>316</v>
      </c>
      <c r="B16" s="2238"/>
      <c r="C16" s="2238"/>
      <c r="D16" s="2238"/>
      <c r="E16" s="2266"/>
      <c r="F16" s="790" t="s">
        <v>980</v>
      </c>
      <c r="G16" s="773"/>
      <c r="H16" s="768"/>
      <c r="I16" s="768"/>
      <c r="J16" s="770"/>
      <c r="K16" s="770"/>
    </row>
    <row r="17" spans="1:11" x14ac:dyDescent="0.2">
      <c r="A17" s="2260" t="s">
        <v>992</v>
      </c>
      <c r="B17" s="2260"/>
      <c r="C17" s="2260"/>
      <c r="D17" s="2260"/>
      <c r="E17" s="2261"/>
      <c r="F17" s="791"/>
      <c r="G17" s="792"/>
      <c r="H17" s="793"/>
      <c r="I17" s="793"/>
      <c r="J17" s="794"/>
      <c r="K17" s="795"/>
    </row>
    <row r="18" spans="1:11" x14ac:dyDescent="0.2">
      <c r="A18" s="2252" t="s">
        <v>386</v>
      </c>
      <c r="B18" s="2253"/>
      <c r="C18" s="2253"/>
      <c r="D18" s="2253"/>
      <c r="E18" s="2254"/>
      <c r="F18" s="790" t="s">
        <v>989</v>
      </c>
      <c r="G18" s="783"/>
      <c r="H18" s="783"/>
      <c r="I18" s="783"/>
      <c r="J18" s="766"/>
      <c r="K18" s="796"/>
    </row>
    <row r="19" spans="1:11" ht="21.75" customHeight="1" x14ac:dyDescent="0.2">
      <c r="A19" s="2273" t="s">
        <v>1916</v>
      </c>
      <c r="B19" s="2273"/>
      <c r="C19" s="2273"/>
      <c r="D19" s="2273"/>
      <c r="E19" s="2274"/>
      <c r="F19" s="790" t="s">
        <v>990</v>
      </c>
      <c r="G19" s="783"/>
      <c r="H19" s="783"/>
      <c r="I19" s="783"/>
      <c r="J19" s="766"/>
      <c r="K19" s="796"/>
    </row>
    <row r="20" spans="1:11" x14ac:dyDescent="0.2">
      <c r="A20" s="2252" t="s">
        <v>1921</v>
      </c>
      <c r="B20" s="2253"/>
      <c r="C20" s="2253"/>
      <c r="D20" s="2253"/>
      <c r="E20" s="2254"/>
      <c r="F20" s="790" t="s">
        <v>991</v>
      </c>
      <c r="G20" s="783"/>
      <c r="H20" s="783"/>
      <c r="I20" s="783"/>
      <c r="J20" s="766"/>
      <c r="K20" s="796"/>
    </row>
    <row r="21" spans="1:11" ht="13.5" thickBot="1" x14ac:dyDescent="0.25">
      <c r="A21" s="2258" t="s">
        <v>659</v>
      </c>
      <c r="B21" s="2258"/>
      <c r="C21" s="2258"/>
      <c r="D21" s="2258"/>
      <c r="E21" s="2258"/>
      <c r="F21" s="1781"/>
      <c r="G21" s="793"/>
      <c r="H21" s="797"/>
      <c r="I21" s="797"/>
      <c r="J21" s="1782">
        <f>SUM(J18:J20)</f>
        <v>0</v>
      </c>
      <c r="K21" s="794"/>
    </row>
    <row r="22" spans="1:11" ht="13.5" thickTop="1" x14ac:dyDescent="0.2">
      <c r="A22" s="2238" t="s">
        <v>1922</v>
      </c>
      <c r="B22" s="2238"/>
      <c r="C22" s="2238"/>
      <c r="D22" s="2238"/>
      <c r="E22" s="2266"/>
      <c r="F22" s="790" t="s">
        <v>917</v>
      </c>
      <c r="G22" s="783"/>
      <c r="H22" s="765"/>
      <c r="I22" s="765"/>
      <c r="J22" s="798"/>
      <c r="K22" s="766"/>
    </row>
    <row r="23" spans="1:11" ht="13.5" thickBot="1" x14ac:dyDescent="0.25">
      <c r="A23" s="2259" t="s">
        <v>962</v>
      </c>
      <c r="B23" s="2258"/>
      <c r="C23" s="2258"/>
      <c r="D23" s="2258"/>
      <c r="E23" s="2258"/>
      <c r="F23" s="1783"/>
      <c r="G23" s="1780">
        <f>SUM(G14:G16,G21,G22)</f>
        <v>0</v>
      </c>
      <c r="H23" s="1780">
        <f>SUM(H14:H16,H21,H22)</f>
        <v>49081</v>
      </c>
      <c r="I23" s="1780">
        <f>SUM(I14:I16,I21,I22)</f>
        <v>0</v>
      </c>
      <c r="J23" s="1780">
        <f>SUM(J14:J16,J21,J22)</f>
        <v>0</v>
      </c>
      <c r="K23" s="1780">
        <f>SUM(K14:K16,K21,K22)</f>
        <v>0</v>
      </c>
    </row>
    <row r="24" spans="1:11" ht="14.25" thickTop="1" thickBot="1" x14ac:dyDescent="0.25">
      <c r="A24" s="2259" t="s">
        <v>2026</v>
      </c>
      <c r="B24" s="2258"/>
      <c r="C24" s="2258"/>
      <c r="D24" s="2258"/>
      <c r="E24" s="2258"/>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8"/>
      <c r="I31" s="2269"/>
      <c r="J31" s="2269"/>
      <c r="K31" s="2269"/>
    </row>
    <row r="32" spans="1:11" x14ac:dyDescent="0.2">
      <c r="A32" s="810"/>
      <c r="B32" s="237"/>
      <c r="C32" s="237"/>
      <c r="D32" s="237"/>
      <c r="E32" s="806"/>
      <c r="F32" s="812" t="s">
        <v>561</v>
      </c>
      <c r="G32" s="765"/>
      <c r="H32" s="2270"/>
      <c r="I32" s="2269"/>
      <c r="J32" s="2269"/>
      <c r="K32" s="2269"/>
    </row>
    <row r="33" spans="1:11" ht="1.5" customHeight="1" x14ac:dyDescent="0.2">
      <c r="A33" s="813" t="s">
        <v>1231</v>
      </c>
      <c r="B33" s="364"/>
      <c r="C33" s="364"/>
      <c r="D33" s="364"/>
      <c r="E33" s="364"/>
      <c r="F33" s="364"/>
      <c r="G33" s="814"/>
      <c r="H33" s="2270"/>
      <c r="I33" s="2269"/>
      <c r="J33" s="2269"/>
      <c r="K33" s="226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8" t="s">
        <v>562</v>
      </c>
      <c r="B41" s="2239"/>
      <c r="C41" s="2239"/>
      <c r="D41" s="2239"/>
      <c r="E41" s="2239"/>
      <c r="F41" s="224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A13" sqref="A12:H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2035</v>
      </c>
      <c r="B1" s="2278"/>
      <c r="C1" s="2279"/>
      <c r="D1" s="827"/>
      <c r="E1" s="828"/>
      <c r="F1" s="828"/>
      <c r="G1" s="829"/>
      <c r="H1" s="830"/>
      <c r="I1" s="831"/>
      <c r="J1" s="2275"/>
      <c r="K1" s="2276"/>
      <c r="L1" s="2276"/>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851570</v>
      </c>
      <c r="D5" s="842"/>
      <c r="E5" s="842"/>
      <c r="F5" s="1782">
        <f>(C5+D5)-E5</f>
        <v>851570</v>
      </c>
      <c r="G5" s="838"/>
      <c r="H5" s="843"/>
      <c r="I5" s="843"/>
      <c r="J5" s="843"/>
      <c r="K5" s="794"/>
      <c r="L5" s="1791">
        <f>F5-K5</f>
        <v>851570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24623192</v>
      </c>
      <c r="D8" s="845">
        <v>149708</v>
      </c>
      <c r="E8" s="845"/>
      <c r="F8" s="1782">
        <f>(C8+D8)-E8</f>
        <v>24772900</v>
      </c>
      <c r="G8" s="844">
        <v>50</v>
      </c>
      <c r="H8" s="766">
        <v>9558623</v>
      </c>
      <c r="I8" s="766">
        <v>494587</v>
      </c>
      <c r="J8" s="766"/>
      <c r="K8" s="1791">
        <f>(H8+I8)-J8</f>
        <v>10053210</v>
      </c>
      <c r="L8" s="1791">
        <f>F8-K8</f>
        <v>14719690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685154</v>
      </c>
      <c r="D10" s="847"/>
      <c r="E10" s="847"/>
      <c r="F10" s="1786">
        <f>(C10+D10)-E10</f>
        <v>685154</v>
      </c>
      <c r="G10" s="844">
        <v>20</v>
      </c>
      <c r="H10" s="848">
        <v>335945</v>
      </c>
      <c r="I10" s="848">
        <v>34258</v>
      </c>
      <c r="J10" s="848"/>
      <c r="K10" s="1791">
        <f>(H10+I10)-J10</f>
        <v>370203</v>
      </c>
      <c r="L10" s="1791">
        <f>F10-K10</f>
        <v>314951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2968484</v>
      </c>
      <c r="D12" s="845"/>
      <c r="E12" s="845"/>
      <c r="F12" s="1782">
        <f>(C12+D12)-E12</f>
        <v>2968484</v>
      </c>
      <c r="G12" s="844">
        <v>10</v>
      </c>
      <c r="H12" s="766">
        <v>2957556</v>
      </c>
      <c r="I12" s="766">
        <v>1175</v>
      </c>
      <c r="J12" s="766"/>
      <c r="K12" s="1791">
        <f>(H12+I12)-J12</f>
        <v>2958731</v>
      </c>
      <c r="L12" s="1791">
        <f>F12-K12</f>
        <v>9753</v>
      </c>
    </row>
    <row r="13" spans="1:14" ht="14.25" thickTop="1" thickBot="1" x14ac:dyDescent="0.25">
      <c r="A13" s="849" t="s">
        <v>1184</v>
      </c>
      <c r="B13" s="841">
        <v>252</v>
      </c>
      <c r="C13" s="845">
        <v>97502</v>
      </c>
      <c r="D13" s="845">
        <v>38418</v>
      </c>
      <c r="E13" s="845"/>
      <c r="F13" s="1782">
        <f>(C13+D13)-E13</f>
        <v>135920</v>
      </c>
      <c r="G13" s="844">
        <v>5</v>
      </c>
      <c r="H13" s="766">
        <v>52531</v>
      </c>
      <c r="I13" s="766">
        <v>22702</v>
      </c>
      <c r="J13" s="766"/>
      <c r="K13" s="1791">
        <f>(H13+I13)-J13</f>
        <v>75233</v>
      </c>
      <c r="L13" s="1791">
        <f>F13-K13</f>
        <v>60687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v>202495</v>
      </c>
      <c r="E15" s="845"/>
      <c r="F15" s="1782">
        <f>(C15+D15)-E15</f>
        <v>202495</v>
      </c>
      <c r="G15" s="850" t="s">
        <v>917</v>
      </c>
      <c r="H15" s="782"/>
      <c r="I15" s="782"/>
      <c r="J15" s="782"/>
      <c r="K15" s="782"/>
      <c r="L15" s="1791">
        <f>F15-K15</f>
        <v>202495</v>
      </c>
    </row>
    <row r="16" spans="1:14" ht="15" customHeight="1" thickTop="1" thickBot="1" x14ac:dyDescent="0.25">
      <c r="A16" s="1787" t="s">
        <v>664</v>
      </c>
      <c r="B16" s="1788">
        <v>200</v>
      </c>
      <c r="C16" s="1782">
        <f>SUM(C3,C5:C6,C8:C10,C12:C15)</f>
        <v>29225902</v>
      </c>
      <c r="D16" s="1782">
        <f>SUM(D3,D5:D6,D8:D10,D12:D15)</f>
        <v>390621</v>
      </c>
      <c r="E16" s="1782">
        <f>SUM(E3,E5:E6,E8:E10,E12:E15)</f>
        <v>0</v>
      </c>
      <c r="F16" s="1782">
        <f>SUM(F3,F5:F6,F8:F10,F12:F15)</f>
        <v>29616523</v>
      </c>
      <c r="G16" s="844"/>
      <c r="H16" s="1782">
        <f>SUM(H3,H6,H8:H10,H12:H14,)</f>
        <v>12904655</v>
      </c>
      <c r="I16" s="1782">
        <f>SUM(I3,I6,I8:I10,I12:I14,)</f>
        <v>552722</v>
      </c>
      <c r="J16" s="1782">
        <f>SUM(J3,J6,J8:J10,J12:J14,)</f>
        <v>0</v>
      </c>
      <c r="K16" s="1782">
        <f>(H16+I16)-J16</f>
        <v>13457377</v>
      </c>
      <c r="L16" s="1782">
        <f>F16-K16</f>
        <v>16159146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302085</v>
      </c>
      <c r="G17" s="838">
        <v>10</v>
      </c>
      <c r="H17" s="770"/>
      <c r="I17" s="1791">
        <f>F17/G17</f>
        <v>30208.5</v>
      </c>
      <c r="J17" s="770"/>
      <c r="K17" s="796"/>
      <c r="L17" s="796"/>
    </row>
    <row r="18" spans="1:12" ht="14.25" thickTop="1" thickBot="1" x14ac:dyDescent="0.25">
      <c r="A18" s="1789" t="s">
        <v>706</v>
      </c>
      <c r="B18" s="1790"/>
      <c r="C18" s="772"/>
      <c r="D18" s="772"/>
      <c r="E18" s="772"/>
      <c r="F18" s="851"/>
      <c r="G18" s="852"/>
      <c r="H18" s="774"/>
      <c r="I18" s="1782">
        <f>SUM(I16,I17)</f>
        <v>582930.5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9" activePane="bottomLeft" state="frozen"/>
      <selection activeCell="A13" sqref="A12:H15"/>
      <selection pane="bottomLeft" activeCell="A13" sqref="A12:H1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3" t="s">
        <v>1699</v>
      </c>
      <c r="B1" s="2284"/>
      <c r="C1" s="2284"/>
      <c r="D1" s="2284"/>
      <c r="E1" s="2284"/>
      <c r="F1" s="2285"/>
      <c r="G1" s="856"/>
    </row>
    <row r="2" spans="1:7" ht="15" customHeight="1" thickBot="1" x14ac:dyDescent="0.25">
      <c r="A2" s="2286" t="s">
        <v>498</v>
      </c>
      <c r="B2" s="2287"/>
      <c r="C2" s="2287"/>
      <c r="D2" s="2287"/>
      <c r="E2" s="2287"/>
      <c r="F2" s="228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9"/>
      <c r="B5" s="2290"/>
      <c r="C5" s="2290"/>
      <c r="D5" s="2290"/>
      <c r="E5" s="2290"/>
      <c r="F5" s="2290"/>
    </row>
    <row r="6" spans="1:7" ht="13.5" customHeight="1" thickBot="1" x14ac:dyDescent="0.25">
      <c r="A6" s="2280" t="s">
        <v>1166</v>
      </c>
      <c r="B6" s="2281"/>
      <c r="C6" s="2281"/>
      <c r="D6" s="2281"/>
      <c r="E6" s="2281"/>
      <c r="F6" s="228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11751741</v>
      </c>
      <c r="G8" s="866"/>
    </row>
    <row r="9" spans="1:7" x14ac:dyDescent="0.2">
      <c r="A9" s="870" t="s">
        <v>480</v>
      </c>
      <c r="B9" s="871" t="s">
        <v>1989</v>
      </c>
      <c r="C9" s="872"/>
      <c r="D9" s="870" t="s">
        <v>522</v>
      </c>
      <c r="E9" s="869"/>
      <c r="F9" s="1935">
        <f>'Expenditures 15-22'!K151</f>
        <v>1349690</v>
      </c>
      <c r="G9" s="873"/>
    </row>
    <row r="10" spans="1:7" x14ac:dyDescent="0.2">
      <c r="A10" s="870" t="s">
        <v>520</v>
      </c>
      <c r="B10" s="871" t="s">
        <v>1990</v>
      </c>
      <c r="C10" s="872"/>
      <c r="D10" s="870" t="s">
        <v>522</v>
      </c>
      <c r="E10" s="869"/>
      <c r="F10" s="1935">
        <f>'Expenditures 15-22'!K174</f>
        <v>1517640</v>
      </c>
      <c r="G10" s="873"/>
    </row>
    <row r="11" spans="1:7" x14ac:dyDescent="0.2">
      <c r="A11" s="870" t="s">
        <v>481</v>
      </c>
      <c r="B11" s="871" t="s">
        <v>1991</v>
      </c>
      <c r="C11" s="872"/>
      <c r="D11" s="870" t="s">
        <v>522</v>
      </c>
      <c r="E11" s="869"/>
      <c r="F11" s="1935">
        <f>'Expenditures 15-22'!K210</f>
        <v>802918</v>
      </c>
      <c r="G11" s="873"/>
    </row>
    <row r="12" spans="1:7" x14ac:dyDescent="0.2">
      <c r="A12" s="870" t="s">
        <v>482</v>
      </c>
      <c r="B12" s="871" t="s">
        <v>1992</v>
      </c>
      <c r="C12" s="872"/>
      <c r="D12" s="870" t="s">
        <v>522</v>
      </c>
      <c r="E12" s="869"/>
      <c r="F12" s="1935">
        <f>'Expenditures 15-22'!K295</f>
        <v>391761</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15813750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104525</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709</v>
      </c>
      <c r="G52" s="866"/>
    </row>
    <row r="53" spans="1:7" x14ac:dyDescent="0.2">
      <c r="A53" s="870" t="s">
        <v>479</v>
      </c>
      <c r="B53" s="870" t="s">
        <v>1551</v>
      </c>
      <c r="C53" s="890">
        <f>'Expenditures 15-22'!B102</f>
        <v>4000</v>
      </c>
      <c r="D53" s="889" t="str">
        <f>'Expenditures 15-22'!A102</f>
        <v>Total Payments to Other Govt Units</v>
      </c>
      <c r="E53" s="869"/>
      <c r="F53" s="1939">
        <f>'Expenditures 15-22'!K102</f>
        <v>863107</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258755</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297658</v>
      </c>
      <c r="G58" s="866"/>
    </row>
    <row r="59" spans="1:7" x14ac:dyDescent="0.2">
      <c r="A59" s="894" t="s">
        <v>480</v>
      </c>
      <c r="B59" s="857" t="s">
        <v>1996</v>
      </c>
      <c r="C59" s="895" t="s">
        <v>1039</v>
      </c>
      <c r="D59" s="857" t="s">
        <v>309</v>
      </c>
      <c r="F59" s="1942">
        <f>'Expenditures 15-22'!I151</f>
        <v>43330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1345000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3296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2916380</v>
      </c>
      <c r="G76" s="866"/>
    </row>
    <row r="77" spans="1:8" s="894" customFormat="1" ht="12" customHeight="1" thickTop="1" thickBot="1" x14ac:dyDescent="0.25">
      <c r="A77" s="1801"/>
      <c r="B77" s="1798"/>
      <c r="C77" s="1794"/>
      <c r="D77" s="1799" t="s">
        <v>2012</v>
      </c>
      <c r="E77" s="1796"/>
      <c r="F77" s="1802">
        <f>(F14-F76)</f>
        <v>12897370</v>
      </c>
      <c r="G77" s="870"/>
    </row>
    <row r="78" spans="1:8" s="894" customFormat="1" ht="12" customHeight="1" thickTop="1" x14ac:dyDescent="0.2">
      <c r="A78" s="1803"/>
      <c r="B78" s="1798"/>
      <c r="C78" s="1794"/>
      <c r="D78" s="1799" t="s">
        <v>2059</v>
      </c>
      <c r="E78" s="1796"/>
      <c r="F78" s="899">
        <v>1432.5</v>
      </c>
      <c r="G78" s="900"/>
      <c r="H78" s="870"/>
    </row>
    <row r="79" spans="1:8" s="894" customFormat="1" ht="12" customHeight="1" thickBot="1" x14ac:dyDescent="0.25">
      <c r="A79" s="1804"/>
      <c r="B79" s="1798"/>
      <c r="C79" s="1794"/>
      <c r="D79" s="1799" t="s">
        <v>2013</v>
      </c>
      <c r="E79" s="1796" t="s">
        <v>1015</v>
      </c>
      <c r="F79" s="1805">
        <f>IF(F78&gt;0,F77/F78," Complete Line 78")</f>
        <v>9003.3996509598601</v>
      </c>
      <c r="G79" s="870"/>
    </row>
    <row r="80" spans="1:8" s="894" customFormat="1" ht="8.25" customHeight="1" thickTop="1" x14ac:dyDescent="0.2">
      <c r="A80" s="901"/>
      <c r="B80" s="870"/>
      <c r="C80" s="872"/>
      <c r="D80" s="902"/>
      <c r="E80" s="869"/>
      <c r="F80" s="903"/>
      <c r="G80" s="870"/>
    </row>
    <row r="81" spans="1:7" s="894" customFormat="1" ht="12" thickBot="1" x14ac:dyDescent="0.25">
      <c r="A81" s="2280" t="s">
        <v>1167</v>
      </c>
      <c r="B81" s="2281"/>
      <c r="C81" s="2281"/>
      <c r="D81" s="2281"/>
      <c r="E81" s="2281"/>
      <c r="F81" s="228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248444</v>
      </c>
      <c r="G94" s="913"/>
    </row>
    <row r="95" spans="1:7" x14ac:dyDescent="0.2">
      <c r="A95" s="909" t="s">
        <v>142</v>
      </c>
      <c r="B95" s="909" t="s">
        <v>177</v>
      </c>
      <c r="C95" s="911">
        <v>1700</v>
      </c>
      <c r="D95" s="919" t="str">
        <f>'Revenues 9-14'!A82</f>
        <v>Total District/School Activity Income</v>
      </c>
      <c r="E95" s="907"/>
      <c r="F95" s="1811">
        <f>SUM('Revenues 9-14'!C82,'Revenues 9-14'!D82)</f>
        <v>156633</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121</v>
      </c>
      <c r="G100" s="913"/>
    </row>
    <row r="101" spans="1:7" x14ac:dyDescent="0.2">
      <c r="A101" s="909" t="s">
        <v>142</v>
      </c>
      <c r="B101" s="909" t="s">
        <v>183</v>
      </c>
      <c r="C101" s="911">
        <f>'Revenues 9-14'!B95</f>
        <v>1910</v>
      </c>
      <c r="D101" s="912" t="str">
        <f>'Revenues 9-14'!A95</f>
        <v>Rentals</v>
      </c>
      <c r="E101" s="907"/>
      <c r="F101" s="1811">
        <f>SUM('Revenues 9-14'!C95:D95)</f>
        <v>18320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304159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2292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550203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199376</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114482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228376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5435</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39362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14716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101340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1983259</v>
      </c>
    </row>
    <row r="179" spans="1:7" ht="12" customHeight="1" x14ac:dyDescent="0.2">
      <c r="A179" s="1792"/>
      <c r="B179" s="1806"/>
      <c r="C179" s="1807"/>
      <c r="D179" s="1808" t="s">
        <v>2015</v>
      </c>
      <c r="E179" s="1809"/>
      <c r="F179" s="1811">
        <f>'PCTC-OEPP 27-28'!F77-F178</f>
        <v>10914111</v>
      </c>
    </row>
    <row r="180" spans="1:7" ht="12" customHeight="1" x14ac:dyDescent="0.2">
      <c r="A180" s="1792"/>
      <c r="B180" s="1806"/>
      <c r="C180" s="1807"/>
      <c r="D180" s="1808" t="s">
        <v>1924</v>
      </c>
      <c r="E180" s="1809"/>
      <c r="F180" s="1811">
        <f>'Cap Outlay Deprec 26'!I18</f>
        <v>582930.5</v>
      </c>
    </row>
    <row r="181" spans="1:7" ht="12" customHeight="1" x14ac:dyDescent="0.2">
      <c r="A181" s="1792"/>
      <c r="B181" s="1806"/>
      <c r="C181" s="1807"/>
      <c r="D181" s="1808" t="s">
        <v>2016</v>
      </c>
      <c r="E181" s="1809"/>
      <c r="F181" s="1811">
        <f>F179+F180</f>
        <v>11497041.5</v>
      </c>
    </row>
    <row r="182" spans="1:7" ht="12" customHeight="1" x14ac:dyDescent="0.2">
      <c r="A182" s="1792"/>
      <c r="B182" s="1812"/>
      <c r="C182" s="1807"/>
      <c r="D182" s="1808" t="str">
        <f>D78</f>
        <v>9 Month ADA from District Average Daily Attendance/Prior General State Aid Inquiry 2017-2018</v>
      </c>
      <c r="E182" s="1809"/>
      <c r="F182" s="1813">
        <f>'PCTC-OEPP 27-28'!F78</f>
        <v>1432.5</v>
      </c>
      <c r="G182" s="931"/>
    </row>
    <row r="183" spans="1:7" ht="12" customHeight="1" thickBot="1" x14ac:dyDescent="0.25">
      <c r="A183" s="1792"/>
      <c r="B183" s="1812"/>
      <c r="C183" s="1807"/>
      <c r="D183" s="1808" t="s">
        <v>2017</v>
      </c>
      <c r="E183" s="1809" t="s">
        <v>1626</v>
      </c>
      <c r="F183" s="1814">
        <f>F181/F182</f>
        <v>8025.8579406631761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3" sqref="A12:H15"/>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4" t="s">
        <v>1925</v>
      </c>
      <c r="B4" s="2295"/>
      <c r="C4" s="2295"/>
      <c r="D4" s="2295"/>
      <c r="E4" s="2295"/>
      <c r="F4" s="2295"/>
      <c r="G4" s="2296"/>
    </row>
    <row r="5" spans="1:7" x14ac:dyDescent="0.25">
      <c r="A5" s="2297"/>
      <c r="B5" s="2298"/>
      <c r="C5" s="2298"/>
      <c r="D5" s="2298"/>
      <c r="E5" s="2298"/>
      <c r="F5" s="2298"/>
      <c r="G5" s="2299"/>
    </row>
    <row r="6" spans="1:7" ht="18.75" x14ac:dyDescent="0.25">
      <c r="A6" s="1556" t="s">
        <v>1926</v>
      </c>
      <c r="B6" s="1557"/>
      <c r="C6" s="1557"/>
      <c r="D6" s="1557"/>
      <c r="E6" s="1557"/>
      <c r="F6" s="1557"/>
      <c r="G6" s="1558"/>
    </row>
    <row r="7" spans="1:7" ht="30.75" customHeight="1" x14ac:dyDescent="0.25">
      <c r="A7" s="2300" t="s">
        <v>2075</v>
      </c>
      <c r="B7" s="2301"/>
      <c r="C7" s="2301"/>
      <c r="D7" s="2301"/>
      <c r="E7" s="2301"/>
      <c r="F7" s="2301"/>
      <c r="G7" s="2302"/>
    </row>
    <row r="8" spans="1:7" ht="15.75" customHeight="1" x14ac:dyDescent="0.25">
      <c r="A8" s="2303" t="s">
        <v>2024</v>
      </c>
      <c r="B8" s="2304"/>
      <c r="C8" s="2304"/>
      <c r="D8" s="2304"/>
      <c r="E8" s="2304"/>
      <c r="F8" s="2304"/>
      <c r="G8" s="2305"/>
    </row>
    <row r="9" spans="1:7" ht="35.25" customHeight="1" x14ac:dyDescent="0.25">
      <c r="A9" s="2300" t="s">
        <v>2023</v>
      </c>
      <c r="B9" s="2301"/>
      <c r="C9" s="2301"/>
      <c r="D9" s="2301"/>
      <c r="E9" s="2301"/>
      <c r="F9" s="2301"/>
      <c r="G9" s="2302"/>
    </row>
    <row r="10" spans="1:7" ht="15" customHeight="1" x14ac:dyDescent="0.25">
      <c r="A10" s="1559" t="s">
        <v>1927</v>
      </c>
      <c r="B10" s="1560"/>
      <c r="C10" s="1560"/>
      <c r="D10" s="1560"/>
      <c r="E10" s="1560"/>
      <c r="F10" s="1560"/>
      <c r="G10" s="1561"/>
    </row>
    <row r="11" spans="1:7" ht="17.25" customHeight="1" x14ac:dyDescent="0.25">
      <c r="A11" s="2300" t="s">
        <v>1941</v>
      </c>
      <c r="B11" s="2301"/>
      <c r="C11" s="2301"/>
      <c r="D11" s="2301"/>
      <c r="E11" s="2301"/>
      <c r="F11" s="2301"/>
      <c r="G11" s="2302"/>
    </row>
    <row r="12" spans="1:7" ht="15" customHeight="1" x14ac:dyDescent="0.25">
      <c r="A12" s="1559" t="s">
        <v>1932</v>
      </c>
      <c r="B12" s="1560"/>
      <c r="C12" s="1560"/>
      <c r="D12" s="1560"/>
      <c r="E12" s="1560"/>
      <c r="F12" s="1560"/>
      <c r="G12" s="1561"/>
    </row>
    <row r="13" spans="1:7" ht="32.25" customHeight="1" x14ac:dyDescent="0.25">
      <c r="A13" s="2291" t="s">
        <v>1933</v>
      </c>
      <c r="B13" s="2292"/>
      <c r="C13" s="2292"/>
      <c r="D13" s="2292"/>
      <c r="E13" s="2292"/>
      <c r="F13" s="2292"/>
      <c r="G13" s="2293"/>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4" t="s">
        <v>2124</v>
      </c>
      <c r="B17" s="1956" t="s">
        <v>2101</v>
      </c>
      <c r="C17" s="1957" t="s">
        <v>2102</v>
      </c>
      <c r="D17" s="1867">
        <v>601508</v>
      </c>
      <c r="E17" s="1562">
        <f t="shared" ref="E17:E141" si="1">IF(D17&lt;=25000,D17,IF(D17&gt;25000,25000,0))</f>
        <v>25000</v>
      </c>
      <c r="F17" s="1815">
        <f t="shared" si="0"/>
        <v>25000</v>
      </c>
      <c r="G17" s="1816">
        <f>IF(F17=0,0,D17-F17)</f>
        <v>576508</v>
      </c>
      <c r="H17" s="1669"/>
    </row>
    <row r="18" spans="1:8" x14ac:dyDescent="0.25">
      <c r="A18" s="1964" t="s">
        <v>2124</v>
      </c>
      <c r="B18" s="1956" t="s">
        <v>2101</v>
      </c>
      <c r="C18" s="1957" t="s">
        <v>2102</v>
      </c>
      <c r="D18" s="1867">
        <v>145861</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120861</v>
      </c>
    </row>
    <row r="19" spans="1:8" x14ac:dyDescent="0.25">
      <c r="A19" s="1964" t="s">
        <v>2124</v>
      </c>
      <c r="B19" s="1956" t="s">
        <v>2101</v>
      </c>
      <c r="C19" s="1957" t="s">
        <v>2102</v>
      </c>
      <c r="D19" s="1867">
        <v>30026</v>
      </c>
      <c r="E19" s="1562">
        <f t="shared" si="2"/>
        <v>25000</v>
      </c>
      <c r="F19" s="1815">
        <f t="shared" si="3"/>
        <v>25000</v>
      </c>
      <c r="G19" s="1816">
        <f t="shared" si="4"/>
        <v>5026</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777395</v>
      </c>
      <c r="E141" s="1563">
        <f t="shared" si="1"/>
        <v>25000</v>
      </c>
      <c r="F141" s="1817">
        <f>SUM(F17:F140)</f>
        <v>75000</v>
      </c>
      <c r="G141" s="1818">
        <f>SUM(G17:G140)</f>
        <v>702395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3" sqref="A12:H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6" t="s">
        <v>1778</v>
      </c>
      <c r="B5" s="2307"/>
      <c r="C5" s="2307"/>
      <c r="D5" s="2307"/>
      <c r="E5" s="2307"/>
      <c r="F5" s="2307"/>
      <c r="G5" s="230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199376</v>
      </c>
      <c r="F10" s="975"/>
      <c r="G10" s="976"/>
      <c r="H10" s="162"/>
      <c r="I10" s="162"/>
    </row>
    <row r="11" spans="1:9" s="669" customFormat="1" ht="22.5" customHeight="1" x14ac:dyDescent="0.2">
      <c r="A11" s="2311" t="s">
        <v>1945</v>
      </c>
      <c r="B11" s="2312"/>
      <c r="C11" s="2312"/>
      <c r="D11" s="2313"/>
      <c r="E11" s="978">
        <v>46143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8009883</v>
      </c>
      <c r="F19" s="1822"/>
      <c r="G19" s="1824">
        <f>'Expenditures 15-22'!K33-SUM('Expenditures 15-22'!G33,'Expenditures 15-22'!I33)+'Expenditures 15-22'!D229</f>
        <v>8009883</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616255</v>
      </c>
      <c r="F21" s="1825"/>
      <c r="G21" s="1828">
        <f>'Expenditures 15-22'!K42-SUM('Expenditures 15-22'!G42,'Expenditures 15-22'!I42)+'Expenditures 15-22'!K120-SUM('Expenditures 15-22'!G120,'Expenditures 15-22'!I120)+'Expenditures 15-22'!K180-SUM('Expenditures 15-22'!G180,'Expenditures 15-22'!I180)+'Expenditures 15-22'!D238</f>
        <v>616255</v>
      </c>
      <c r="H21" s="988"/>
      <c r="I21" s="162"/>
    </row>
    <row r="22" spans="1:9" s="669" customFormat="1" ht="12" customHeight="1" x14ac:dyDescent="0.2">
      <c r="A22" s="995" t="s">
        <v>585</v>
      </c>
      <c r="B22" s="996"/>
      <c r="C22" s="994">
        <v>2200</v>
      </c>
      <c r="D22" s="1825"/>
      <c r="E22" s="1827">
        <f>'Expenditures 15-22'!K47-SUM('Expenditures 15-22'!G47,'Expenditures 15-22'!I47)+'Expenditures 15-22'!D243</f>
        <v>453260</v>
      </c>
      <c r="F22" s="1825"/>
      <c r="G22" s="1828">
        <f>'Expenditures 15-22'!K47-SUM('Expenditures 15-22'!G47,'Expenditures 15-22'!I47)+'Expenditures 15-22'!D243</f>
        <v>453260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507088</v>
      </c>
      <c r="F23" s="1825"/>
      <c r="G23" s="1827">
        <f>'Expenditures 15-22'!K53-SUM('Expenditures 15-22'!G53,'Expenditures 15-22'!I53)+'Expenditures 15-22'!D257+'Expenditures 15-22'!K330-SUM('Expenditures 15-22'!G330,'Expenditures 15-22'!I330)</f>
        <v>507088</v>
      </c>
      <c r="H23" s="988"/>
      <c r="I23" s="162"/>
    </row>
    <row r="24" spans="1:9" s="669" customFormat="1" ht="12" customHeight="1" x14ac:dyDescent="0.2">
      <c r="A24" s="995" t="s">
        <v>587</v>
      </c>
      <c r="B24" s="996"/>
      <c r="C24" s="994">
        <v>2400</v>
      </c>
      <c r="D24" s="1825"/>
      <c r="E24" s="1827">
        <f>'Expenditures 15-22'!K57-SUM('Expenditures 15-22'!G57,'Expenditures 15-22'!I57)+'Expenditures 15-22'!D261</f>
        <v>738451</v>
      </c>
      <c r="F24" s="1825"/>
      <c r="G24" s="1828">
        <f>'Expenditures 15-22'!K57-SUM('Expenditures 15-22'!G57,'Expenditures 15-22'!I57)+'Expenditures 15-22'!D261</f>
        <v>738451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186090</v>
      </c>
      <c r="E27" s="1827">
        <f>E8</f>
        <v>0</v>
      </c>
      <c r="F27" s="1827">
        <f>'Expenditures 15-22'!K60-SUM('Expenditures 15-22'!G60,'Expenditures 15-22'!I60)+'Expenditures 15-22'!D264-E8</f>
        <v>186090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1101258</v>
      </c>
      <c r="F28" s="1829">
        <f>'Expenditures 15-22'!K61-SUM('Expenditures 15-22'!G61,'Expenditures 15-22'!I61)+'Expenditures 15-22'!K124-SUM('Expenditures 15-22'!G124,'Expenditures 15-22'!I124)+'Expenditures 15-22'!D266-E9</f>
        <v>1101258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803143</v>
      </c>
      <c r="F29" s="1825"/>
      <c r="G29" s="1828">
        <f>'Expenditures 15-22'!K62-SUM('Expenditures 15-22'!G62,'Expenditures 15-22'!I62)+'Expenditures 15-22'!K125-SUM('Expenditures 15-22'!G125,'Expenditures 15-22'!I125)+'Expenditures 15-22'!K182-SUM('Expenditures 15-22'!G182,'Expenditures 15-22'!I182)+'Expenditures 15-22'!D267</f>
        <v>803143</v>
      </c>
      <c r="H29" s="986"/>
    </row>
    <row r="30" spans="1:9" ht="12" customHeight="1" x14ac:dyDescent="0.2">
      <c r="A30" s="995" t="s">
        <v>102</v>
      </c>
      <c r="B30" s="998"/>
      <c r="C30" s="994">
        <v>2560</v>
      </c>
      <c r="D30" s="1825"/>
      <c r="E30" s="1827">
        <f>'Expenditures 15-22'!K63-SUM('Expenditures 15-22'!G63,'Expenditures 15-22'!I63)+'Expenditures 15-22'!D268-E10</f>
        <v>156219</v>
      </c>
      <c r="F30" s="1825"/>
      <c r="G30" s="1827">
        <f>'Expenditures 15-22'!K63-SUM('Expenditures 15-22'!G63,'Expenditures 15-22'!I63)+'Expenditures 15-22'!D268-E10</f>
        <v>156219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61528</v>
      </c>
      <c r="F38" s="1825"/>
      <c r="G38" s="1827">
        <f>'Expenditures 15-22'!K73-SUM('Expenditures 15-22'!G73,'Expenditures 15-22'!I73)+'Expenditures 15-22'!K128-SUM('Expenditures 15-22'!G128,'Expenditures 15-22'!I128)+'Expenditures 15-22'!K183-SUM('Expenditures 15-22'!G183,'Expenditures 15-22'!I183)+'Expenditures 15-22'!D278</f>
        <v>61528</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709</v>
      </c>
      <c r="F39" s="1825"/>
      <c r="G39" s="1827">
        <f>'Expenditures 15-22'!K75-SUM('Expenditures 15-22'!G75,'Expenditures 15-22'!I75)+'Expenditures 15-22'!K130-SUM('Expenditures 15-22'!G130,'Expenditures 15-22'!I130)+'Expenditures 15-22'!K185-SUM('Expenditures 15-22'!G185,'Expenditures 15-22'!I185)+'Expenditures 15-22'!D280</f>
        <v>709</v>
      </c>
    </row>
    <row r="40" spans="1:7" ht="12" customHeight="1" x14ac:dyDescent="0.2">
      <c r="A40" s="991" t="s">
        <v>1930</v>
      </c>
      <c r="B40" s="992"/>
      <c r="C40" s="994"/>
      <c r="D40" s="1825"/>
      <c r="E40" s="1829">
        <f>-'Contracts Paid in CY 29'!G141</f>
        <v>-702395</v>
      </c>
      <c r="F40" s="1825"/>
      <c r="G40" s="1829">
        <f>-'Contracts Paid in CY 29'!G141</f>
        <v>-702395</v>
      </c>
    </row>
    <row r="41" spans="1:7" ht="12" customHeight="1" x14ac:dyDescent="0.2">
      <c r="A41" s="999" t="s">
        <v>158</v>
      </c>
      <c r="B41" s="1000"/>
      <c r="C41" s="1001"/>
      <c r="D41" s="1829">
        <f>SUM(D19:D39)</f>
        <v>186090</v>
      </c>
      <c r="E41" s="1829">
        <f>SUM(E19:E40)</f>
        <v>11745399</v>
      </c>
      <c r="F41" s="1829">
        <f>SUM(F19:F39)</f>
        <v>1287348</v>
      </c>
      <c r="G41" s="1829">
        <f>SUM(G19:G40)</f>
        <v>10644141</v>
      </c>
    </row>
    <row r="42" spans="1:7" x14ac:dyDescent="0.2">
      <c r="A42" s="988"/>
      <c r="B42" s="162"/>
      <c r="C42" s="1002"/>
      <c r="D42" s="2309" t="s">
        <v>543</v>
      </c>
      <c r="E42" s="2310"/>
      <c r="F42" s="1003" t="s">
        <v>544</v>
      </c>
      <c r="G42" s="1004"/>
    </row>
    <row r="43" spans="1:7" ht="12" customHeight="1" x14ac:dyDescent="0.2">
      <c r="A43" s="988"/>
      <c r="B43" s="162"/>
      <c r="C43" s="1002"/>
      <c r="D43" s="1830" t="s">
        <v>493</v>
      </c>
      <c r="E43" s="1831">
        <f>D41</f>
        <v>186090</v>
      </c>
      <c r="F43" s="1830" t="s">
        <v>495</v>
      </c>
      <c r="G43" s="1831">
        <f>F41</f>
        <v>1287348</v>
      </c>
    </row>
    <row r="44" spans="1:7" ht="12" customHeight="1" x14ac:dyDescent="0.2">
      <c r="A44" s="988"/>
      <c r="B44" s="162"/>
      <c r="C44" s="1002"/>
      <c r="D44" s="1830" t="s">
        <v>494</v>
      </c>
      <c r="E44" s="1831">
        <f>E41</f>
        <v>11745399</v>
      </c>
      <c r="F44" s="1830" t="s">
        <v>494</v>
      </c>
      <c r="G44" s="1831">
        <f>G41</f>
        <v>10644141</v>
      </c>
    </row>
    <row r="45" spans="1:7" ht="12" customHeight="1" x14ac:dyDescent="0.2">
      <c r="A45" s="988"/>
      <c r="B45" s="162"/>
      <c r="C45" s="162"/>
      <c r="D45" s="1832" t="s">
        <v>1063</v>
      </c>
      <c r="E45" s="1833">
        <f>(E43/E44)</f>
        <v>1.5843650777636418E-2</v>
      </c>
      <c r="F45" s="1832" t="s">
        <v>1063</v>
      </c>
      <c r="G45" s="1833">
        <f>(G43/G44)</f>
        <v>0.12094428286885715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13" sqref="A12:H1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7" t="s">
        <v>1446</v>
      </c>
      <c r="B1" s="2317"/>
      <c r="C1" s="2317"/>
      <c r="D1" s="2317"/>
      <c r="E1" s="2317"/>
      <c r="F1" s="2317"/>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8" t="s">
        <v>1627</v>
      </c>
      <c r="B5" s="2319"/>
      <c r="C5" s="2320"/>
      <c r="D5" s="2320"/>
      <c r="E5" s="2320"/>
      <c r="F5" s="2320"/>
    </row>
    <row r="6" spans="1:10" ht="12" customHeight="1" x14ac:dyDescent="0.25">
      <c r="A6" s="1875"/>
      <c r="B6" s="1876"/>
      <c r="C6" s="2321" t="str">
        <f>COVER!A17</f>
        <v>Rockton SD 140</v>
      </c>
      <c r="D6" s="2321"/>
      <c r="E6" s="2321"/>
      <c r="F6" s="1877"/>
    </row>
    <row r="7" spans="1:10" ht="11.25" customHeight="1" thickBot="1" x14ac:dyDescent="0.3">
      <c r="A7" s="1875"/>
      <c r="B7" s="1876"/>
      <c r="C7" s="2322">
        <f>COVER!A13</f>
        <v>4101140004</v>
      </c>
      <c r="D7" s="2322"/>
      <c r="E7" s="2322"/>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2098</v>
      </c>
      <c r="D16" s="1890" t="s">
        <v>2098</v>
      </c>
      <c r="E16" s="1893" t="s">
        <v>2098</v>
      </c>
      <c r="F16" s="1892" t="s">
        <v>2125</v>
      </c>
      <c r="H16" s="1903">
        <f t="shared" si="0"/>
        <v>5</v>
      </c>
      <c r="I16" s="1903">
        <f t="shared" si="1"/>
        <v>5</v>
      </c>
      <c r="J16" s="1903">
        <f t="shared" si="2"/>
        <v>5</v>
      </c>
    </row>
    <row r="17" spans="1:12" ht="12" customHeight="1" x14ac:dyDescent="0.2">
      <c r="A17" s="1888" t="s">
        <v>1456</v>
      </c>
      <c r="B17" s="1889"/>
      <c r="C17" s="1890"/>
      <c r="D17" s="1890"/>
      <c r="E17" s="1893"/>
      <c r="F17" s="1892" t="s">
        <v>2110</v>
      </c>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2098</v>
      </c>
      <c r="D19" s="1890" t="s">
        <v>2098</v>
      </c>
      <c r="E19" s="1893" t="s">
        <v>2098</v>
      </c>
      <c r="F19" s="1892" t="s">
        <v>2109</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2098</v>
      </c>
      <c r="D26" s="1890" t="s">
        <v>2098</v>
      </c>
      <c r="E26" s="1893" t="s">
        <v>2098</v>
      </c>
      <c r="F26" s="1892" t="s">
        <v>2103</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2098</v>
      </c>
      <c r="D30" s="1890" t="s">
        <v>2098</v>
      </c>
      <c r="E30" s="1893" t="s">
        <v>2098</v>
      </c>
      <c r="F30" s="1892" t="s">
        <v>2107</v>
      </c>
      <c r="H30" s="1903">
        <f t="shared" si="0"/>
        <v>5</v>
      </c>
      <c r="I30" s="1903">
        <f t="shared" si="1"/>
        <v>5</v>
      </c>
      <c r="J30" s="1903">
        <f t="shared" si="2"/>
        <v>5</v>
      </c>
    </row>
    <row r="31" spans="1:12" ht="12" customHeight="1" x14ac:dyDescent="0.2">
      <c r="A31" s="1888" t="s">
        <v>1620</v>
      </c>
      <c r="B31" s="1889"/>
      <c r="C31" s="1890"/>
      <c r="D31" s="1890"/>
      <c r="E31" s="1893"/>
      <c r="F31" s="1892" t="s">
        <v>2108</v>
      </c>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2098</v>
      </c>
      <c r="D33" s="1890" t="s">
        <v>2098</v>
      </c>
      <c r="E33" s="1893" t="s">
        <v>2098</v>
      </c>
      <c r="F33" s="1892" t="s">
        <v>2106</v>
      </c>
      <c r="H33" s="1903">
        <f t="shared" si="0"/>
        <v>5</v>
      </c>
      <c r="I33" s="1903">
        <f t="shared" si="1"/>
        <v>5</v>
      </c>
      <c r="J33" s="1903">
        <f t="shared" si="2"/>
        <v>5</v>
      </c>
    </row>
    <row r="34" spans="1:11" ht="12" customHeight="1" x14ac:dyDescent="0.25">
      <c r="A34" s="1895"/>
      <c r="B34" s="1895"/>
      <c r="C34" s="1895"/>
      <c r="D34" s="1895"/>
      <c r="E34" s="1895"/>
      <c r="F34" s="1895"/>
      <c r="H34" s="1903">
        <f>SUM(H11:H32)</f>
        <v>20</v>
      </c>
      <c r="I34" s="1903">
        <f>SUM(I11:I32)</f>
        <v>20</v>
      </c>
      <c r="J34" s="1903">
        <f>SUM(J11:J32)</f>
        <v>20</v>
      </c>
      <c r="K34" s="1903">
        <f>SUM(H34:J34)</f>
        <v>60</v>
      </c>
    </row>
    <row r="35" spans="1:11" ht="12" customHeight="1" x14ac:dyDescent="0.2">
      <c r="A35" s="1896" t="s">
        <v>1459</v>
      </c>
      <c r="B35" s="1897"/>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98"/>
      <c r="B39" s="1898"/>
      <c r="C39" s="1898"/>
      <c r="D39" s="1898"/>
      <c r="E39" s="1898"/>
      <c r="F39" s="1898"/>
    </row>
    <row r="40" spans="1:11" s="1895" customFormat="1" ht="12" customHeight="1" x14ac:dyDescent="0.25">
      <c r="A40" s="1899" t="s">
        <v>1458</v>
      </c>
      <c r="B40" s="1900"/>
      <c r="C40" s="2331"/>
      <c r="D40" s="2331"/>
      <c r="E40" s="2331"/>
      <c r="F40" s="2332"/>
      <c r="H40" s="1904"/>
      <c r="I40" s="1904"/>
      <c r="J40" s="1904"/>
      <c r="K40" s="1904"/>
    </row>
    <row r="41" spans="1:11" s="1895" customFormat="1" ht="12" customHeight="1" x14ac:dyDescent="0.25">
      <c r="A41" s="2333" t="s">
        <v>2104</v>
      </c>
      <c r="B41" s="2334"/>
      <c r="C41" s="2334"/>
      <c r="D41" s="2334"/>
      <c r="E41" s="2334"/>
      <c r="F41" s="2335"/>
      <c r="H41" s="1904"/>
      <c r="I41" s="1904"/>
      <c r="J41" s="1904"/>
      <c r="K41" s="1904"/>
    </row>
    <row r="42" spans="1:11" s="1895" customFormat="1" ht="12" customHeight="1" x14ac:dyDescent="0.25">
      <c r="A42" s="2333" t="s">
        <v>2105</v>
      </c>
      <c r="B42" s="2334"/>
      <c r="C42" s="2334"/>
      <c r="D42" s="2334"/>
      <c r="E42" s="2334"/>
      <c r="F42" s="2335"/>
      <c r="H42" s="1904"/>
      <c r="I42" s="1904"/>
      <c r="J42" s="1904"/>
      <c r="K42" s="1904"/>
    </row>
    <row r="43" spans="1:11" s="1895" customFormat="1" ht="15" x14ac:dyDescent="0.25">
      <c r="A43" s="2325"/>
      <c r="B43" s="2326"/>
      <c r="C43" s="2326"/>
      <c r="D43" s="2326"/>
      <c r="E43" s="2326"/>
      <c r="F43" s="2327"/>
      <c r="H43" s="1904"/>
      <c r="I43" s="1904"/>
      <c r="J43" s="1904"/>
      <c r="K43" s="1904"/>
    </row>
    <row r="44" spans="1:11" s="1895" customFormat="1" ht="12" hidden="1" customHeight="1" x14ac:dyDescent="0.25">
      <c r="A44" s="2325"/>
      <c r="B44" s="2326"/>
      <c r="C44" s="2326"/>
      <c r="D44" s="2326"/>
      <c r="E44" s="2326"/>
      <c r="F44" s="232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3" sqref="A12: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41" t="str">
        <f>COVER!A17</f>
        <v>Rockton SD 140</v>
      </c>
      <c r="J6" s="2342"/>
      <c r="Q6" s="1686"/>
    </row>
    <row r="7" spans="1:17" x14ac:dyDescent="0.2">
      <c r="A7" s="2343" t="s">
        <v>924</v>
      </c>
      <c r="B7" s="2344"/>
      <c r="C7" s="2344"/>
      <c r="D7" s="2344"/>
      <c r="E7" s="2345"/>
      <c r="F7" s="1018"/>
      <c r="G7" s="1010"/>
      <c r="H7" s="1017" t="s">
        <v>390</v>
      </c>
      <c r="I7" s="2346">
        <f>COVER!A13</f>
        <v>4101140004</v>
      </c>
      <c r="J7" s="234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7" t="s">
        <v>502</v>
      </c>
      <c r="B11" s="2348"/>
      <c r="C11" s="234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206703</v>
      </c>
      <c r="F12" s="1040"/>
      <c r="G12" s="1834">
        <f t="shared" ref="G12:G18" si="0">SUM(E12:F12)</f>
        <v>206703</v>
      </c>
      <c r="H12" s="1041">
        <v>212851</v>
      </c>
      <c r="I12" s="1040"/>
      <c r="J12" s="1834">
        <f t="shared" ref="J12:J18" si="1">SUM(H12:I12)</f>
        <v>212851</v>
      </c>
    </row>
    <row r="13" spans="1:17" ht="15" customHeight="1" x14ac:dyDescent="0.2">
      <c r="A13" s="1036">
        <v>2</v>
      </c>
      <c r="B13" s="1037" t="s">
        <v>44</v>
      </c>
      <c r="C13" s="1038"/>
      <c r="D13" s="1039">
        <v>2330</v>
      </c>
      <c r="E13" s="1834">
        <f>'Expenditures 15-22'!K51</f>
        <v>100570</v>
      </c>
      <c r="F13" s="1040"/>
      <c r="G13" s="1834">
        <f t="shared" si="0"/>
        <v>100570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50" t="s">
        <v>7</v>
      </c>
      <c r="C18" s="2351"/>
      <c r="D18" s="2352"/>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307273</v>
      </c>
      <c r="F19" s="1836">
        <f t="shared" si="2"/>
        <v>0</v>
      </c>
      <c r="G19" s="1836">
        <f t="shared" si="2"/>
        <v>307273</v>
      </c>
      <c r="H19" s="1836">
        <f t="shared" si="2"/>
        <v>212851</v>
      </c>
      <c r="I19" s="1836">
        <f t="shared" si="2"/>
        <v>0</v>
      </c>
      <c r="J19" s="1836">
        <f t="shared" si="2"/>
        <v>212851</v>
      </c>
    </row>
    <row r="20" spans="1:10" ht="13.5" thickTop="1" x14ac:dyDescent="0.2">
      <c r="A20" s="1036">
        <v>9</v>
      </c>
      <c r="B20" s="2353" t="s">
        <v>1703</v>
      </c>
      <c r="C20" s="2353"/>
      <c r="D20" s="2354"/>
      <c r="E20" s="1047"/>
      <c r="F20" s="1047"/>
      <c r="G20" s="1047"/>
      <c r="H20" s="1047"/>
      <c r="I20" s="1047"/>
      <c r="J20" s="1837">
        <f>IF(AND(G19&gt;0,J19&gt;0),(((J19-G19)/G19)),"Enter Budget Data")</f>
        <v>-0.30729025980154456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9"/>
      <c r="D26" s="2359"/>
      <c r="E26" s="1051"/>
      <c r="F26" s="2358"/>
      <c r="G26" s="2358"/>
    </row>
    <row r="27" spans="1:10" x14ac:dyDescent="0.2">
      <c r="B27" s="1048"/>
      <c r="C27" s="1052" t="s">
        <v>1093</v>
      </c>
      <c r="D27" s="1053"/>
      <c r="E27" s="1054"/>
      <c r="F27" s="2355" t="s">
        <v>1589</v>
      </c>
      <c r="G27" s="2355"/>
    </row>
    <row r="28" spans="1:10" ht="28.5" customHeight="1" x14ac:dyDescent="0.2">
      <c r="B28" s="1048"/>
      <c r="C28" s="2357"/>
      <c r="D28" s="2357"/>
      <c r="E28" s="1055"/>
      <c r="F28" s="2357"/>
      <c r="G28" s="2357"/>
    </row>
    <row r="29" spans="1:10" x14ac:dyDescent="0.2">
      <c r="B29" s="1048"/>
      <c r="C29" s="1056" t="s">
        <v>1642</v>
      </c>
      <c r="E29" s="1057"/>
      <c r="F29" s="2356" t="s">
        <v>1590</v>
      </c>
      <c r="G29" s="235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3"/>
    </row>
    <row r="36" spans="1:10" ht="13.5" customHeight="1" x14ac:dyDescent="0.2">
      <c r="B36" s="1062"/>
      <c r="C36" s="2340" t="s">
        <v>1944</v>
      </c>
      <c r="D36" s="2339"/>
      <c r="E36" s="2339"/>
      <c r="F36" s="2339"/>
      <c r="G36" s="2339"/>
      <c r="H36" s="2339"/>
      <c r="I36" s="2339"/>
      <c r="J36" s="1064"/>
    </row>
    <row r="37" spans="1:10" ht="22.5" customHeight="1" x14ac:dyDescent="0.2">
      <c r="C37" s="2339"/>
      <c r="D37" s="2339"/>
      <c r="E37" s="2339"/>
      <c r="F37" s="2339"/>
      <c r="G37" s="2339"/>
      <c r="H37" s="2339"/>
      <c r="I37" s="2339"/>
      <c r="J37" s="1064"/>
    </row>
    <row r="38" spans="1:10" ht="7.5" customHeight="1" x14ac:dyDescent="0.2">
      <c r="C38" s="1063"/>
      <c r="D38" s="1065"/>
      <c r="E38" s="1066"/>
      <c r="F38" s="1067"/>
      <c r="G38" s="1066"/>
    </row>
    <row r="39" spans="1:10" ht="13.5" customHeight="1" x14ac:dyDescent="0.2">
      <c r="B39" s="1062"/>
      <c r="C39" s="2336" t="s">
        <v>937</v>
      </c>
      <c r="D39" s="2337"/>
      <c r="E39" s="2337"/>
      <c r="F39" s="2337"/>
      <c r="G39" s="2337"/>
      <c r="H39" s="2337"/>
      <c r="I39" s="233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4"/>
  <sheetViews>
    <sheetView showGridLines="0" topLeftCell="A49" zoomScale="110" zoomScaleNormal="110" workbookViewId="0">
      <selection activeCell="A13" sqref="A12:H15"/>
    </sheetView>
  </sheetViews>
  <sheetFormatPr defaultRowHeight="12.75" x14ac:dyDescent="0.2"/>
  <cols>
    <col min="1" max="1" width="3" style="329" customWidth="1"/>
    <col min="2" max="5" width="12.7109375" style="329" customWidth="1"/>
    <col min="6" max="6" width="34.7109375" style="329" customWidth="1"/>
    <col min="7" max="7" width="12.7109375" style="329" customWidth="1"/>
    <col min="8" max="16384" width="9.140625" style="329"/>
  </cols>
  <sheetData>
    <row r="2" spans="1:7" x14ac:dyDescent="0.2">
      <c r="A2" s="389" t="s">
        <v>276</v>
      </c>
    </row>
    <row r="3" spans="1:7" x14ac:dyDescent="0.2">
      <c r="A3" s="329" t="s">
        <v>277</v>
      </c>
    </row>
    <row r="4" spans="1:7" x14ac:dyDescent="0.2">
      <c r="B4" s="1959" t="s">
        <v>2112</v>
      </c>
      <c r="C4" s="1959" t="s">
        <v>2111</v>
      </c>
      <c r="D4" s="1959" t="s">
        <v>2113</v>
      </c>
      <c r="E4" s="1959" t="s">
        <v>2114</v>
      </c>
      <c r="F4" s="1959" t="s">
        <v>502</v>
      </c>
      <c r="G4" s="1959" t="s">
        <v>920</v>
      </c>
    </row>
    <row r="5" spans="1:7" x14ac:dyDescent="0.2">
      <c r="A5" s="1069"/>
      <c r="B5" s="1958">
        <v>10</v>
      </c>
      <c r="C5" s="1958">
        <v>1890</v>
      </c>
      <c r="D5" s="1958">
        <v>92</v>
      </c>
      <c r="E5" s="1958">
        <v>10</v>
      </c>
      <c r="F5" s="391" t="s">
        <v>2119</v>
      </c>
      <c r="G5" s="1960">
        <v>121</v>
      </c>
    </row>
    <row r="6" spans="1:7" x14ac:dyDescent="0.2">
      <c r="A6" s="1069"/>
      <c r="B6" s="1958"/>
      <c r="C6" s="1958"/>
      <c r="D6" s="1958"/>
      <c r="E6" s="1958"/>
      <c r="F6" s="391"/>
      <c r="G6" s="1960"/>
    </row>
    <row r="7" spans="1:7" x14ac:dyDescent="0.2">
      <c r="A7" s="1069"/>
      <c r="B7" s="1958">
        <v>10</v>
      </c>
      <c r="C7" s="1958">
        <v>1999</v>
      </c>
      <c r="D7" s="1958">
        <v>107</v>
      </c>
      <c r="E7" s="1958">
        <v>11</v>
      </c>
      <c r="F7" s="391" t="s">
        <v>2115</v>
      </c>
      <c r="G7" s="1960">
        <v>8658</v>
      </c>
    </row>
    <row r="8" spans="1:7" x14ac:dyDescent="0.2">
      <c r="A8" s="1069"/>
      <c r="B8" s="1958"/>
      <c r="C8" s="1958"/>
      <c r="D8" s="1958"/>
      <c r="E8" s="1958"/>
      <c r="F8" s="391" t="s">
        <v>2116</v>
      </c>
      <c r="G8" s="1961">
        <v>6286</v>
      </c>
    </row>
    <row r="9" spans="1:7" x14ac:dyDescent="0.2">
      <c r="A9" s="1069"/>
      <c r="B9" s="1958"/>
      <c r="C9" s="1958"/>
      <c r="D9" s="1958"/>
      <c r="E9" s="1958"/>
      <c r="F9" s="391" t="s">
        <v>2127</v>
      </c>
      <c r="G9" s="1961">
        <v>25000</v>
      </c>
    </row>
    <row r="10" spans="1:7" x14ac:dyDescent="0.2">
      <c r="A10" s="1069"/>
      <c r="B10" s="1958"/>
      <c r="C10" s="1958"/>
      <c r="D10" s="1958"/>
      <c r="E10" s="1958"/>
      <c r="F10" s="391" t="s">
        <v>2126</v>
      </c>
      <c r="G10" s="1961">
        <f>28109-4667</f>
        <v>23442</v>
      </c>
    </row>
    <row r="11" spans="1:7" x14ac:dyDescent="0.2">
      <c r="A11" s="1069"/>
      <c r="B11" s="1958"/>
      <c r="C11" s="1958"/>
      <c r="D11" s="1958"/>
      <c r="E11" s="1958"/>
      <c r="F11" s="391" t="s">
        <v>2117</v>
      </c>
      <c r="G11" s="1961">
        <v>164094</v>
      </c>
    </row>
    <row r="12" spans="1:7" ht="13.5" thickBot="1" x14ac:dyDescent="0.25">
      <c r="A12" s="1069"/>
      <c r="B12" s="1958"/>
      <c r="C12" s="1958"/>
      <c r="D12" s="1958"/>
      <c r="E12" s="1958"/>
      <c r="F12" s="391"/>
      <c r="G12" s="1962">
        <f>SUM(G7:G11)</f>
        <v>227480</v>
      </c>
    </row>
    <row r="13" spans="1:7" ht="13.5" thickTop="1" x14ac:dyDescent="0.2">
      <c r="A13" s="1069"/>
      <c r="B13" s="1958"/>
      <c r="C13" s="1958"/>
      <c r="D13" s="1958"/>
      <c r="E13" s="1958"/>
      <c r="F13" s="391"/>
      <c r="G13" s="1960"/>
    </row>
    <row r="14" spans="1:7" x14ac:dyDescent="0.2">
      <c r="A14" s="1070"/>
      <c r="B14" s="1958">
        <v>10</v>
      </c>
      <c r="C14" s="1958">
        <v>3199</v>
      </c>
      <c r="D14" s="1958">
        <v>130</v>
      </c>
      <c r="E14" s="1958">
        <v>11</v>
      </c>
      <c r="F14" s="391" t="s">
        <v>2118</v>
      </c>
      <c r="G14" s="1960">
        <v>19545</v>
      </c>
    </row>
    <row r="15" spans="1:7" x14ac:dyDescent="0.2">
      <c r="A15" s="1070"/>
      <c r="B15" s="1958"/>
      <c r="C15" s="1958"/>
      <c r="D15" s="1958"/>
      <c r="E15" s="1958"/>
      <c r="F15" s="391"/>
      <c r="G15" s="1960"/>
    </row>
    <row r="16" spans="1:7" x14ac:dyDescent="0.2">
      <c r="A16" s="1070"/>
      <c r="B16" s="1958">
        <v>10</v>
      </c>
      <c r="C16" s="1958">
        <v>2900</v>
      </c>
      <c r="D16" s="1958">
        <v>73</v>
      </c>
      <c r="E16" s="1958">
        <v>16</v>
      </c>
      <c r="F16" s="391" t="s">
        <v>2120</v>
      </c>
      <c r="G16" s="1960">
        <v>60628</v>
      </c>
    </row>
    <row r="17" spans="1:7" x14ac:dyDescent="0.2">
      <c r="A17" s="1070"/>
      <c r="B17" s="1958"/>
      <c r="C17" s="1958"/>
      <c r="D17" s="1958"/>
      <c r="E17" s="1958"/>
      <c r="F17" s="391"/>
      <c r="G17" s="1960"/>
    </row>
    <row r="18" spans="1:7" x14ac:dyDescent="0.2">
      <c r="A18" s="1070"/>
      <c r="B18" s="1958">
        <v>10</v>
      </c>
      <c r="C18" s="1958">
        <v>2900</v>
      </c>
      <c r="D18" s="1958">
        <v>73</v>
      </c>
      <c r="E18" s="1958">
        <v>16</v>
      </c>
      <c r="F18" s="391" t="s">
        <v>2121</v>
      </c>
      <c r="G18" s="1960">
        <v>400</v>
      </c>
    </row>
    <row r="19" spans="1:7" x14ac:dyDescent="0.2">
      <c r="A19" s="1070"/>
      <c r="B19" s="1958"/>
      <c r="C19" s="1958"/>
      <c r="D19" s="1958"/>
      <c r="E19" s="1958"/>
      <c r="F19" s="391" t="s">
        <v>2122</v>
      </c>
      <c r="G19" s="1963">
        <v>500</v>
      </c>
    </row>
    <row r="20" spans="1:7" ht="13.5" thickBot="1" x14ac:dyDescent="0.25">
      <c r="A20" s="1070"/>
      <c r="B20" s="1958"/>
      <c r="C20" s="1958"/>
      <c r="D20" s="1958"/>
      <c r="E20" s="1958"/>
      <c r="F20" s="1958"/>
      <c r="G20" s="1962">
        <f>SUM(G18:G19)</f>
        <v>900</v>
      </c>
    </row>
    <row r="21" spans="1:7" ht="13.5" thickTop="1" x14ac:dyDescent="0.2">
      <c r="A21" s="1070"/>
    </row>
    <row r="22" spans="1:7" x14ac:dyDescent="0.2">
      <c r="A22" s="1070"/>
    </row>
    <row r="23" spans="1:7" x14ac:dyDescent="0.2">
      <c r="A23" s="1070"/>
    </row>
    <row r="24" spans="1:7" x14ac:dyDescent="0.2">
      <c r="A24" s="1070"/>
    </row>
    <row r="25" spans="1:7" x14ac:dyDescent="0.2">
      <c r="A25" s="1070"/>
    </row>
    <row r="26" spans="1:7" x14ac:dyDescent="0.2">
      <c r="A26" s="1070"/>
    </row>
    <row r="27" spans="1:7" x14ac:dyDescent="0.2">
      <c r="A27" s="1070"/>
    </row>
    <row r="28" spans="1:7" x14ac:dyDescent="0.2">
      <c r="A28" s="1070"/>
    </row>
    <row r="29" spans="1:7" x14ac:dyDescent="0.2">
      <c r="A29" s="1070"/>
    </row>
    <row r="30" spans="1:7" x14ac:dyDescent="0.2">
      <c r="A30" s="1070"/>
    </row>
    <row r="31" spans="1:7" x14ac:dyDescent="0.2">
      <c r="A31" s="1070"/>
    </row>
    <row r="32" spans="1:7"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Rockton SD 140</v>
      </c>
    </row>
    <row r="64" spans="1:2" x14ac:dyDescent="0.2">
      <c r="B64" s="1071">
        <f>COVER!A13</f>
        <v>4101140004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3" sqref="A12:H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0" t="s">
        <v>1784</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2457450</xdr:colOff>
                <xdr:row>5</xdr:row>
                <xdr:rowOff>47625</xdr:rowOff>
              </from>
              <to>
                <xdr:col>1</xdr:col>
                <xdr:colOff>3371850</xdr:colOff>
                <xdr:row>10</xdr:row>
                <xdr:rowOff>9525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activeCell="A13" sqref="A12: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1790</v>
      </c>
      <c r="B1" s="2362"/>
      <c r="C1" s="2362"/>
      <c r="D1" s="2362"/>
      <c r="E1" s="2362"/>
      <c r="F1" s="2363"/>
    </row>
    <row r="2" spans="1:8" ht="45" customHeight="1" x14ac:dyDescent="0.2">
      <c r="A2" s="2371" t="s">
        <v>1791</v>
      </c>
      <c r="B2" s="2372"/>
      <c r="C2" s="2372"/>
      <c r="D2" s="2372"/>
      <c r="E2" s="2372"/>
      <c r="F2" s="2373"/>
      <c r="G2" s="1075"/>
      <c r="H2" s="1075"/>
    </row>
    <row r="3" spans="1:8" ht="57" customHeight="1" x14ac:dyDescent="0.2">
      <c r="A3" s="2374" t="s">
        <v>1786</v>
      </c>
      <c r="B3" s="2375"/>
      <c r="C3" s="2375"/>
      <c r="D3" s="2375"/>
      <c r="E3" s="2375"/>
      <c r="F3" s="2376"/>
      <c r="G3" s="1075"/>
      <c r="H3" s="1075"/>
    </row>
    <row r="4" spans="1:8" ht="14.25" customHeight="1" x14ac:dyDescent="0.2">
      <c r="A4" s="2380" t="s">
        <v>2056</v>
      </c>
      <c r="B4" s="2381"/>
      <c r="C4" s="2381"/>
      <c r="D4" s="2381"/>
      <c r="E4" s="2381"/>
      <c r="F4" s="2382"/>
      <c r="G4" s="1075"/>
      <c r="H4" s="1075"/>
    </row>
    <row r="5" spans="1:8" ht="14.25" customHeight="1" x14ac:dyDescent="0.2">
      <c r="A5" s="2383" t="s">
        <v>2057</v>
      </c>
      <c r="B5" s="2384"/>
      <c r="C5" s="2384"/>
      <c r="D5" s="2384"/>
      <c r="E5" s="2384"/>
      <c r="F5" s="2385"/>
      <c r="G5" s="1075"/>
      <c r="H5" s="1075"/>
    </row>
    <row r="6" spans="1:8" s="1076" customFormat="1" ht="41.25" customHeight="1" x14ac:dyDescent="0.2">
      <c r="A6" s="2377" t="s">
        <v>1792</v>
      </c>
      <c r="B6" s="2378"/>
      <c r="C6" s="2378"/>
      <c r="D6" s="2378"/>
      <c r="E6" s="2378"/>
      <c r="F6" s="2379"/>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12638156</v>
      </c>
      <c r="C8" s="1838">
        <f>'Acct Summary 7-8'!D8</f>
        <v>1164636</v>
      </c>
      <c r="D8" s="1838">
        <f>'Acct Summary 7-8'!F8</f>
        <v>823974</v>
      </c>
      <c r="E8" s="1838">
        <f>'Acct Summary 7-8'!I8</f>
        <v>106600</v>
      </c>
      <c r="F8" s="1838">
        <f>SUM(B8:E8)</f>
        <v>14733366</v>
      </c>
    </row>
    <row r="9" spans="1:8" s="1080" customFormat="1" ht="14.25" customHeight="1" thickBot="1" x14ac:dyDescent="0.25">
      <c r="A9" s="1079" t="s">
        <v>1436</v>
      </c>
      <c r="B9" s="1839">
        <f>'Acct Summary 7-8'!C17</f>
        <v>11751741</v>
      </c>
      <c r="C9" s="1839">
        <f>'Acct Summary 7-8'!D17</f>
        <v>1349690</v>
      </c>
      <c r="D9" s="1839">
        <f>'Acct Summary 7-8'!F17</f>
        <v>802918</v>
      </c>
      <c r="E9" s="1838"/>
      <c r="F9" s="1838">
        <f>SUM(B9:E9)</f>
        <v>13904349</v>
      </c>
    </row>
    <row r="10" spans="1:8" s="1080" customFormat="1" ht="14.25" thickTop="1" thickBot="1" x14ac:dyDescent="0.25">
      <c r="A10" s="1081" t="s">
        <v>1437</v>
      </c>
      <c r="B10" s="1840">
        <f>(B8-B9)</f>
        <v>886415</v>
      </c>
      <c r="C10" s="1840">
        <f>(C8-C9)</f>
        <v>-185054</v>
      </c>
      <c r="D10" s="1840">
        <f>(D8-D9)</f>
        <v>21056</v>
      </c>
      <c r="E10" s="1839">
        <f>(E8-E9)</f>
        <v>106600</v>
      </c>
      <c r="F10" s="1841">
        <f>SUM(F8-F9)</f>
        <v>829017</v>
      </c>
    </row>
    <row r="11" spans="1:8" s="1080" customFormat="1" ht="14.25" thickTop="1" thickBot="1" x14ac:dyDescent="0.25">
      <c r="A11" s="1082" t="s">
        <v>1785</v>
      </c>
      <c r="B11" s="1842">
        <f>'Acct Summary 7-8'!C81</f>
        <v>5314110</v>
      </c>
      <c r="C11" s="1842">
        <f>'Acct Summary 7-8'!D81</f>
        <v>812953</v>
      </c>
      <c r="D11" s="1842">
        <f>'Acct Summary 7-8'!F81</f>
        <v>633403</v>
      </c>
      <c r="E11" s="1842">
        <f>'Acct Summary 7-8'!I81</f>
        <v>979731</v>
      </c>
      <c r="F11" s="1843">
        <f>SUM(B11:E11)</f>
        <v>7740197</v>
      </c>
    </row>
    <row r="12" spans="1:8" ht="16.5" customHeight="1" thickTop="1" x14ac:dyDescent="0.2">
      <c r="A12" s="1083"/>
      <c r="B12" s="1084"/>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5"/>
      <c r="B13" s="1086"/>
      <c r="C13" s="2365"/>
      <c r="D13" s="2366"/>
      <c r="E13" s="2366"/>
      <c r="F13" s="2367"/>
      <c r="H13" s="1075"/>
    </row>
    <row r="14" spans="1:8" ht="19.5" customHeight="1" x14ac:dyDescent="0.2">
      <c r="A14" s="1085"/>
      <c r="B14" s="1086"/>
      <c r="C14" s="2365"/>
      <c r="D14" s="2366"/>
      <c r="E14" s="2366"/>
      <c r="F14" s="2367"/>
      <c r="H14" s="1075"/>
    </row>
    <row r="15" spans="1:8" ht="17.25" customHeight="1" x14ac:dyDescent="0.2">
      <c r="A15" s="1085"/>
      <c r="B15" s="1086"/>
      <c r="C15" s="2368"/>
      <c r="D15" s="2369"/>
      <c r="E15" s="2369"/>
      <c r="F15" s="2370"/>
      <c r="H15" s="1075"/>
    </row>
    <row r="16" spans="1:8" s="310" customFormat="1" ht="51.75" hidden="1" customHeight="1" x14ac:dyDescent="0.2">
      <c r="A16" s="2364" t="s">
        <v>1787</v>
      </c>
      <c r="B16" s="2364"/>
      <c r="C16" s="2364"/>
      <c r="D16" s="2364"/>
      <c r="E16" s="2364"/>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I14" sqref="I1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6" t="s">
        <v>686</v>
      </c>
      <c r="B3" s="2387"/>
      <c r="C3" s="2387"/>
      <c r="D3" s="2388"/>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7" t="s">
        <v>1584</v>
      </c>
      <c r="D7" s="2398"/>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9" t="s">
        <v>1065</v>
      </c>
      <c r="B15" s="2390"/>
      <c r="C15" s="2390"/>
      <c r="D15" s="2391"/>
    </row>
    <row r="16" spans="1:4" s="669" customFormat="1" ht="24" customHeight="1" x14ac:dyDescent="0.2">
      <c r="A16" s="2392" t="s">
        <v>684</v>
      </c>
      <c r="B16" s="2393"/>
      <c r="C16" s="2393"/>
      <c r="D16" s="2394"/>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1" t="s">
        <v>332</v>
      </c>
      <c r="D21" s="2402"/>
    </row>
    <row r="22" spans="1:10" ht="12.75" x14ac:dyDescent="0.2">
      <c r="A22" s="1140"/>
      <c r="B22" s="1141">
        <v>2</v>
      </c>
      <c r="C22" s="2399" t="s">
        <v>1605</v>
      </c>
      <c r="D22" s="2400"/>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3" t="s">
        <v>557</v>
      </c>
      <c r="D43" s="2404"/>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5" t="s">
        <v>817</v>
      </c>
      <c r="D56" s="2396"/>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5" t="s">
        <v>1797</v>
      </c>
      <c r="D70" s="2396"/>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4101140004</v>
      </c>
    </row>
    <row r="3" spans="1:2" x14ac:dyDescent="0.2">
      <c r="A3" t="s">
        <v>1013</v>
      </c>
      <c r="B3" s="138" t="str">
        <f>COVER!A15</f>
        <v>WINNEBAGO</v>
      </c>
    </row>
    <row r="4" spans="1:2" x14ac:dyDescent="0.2">
      <c r="A4" t="s">
        <v>1064</v>
      </c>
      <c r="B4" s="138" t="str">
        <f>COVER!A17</f>
        <v>Rockton SD 140</v>
      </c>
    </row>
    <row r="5" spans="1:2" x14ac:dyDescent="0.2">
      <c r="A5" t="s">
        <v>728</v>
      </c>
      <c r="B5" s="138" t="str">
        <f>COVER!A38</f>
        <v>GLENN TERRY</v>
      </c>
    </row>
    <row r="6" spans="1:2" x14ac:dyDescent="0.2">
      <c r="A6" t="s">
        <v>733</v>
      </c>
      <c r="B6" s="138">
        <f>COVER!P35</f>
        <v>0</v>
      </c>
    </row>
    <row r="7" spans="1:2" x14ac:dyDescent="0.2">
      <c r="A7" t="s">
        <v>729</v>
      </c>
      <c r="B7" s="138">
        <f>COVER!I38</f>
        <v>0</v>
      </c>
    </row>
    <row r="8" spans="1:2" x14ac:dyDescent="0.2">
      <c r="A8" t="s">
        <v>730</v>
      </c>
      <c r="B8" s="138" t="str">
        <f>COVER!T38</f>
        <v>LORI FANELLO</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BENNING GROUP, LLC</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35612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5315504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1394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1394</v>
      </c>
      <c r="C91" s="2" t="s">
        <v>594</v>
      </c>
      <c r="D91" s="2" t="str">
        <f t="shared" si="0"/>
        <v>Error?</v>
      </c>
    </row>
    <row r="92" spans="1:4" x14ac:dyDescent="0.2">
      <c r="A92" s="5">
        <v>31</v>
      </c>
      <c r="B92" s="138">
        <f>'Assets-Liab 5-6'!C39</f>
        <v>4912255</v>
      </c>
      <c r="D92" s="2" t="str">
        <f t="shared" si="0"/>
        <v>Error?</v>
      </c>
    </row>
    <row r="93" spans="1:4" x14ac:dyDescent="0.2">
      <c r="A93" s="5">
        <v>32</v>
      </c>
      <c r="B93" s="138">
        <f>'Assets-Liab 5-6'!C41</f>
        <v>5315504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812953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812953</v>
      </c>
      <c r="D123" s="2" t="str">
        <f t="shared" si="0"/>
        <v>Error?</v>
      </c>
    </row>
    <row r="124" spans="1:4" x14ac:dyDescent="0.2">
      <c r="A124" s="5">
        <v>63</v>
      </c>
      <c r="B124" s="138">
        <f>'Assets-Liab 5-6'!D41</f>
        <v>812953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7062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7062</v>
      </c>
      <c r="D140" s="2" t="str">
        <f t="shared" si="1"/>
        <v>Error?</v>
      </c>
    </row>
    <row r="141" spans="1:4" x14ac:dyDescent="0.2">
      <c r="A141" s="5">
        <v>80</v>
      </c>
      <c r="B141" s="138">
        <f>'Assets-Liab 5-6'!E41</f>
        <v>7062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633403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633403</v>
      </c>
      <c r="D170" s="2" t="str">
        <f t="shared" si="1"/>
        <v>Error?</v>
      </c>
    </row>
    <row r="171" spans="1:4" x14ac:dyDescent="0.2">
      <c r="A171" s="5">
        <v>110</v>
      </c>
      <c r="B171" s="138">
        <f>'Assets-Liab 5-6'!F41</f>
        <v>633403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23004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18049</v>
      </c>
      <c r="D189" s="2" t="str">
        <f t="shared" si="1"/>
        <v>Error?</v>
      </c>
    </row>
    <row r="190" spans="1:4" x14ac:dyDescent="0.2">
      <c r="A190" s="5">
        <v>129</v>
      </c>
      <c r="B190" s="138">
        <f>'Assets-Liab 5-6'!G41</f>
        <v>23004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119</v>
      </c>
      <c r="D212" s="2" t="str">
        <f t="shared" si="2"/>
        <v>Error?</v>
      </c>
    </row>
    <row r="213" spans="1:4" x14ac:dyDescent="0.2">
      <c r="A213" s="12">
        <v>152</v>
      </c>
      <c r="B213" s="138">
        <f>'Assets-Liab 5-6'!H41</f>
        <v>119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851570</v>
      </c>
      <c r="D273" s="2" t="str">
        <f t="shared" si="3"/>
        <v>Error?</v>
      </c>
    </row>
    <row r="274" spans="1:4" x14ac:dyDescent="0.2">
      <c r="A274" s="5">
        <v>213</v>
      </c>
      <c r="B274" s="138">
        <f>'Assets-Liab 5-6'!M17</f>
        <v>24772900</v>
      </c>
      <c r="D274" s="2" t="str">
        <f t="shared" si="3"/>
        <v>Error?</v>
      </c>
    </row>
    <row r="275" spans="1:4" x14ac:dyDescent="0.2">
      <c r="A275" s="5">
        <v>214</v>
      </c>
      <c r="B275" s="138">
        <f>'Assets-Liab 5-6'!M18</f>
        <v>685154</v>
      </c>
      <c r="D275" s="2" t="str">
        <f t="shared" si="3"/>
        <v>Error?</v>
      </c>
    </row>
    <row r="276" spans="1:4" x14ac:dyDescent="0.2">
      <c r="A276" s="5">
        <v>215</v>
      </c>
      <c r="B276" s="138">
        <f>'Assets-Liab 5-6'!M19</f>
        <v>3104404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29616523</v>
      </c>
      <c r="C279" s="2" t="s">
        <v>594</v>
      </c>
      <c r="D279" s="2" t="str">
        <f t="shared" si="3"/>
        <v>Error?</v>
      </c>
    </row>
    <row r="280" spans="1:4" x14ac:dyDescent="0.2">
      <c r="A280" s="5">
        <v>219</v>
      </c>
      <c r="B280" s="138">
        <f>'Assets-Liab 5-6'!M40</f>
        <v>29616523</v>
      </c>
      <c r="D280" s="2" t="str">
        <f t="shared" si="3"/>
        <v>Error?</v>
      </c>
    </row>
    <row r="281" spans="1:4" x14ac:dyDescent="0.2">
      <c r="A281" s="5">
        <v>220</v>
      </c>
      <c r="B281" s="138">
        <f>'Assets-Liab 5-6'!M41</f>
        <v>29616523</v>
      </c>
      <c r="C281" s="2" t="s">
        <v>594</v>
      </c>
      <c r="D281" s="2" t="str">
        <f t="shared" si="3"/>
        <v>Error?</v>
      </c>
    </row>
    <row r="282" spans="1:4" x14ac:dyDescent="0.2">
      <c r="A282" s="5">
        <v>221</v>
      </c>
      <c r="B282" s="138">
        <f>'Assets-Liab 5-6'!N21</f>
        <v>7062</v>
      </c>
      <c r="D282" s="2" t="str">
        <f t="shared" si="3"/>
        <v>Error?</v>
      </c>
    </row>
    <row r="283" spans="1:4" x14ac:dyDescent="0.2">
      <c r="A283" s="5">
        <v>222</v>
      </c>
      <c r="B283" s="138">
        <f>'Assets-Liab 5-6'!N22</f>
        <v>3712938</v>
      </c>
      <c r="D283" s="2" t="str">
        <f t="shared" si="3"/>
        <v>Error?</v>
      </c>
    </row>
    <row r="284" spans="1:4" x14ac:dyDescent="0.2">
      <c r="A284" s="5">
        <v>223</v>
      </c>
      <c r="B284" s="138">
        <f>'Assets-Liab 5-6'!N23</f>
        <v>3720000</v>
      </c>
      <c r="C284" s="2" t="s">
        <v>594</v>
      </c>
      <c r="D284" s="2" t="str">
        <f t="shared" si="3"/>
        <v>Error?</v>
      </c>
    </row>
    <row r="285" spans="1:4" x14ac:dyDescent="0.2">
      <c r="A285" s="5">
        <v>224</v>
      </c>
      <c r="B285" s="138">
        <f>'Assets-Liab 5-6'!N36</f>
        <v>3720000</v>
      </c>
      <c r="D285" s="2" t="str">
        <f t="shared" si="3"/>
        <v>Error?</v>
      </c>
    </row>
    <row r="286" spans="1:4" x14ac:dyDescent="0.2">
      <c r="A286" s="10">
        <v>225</v>
      </c>
      <c r="D286" s="2" t="str">
        <f t="shared" si="3"/>
        <v>OK</v>
      </c>
    </row>
    <row r="287" spans="1:4" x14ac:dyDescent="0.2">
      <c r="A287" s="5">
        <v>226</v>
      </c>
      <c r="B287" s="138">
        <f>'Assets-Liab 5-6'!N37</f>
        <v>3720000</v>
      </c>
      <c r="C287" s="2" t="s">
        <v>594</v>
      </c>
      <c r="D287" s="2" t="str">
        <f t="shared" si="3"/>
        <v>Error?</v>
      </c>
    </row>
    <row r="288" spans="1:4" x14ac:dyDescent="0.2">
      <c r="A288" s="5">
        <v>227</v>
      </c>
      <c r="B288" s="138">
        <f>'Assets-Liab 5-6'!N41</f>
        <v>3720000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4460790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60862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5632745</v>
      </c>
      <c r="C720" s="2" t="s">
        <v>594</v>
      </c>
      <c r="D720" s="2" t="str">
        <f t="shared" si="10"/>
        <v>Error?</v>
      </c>
    </row>
    <row r="721" spans="1:4" x14ac:dyDescent="0.2">
      <c r="A721" s="5">
        <v>660</v>
      </c>
      <c r="B721" s="138">
        <f>'Expenditures 15-22'!C36</f>
        <v>155833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84185</v>
      </c>
      <c r="D723" s="2" t="str">
        <f t="shared" si="10"/>
        <v>Error?</v>
      </c>
    </row>
    <row r="724" spans="1:4" x14ac:dyDescent="0.2">
      <c r="A724" s="5">
        <v>663</v>
      </c>
      <c r="B724" s="138">
        <f>'Expenditures 15-22'!C39</f>
        <v>65371</v>
      </c>
      <c r="D724" s="2" t="str">
        <f t="shared" si="10"/>
        <v>Error?</v>
      </c>
    </row>
    <row r="725" spans="1:4" x14ac:dyDescent="0.2">
      <c r="A725" s="5">
        <v>664</v>
      </c>
      <c r="B725" s="138">
        <f>'Expenditures 15-22'!C40</f>
        <v>16056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321445</v>
      </c>
      <c r="C727" s="2" t="s">
        <v>594</v>
      </c>
      <c r="D727" s="2" t="str">
        <f t="shared" si="10"/>
        <v>Error?</v>
      </c>
    </row>
    <row r="728" spans="1:4" x14ac:dyDescent="0.2">
      <c r="A728" s="5">
        <v>667</v>
      </c>
      <c r="B728" s="138">
        <f>'Expenditures 15-22'!C44</f>
        <v>84430</v>
      </c>
      <c r="D728" s="2" t="str">
        <f t="shared" si="10"/>
        <v>Error?</v>
      </c>
    </row>
    <row r="729" spans="1:4" x14ac:dyDescent="0.2">
      <c r="A729" s="5">
        <v>668</v>
      </c>
      <c r="B729" s="138">
        <f>'Expenditures 15-22'!C45</f>
        <v>167905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252335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150992</v>
      </c>
      <c r="D733" s="2" t="str">
        <f t="shared" si="10"/>
        <v>Error?</v>
      </c>
    </row>
    <row r="734" spans="1:4" x14ac:dyDescent="0.2">
      <c r="A734" s="5">
        <v>673</v>
      </c>
      <c r="B734" s="138">
        <f>'Expenditures 15-22'!C53</f>
        <v>221800</v>
      </c>
      <c r="C734" s="2" t="s">
        <v>594</v>
      </c>
      <c r="D734" s="2" t="str">
        <f t="shared" si="10"/>
        <v>Error?</v>
      </c>
    </row>
    <row r="735" spans="1:4" x14ac:dyDescent="0.2">
      <c r="A735" s="5">
        <v>674</v>
      </c>
      <c r="B735" s="138">
        <f>'Expenditures 15-22'!C55</f>
        <v>470338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470338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130181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104491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234672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1500590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7133335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1630047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1468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1850621</v>
      </c>
      <c r="C778" s="2" t="s">
        <v>594</v>
      </c>
      <c r="D778" s="2" t="str">
        <f t="shared" si="11"/>
        <v>Error?</v>
      </c>
    </row>
    <row r="779" spans="1:4" x14ac:dyDescent="0.2">
      <c r="A779" s="5">
        <v>718</v>
      </c>
      <c r="B779" s="138">
        <f>'Expenditures 15-22'!D36</f>
        <v>53125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13412</v>
      </c>
      <c r="D781" s="2" t="str">
        <f t="shared" si="11"/>
        <v>Error?</v>
      </c>
    </row>
    <row r="782" spans="1:4" x14ac:dyDescent="0.2">
      <c r="A782" s="5">
        <v>721</v>
      </c>
      <c r="B782" s="138">
        <f>'Expenditures 15-22'!D39</f>
        <v>23079</v>
      </c>
      <c r="D782" s="2" t="str">
        <f t="shared" si="11"/>
        <v>Error?</v>
      </c>
    </row>
    <row r="783" spans="1:4" x14ac:dyDescent="0.2">
      <c r="A783" s="5">
        <v>722</v>
      </c>
      <c r="B783" s="138">
        <f>'Expenditures 15-22'!D40</f>
        <v>175580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265196</v>
      </c>
      <c r="C785" s="2" t="s">
        <v>594</v>
      </c>
      <c r="D785" s="2" t="str">
        <f t="shared" si="11"/>
        <v>Error?</v>
      </c>
    </row>
    <row r="786" spans="1:4" x14ac:dyDescent="0.2">
      <c r="A786" s="5">
        <v>725</v>
      </c>
      <c r="B786" s="138">
        <f>'Expenditures 15-22'!D44</f>
        <v>22797</v>
      </c>
      <c r="D786" s="2" t="str">
        <f t="shared" si="11"/>
        <v>Error?</v>
      </c>
    </row>
    <row r="787" spans="1:4" x14ac:dyDescent="0.2">
      <c r="A787" s="5">
        <v>726</v>
      </c>
      <c r="B787" s="138">
        <f>'Expenditures 15-22'!D45</f>
        <v>34234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57031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48655</v>
      </c>
      <c r="D791" s="2" t="str">
        <f t="shared" si="11"/>
        <v>Error?</v>
      </c>
    </row>
    <row r="792" spans="1:4" x14ac:dyDescent="0.2">
      <c r="A792" s="5">
        <v>731</v>
      </c>
      <c r="B792" s="138">
        <f>'Expenditures 15-22'!D53</f>
        <v>162670</v>
      </c>
      <c r="C792" s="2" t="s">
        <v>594</v>
      </c>
      <c r="D792" s="2" t="str">
        <f t="shared" si="11"/>
        <v>Error?</v>
      </c>
    </row>
    <row r="793" spans="1:4" x14ac:dyDescent="0.2">
      <c r="A793" s="5">
        <v>732</v>
      </c>
      <c r="B793" s="138">
        <f>'Expenditures 15-22'!D55</f>
        <v>231343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231343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26312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13412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39724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755964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2606585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70977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9589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80716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570</v>
      </c>
      <c r="D839" s="2" t="str">
        <f t="shared" si="12"/>
        <v>Error?</v>
      </c>
    </row>
    <row r="840" spans="1:4" x14ac:dyDescent="0.2">
      <c r="A840" s="5">
        <v>779</v>
      </c>
      <c r="B840" s="138">
        <f>'Expenditures 15-22'!E39</f>
        <v>206</v>
      </c>
      <c r="D840" s="2" t="str">
        <f t="shared" si="12"/>
        <v>Error?</v>
      </c>
    </row>
    <row r="841" spans="1:4" x14ac:dyDescent="0.2">
      <c r="A841" s="5">
        <v>780</v>
      </c>
      <c r="B841" s="138">
        <f>'Expenditures 15-22'!E40</f>
        <v>625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1401</v>
      </c>
      <c r="C843" s="2" t="s">
        <v>594</v>
      </c>
      <c r="D843" s="2" t="str">
        <f t="shared" si="12"/>
        <v>Error?</v>
      </c>
    </row>
    <row r="844" spans="1:4" x14ac:dyDescent="0.2">
      <c r="A844" s="5">
        <v>783</v>
      </c>
      <c r="B844" s="138">
        <f>'Expenditures 15-22'!E44</f>
        <v>31756</v>
      </c>
      <c r="D844" s="2" t="str">
        <f t="shared" si="12"/>
        <v>Error?</v>
      </c>
    </row>
    <row r="845" spans="1:4" x14ac:dyDescent="0.2">
      <c r="A845" s="5">
        <v>784</v>
      </c>
      <c r="B845" s="138">
        <f>'Expenditures 15-22'!E45</f>
        <v>38589</v>
      </c>
      <c r="D845" s="2" t="str">
        <f t="shared" si="12"/>
        <v>Error?</v>
      </c>
    </row>
    <row r="846" spans="1:4" x14ac:dyDescent="0.2">
      <c r="A846" s="5">
        <v>785</v>
      </c>
      <c r="B846" s="138">
        <f>'Expenditures 15-22'!E46</f>
        <v>15795</v>
      </c>
      <c r="D846" s="2" t="str">
        <f t="shared" si="12"/>
        <v>Error?</v>
      </c>
    </row>
    <row r="847" spans="1:4" x14ac:dyDescent="0.2">
      <c r="A847" s="5">
        <v>786</v>
      </c>
      <c r="B847" s="138">
        <f>'Expenditures 15-22'!E47</f>
        <v>86140</v>
      </c>
      <c r="C847" s="2" t="s">
        <v>594</v>
      </c>
      <c r="D847" s="2" t="str">
        <f t="shared" si="12"/>
        <v>Error?</v>
      </c>
    </row>
    <row r="848" spans="1:4" x14ac:dyDescent="0.2">
      <c r="A848" s="5">
        <v>787</v>
      </c>
      <c r="B848" s="138">
        <f>'Expenditures 15-22'!E49</f>
        <v>33740</v>
      </c>
      <c r="D848" s="2" t="str">
        <f t="shared" si="12"/>
        <v>Error?</v>
      </c>
    </row>
    <row r="849" spans="1:4" x14ac:dyDescent="0.2">
      <c r="A849" s="5">
        <v>788</v>
      </c>
      <c r="B849" s="138">
        <f>'Expenditures 15-22'!E50</f>
        <v>6078</v>
      </c>
      <c r="D849" s="2" t="str">
        <f t="shared" si="12"/>
        <v>Error?</v>
      </c>
    </row>
    <row r="850" spans="1:4" x14ac:dyDescent="0.2">
      <c r="A850" s="5">
        <v>789</v>
      </c>
      <c r="B850" s="138">
        <f>'Expenditures 15-22'!E53</f>
        <v>118522</v>
      </c>
      <c r="C850" s="2" t="s">
        <v>594</v>
      </c>
      <c r="D850" s="2" t="str">
        <f t="shared" si="12"/>
        <v>Error?</v>
      </c>
    </row>
    <row r="851" spans="1:4" x14ac:dyDescent="0.2">
      <c r="A851" s="5">
        <v>790</v>
      </c>
      <c r="B851" s="138">
        <f>'Expenditures 15-22'!E55</f>
        <v>789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789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634</v>
      </c>
      <c r="D855" s="2" t="str">
        <f t="shared" si="12"/>
        <v>Error?</v>
      </c>
    </row>
    <row r="856" spans="1:4" x14ac:dyDescent="0.2">
      <c r="A856" s="5">
        <v>795</v>
      </c>
      <c r="B856" s="138">
        <f>'Expenditures 15-22'!E61</f>
        <v>25584</v>
      </c>
      <c r="D856" s="2" t="str">
        <f t="shared" si="12"/>
        <v>Error?</v>
      </c>
    </row>
    <row r="857" spans="1:4" x14ac:dyDescent="0.2">
      <c r="A857" s="5">
        <v>796</v>
      </c>
      <c r="B857" s="138">
        <f>'Expenditures 15-22'!E62</f>
        <v>225</v>
      </c>
      <c r="D857" s="2" t="str">
        <f t="shared" si="12"/>
        <v>Error?</v>
      </c>
    </row>
    <row r="858" spans="1:4" x14ac:dyDescent="0.2">
      <c r="A858" s="5">
        <v>797</v>
      </c>
      <c r="B858" s="138">
        <f>'Expenditures 15-22'!E63</f>
        <v>3363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29806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60628</v>
      </c>
      <c r="D870" s="2" t="str">
        <f t="shared" si="12"/>
        <v>Error?</v>
      </c>
    </row>
    <row r="871" spans="1:4" x14ac:dyDescent="0.2">
      <c r="A871" s="5">
        <v>810</v>
      </c>
      <c r="B871" s="138">
        <f>'Expenditures 15-22'!E74</f>
        <v>297286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576797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177329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2227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242847</v>
      </c>
      <c r="C894" s="2" t="s">
        <v>594</v>
      </c>
      <c r="D894" s="2" t="str">
        <f t="shared" si="12"/>
        <v>Error?</v>
      </c>
    </row>
    <row r="895" spans="1:4" x14ac:dyDescent="0.2">
      <c r="A895" s="5">
        <v>834</v>
      </c>
      <c r="B895" s="138">
        <f>'Expenditures 15-22'!F36</f>
        <v>1057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1783</v>
      </c>
      <c r="D897" s="2" t="str">
        <f t="shared" si="13"/>
        <v>Error?</v>
      </c>
    </row>
    <row r="898" spans="1:4" x14ac:dyDescent="0.2">
      <c r="A898" s="5">
        <v>837</v>
      </c>
      <c r="B898" s="138">
        <f>'Expenditures 15-22'!F39</f>
        <v>1513</v>
      </c>
      <c r="D898" s="2" t="str">
        <f t="shared" si="13"/>
        <v>Error?</v>
      </c>
    </row>
    <row r="899" spans="1:4" x14ac:dyDescent="0.2">
      <c r="A899" s="5">
        <v>838</v>
      </c>
      <c r="B899" s="138">
        <f>'Expenditures 15-22'!F40</f>
        <v>1005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5358</v>
      </c>
      <c r="C901" s="2" t="s">
        <v>594</v>
      </c>
      <c r="D901" s="2" t="str">
        <f t="shared" si="13"/>
        <v>Error?</v>
      </c>
    </row>
    <row r="902" spans="1:4" x14ac:dyDescent="0.2">
      <c r="A902" s="5">
        <v>841</v>
      </c>
      <c r="B902" s="138">
        <f>'Expenditures 15-22'!F44</f>
        <v>544</v>
      </c>
      <c r="D902" s="2" t="str">
        <f t="shared" si="13"/>
        <v>Error?</v>
      </c>
    </row>
    <row r="903" spans="1:4" x14ac:dyDescent="0.2">
      <c r="A903" s="5">
        <v>842</v>
      </c>
      <c r="B903" s="138">
        <f>'Expenditures 15-22'!F45</f>
        <v>17888</v>
      </c>
      <c r="D903" s="2" t="str">
        <f t="shared" si="13"/>
        <v>Error?</v>
      </c>
    </row>
    <row r="904" spans="1:4" x14ac:dyDescent="0.2">
      <c r="A904" s="5">
        <v>843</v>
      </c>
      <c r="B904" s="138">
        <f>'Expenditures 15-22'!F46</f>
        <v>5600</v>
      </c>
      <c r="D904" s="2" t="str">
        <f t="shared" si="13"/>
        <v>Error?</v>
      </c>
    </row>
    <row r="905" spans="1:4" x14ac:dyDescent="0.2">
      <c r="A905" s="5">
        <v>844</v>
      </c>
      <c r="B905" s="138">
        <f>'Expenditures 15-22'!F47</f>
        <v>24032</v>
      </c>
      <c r="C905" s="2" t="s">
        <v>594</v>
      </c>
      <c r="D905" s="2" t="str">
        <f t="shared" si="13"/>
        <v>Error?</v>
      </c>
    </row>
    <row r="906" spans="1:4" x14ac:dyDescent="0.2">
      <c r="A906" s="5">
        <v>845</v>
      </c>
      <c r="B906" s="138">
        <f>'Expenditures 15-22'!F49</f>
        <v>12</v>
      </c>
      <c r="D906" s="2" t="str">
        <f t="shared" si="13"/>
        <v>Error?</v>
      </c>
    </row>
    <row r="907" spans="1:4" x14ac:dyDescent="0.2">
      <c r="A907" s="5">
        <v>846</v>
      </c>
      <c r="B907" s="138">
        <f>'Expenditures 15-22'!F50</f>
        <v>449</v>
      </c>
      <c r="D907" s="2" t="str">
        <f t="shared" si="13"/>
        <v>Error?</v>
      </c>
    </row>
    <row r="908" spans="1:4" x14ac:dyDescent="0.2">
      <c r="A908" s="5">
        <v>847</v>
      </c>
      <c r="B908" s="138">
        <f>'Expenditures 15-22'!F53</f>
        <v>461</v>
      </c>
      <c r="C908" s="2" t="s">
        <v>594</v>
      </c>
      <c r="D908" s="2" t="str">
        <f t="shared" si="13"/>
        <v>Error?</v>
      </c>
    </row>
    <row r="909" spans="1:4" x14ac:dyDescent="0.2">
      <c r="A909" s="5">
        <v>848</v>
      </c>
      <c r="B909" s="138">
        <f>'Expenditures 15-22'!F55</f>
        <v>2963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1916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214190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216106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900</v>
      </c>
      <c r="D928" s="2" t="str">
        <f t="shared" si="13"/>
        <v>Error?</v>
      </c>
    </row>
    <row r="929" spans="1:4" x14ac:dyDescent="0.2">
      <c r="A929" s="5">
        <v>868</v>
      </c>
      <c r="B929" s="138">
        <f>'Expenditures 15-22'!F74</f>
        <v>249820</v>
      </c>
      <c r="C929" s="2" t="s">
        <v>594</v>
      </c>
      <c r="D929" s="2" t="str">
        <f t="shared" si="13"/>
        <v>Error?</v>
      </c>
    </row>
    <row r="930" spans="1:4" x14ac:dyDescent="0.2">
      <c r="A930" s="5">
        <v>869</v>
      </c>
      <c r="B930" s="138">
        <f>'Expenditures 15-22'!F75</f>
        <v>709</v>
      </c>
      <c r="D930" s="2" t="str">
        <f t="shared" si="13"/>
        <v>Error?</v>
      </c>
    </row>
    <row r="931" spans="1:4" x14ac:dyDescent="0.2">
      <c r="A931" s="5">
        <v>870</v>
      </c>
      <c r="B931" s="138">
        <f>'Expenditures 15-22'!F114</f>
        <v>493376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15435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15435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2079</v>
      </c>
      <c r="D1022" s="2" t="str">
        <f t="shared" si="14"/>
        <v>Error?</v>
      </c>
    </row>
    <row r="1023" spans="1:4" x14ac:dyDescent="0.2">
      <c r="A1023" s="5">
        <v>962</v>
      </c>
      <c r="B1023" s="138">
        <f>'Expenditures 15-22'!H50</f>
        <v>529</v>
      </c>
      <c r="D1023" s="2" t="str">
        <f t="shared" ref="D1023:D1086" si="15">IF(ISBLANK(B1023),"OK",IF(A1023-B1023=0,"OK","Error?"))</f>
        <v>Error?</v>
      </c>
    </row>
    <row r="1024" spans="1:4" x14ac:dyDescent="0.2">
      <c r="A1024" s="5">
        <v>963</v>
      </c>
      <c r="B1024" s="138">
        <f>'Expenditures 15-22'!H53</f>
        <v>2608</v>
      </c>
      <c r="C1024" s="2" t="s">
        <v>594</v>
      </c>
      <c r="D1024" s="2" t="str">
        <f t="shared" si="15"/>
        <v>Error?</v>
      </c>
    </row>
    <row r="1025" spans="1:4" x14ac:dyDescent="0.2">
      <c r="A1025" s="5">
        <v>964</v>
      </c>
      <c r="B1025" s="138">
        <f>'Expenditures 15-22'!H55</f>
        <v>538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538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3146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664312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682893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6382560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74552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7850752</v>
      </c>
      <c r="C1108" s="2" t="s">
        <v>594</v>
      </c>
      <c r="D1108" s="2" t="str">
        <f t="shared" si="16"/>
        <v>Error?</v>
      </c>
    </row>
    <row r="1109" spans="1:4" x14ac:dyDescent="0.2">
      <c r="A1109" s="5">
        <v>1048</v>
      </c>
      <c r="B1109" s="138">
        <f>'Expenditures 15-22'!K36</f>
        <v>210015</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99950</v>
      </c>
      <c r="C1111" s="2" t="s">
        <v>594</v>
      </c>
      <c r="D1111" s="2" t="str">
        <f t="shared" si="16"/>
        <v>Error?</v>
      </c>
    </row>
    <row r="1112" spans="1:4" x14ac:dyDescent="0.2">
      <c r="A1112" s="5">
        <v>1051</v>
      </c>
      <c r="B1112" s="138">
        <f>'Expenditures 15-22'!K39</f>
        <v>90169</v>
      </c>
      <c r="C1112" s="2" t="s">
        <v>594</v>
      </c>
      <c r="D1112" s="2" t="str">
        <f t="shared" si="16"/>
        <v>Error?</v>
      </c>
    </row>
    <row r="1113" spans="1:4" x14ac:dyDescent="0.2">
      <c r="A1113" s="5">
        <v>1052</v>
      </c>
      <c r="B1113" s="138">
        <f>'Expenditures 15-22'!K40</f>
        <v>193266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593400</v>
      </c>
      <c r="C1115" s="2" t="s">
        <v>594</v>
      </c>
      <c r="D1115" s="2" t="str">
        <f t="shared" si="16"/>
        <v>Error?</v>
      </c>
    </row>
    <row r="1116" spans="1:4" x14ac:dyDescent="0.2">
      <c r="A1116" s="5">
        <v>1055</v>
      </c>
      <c r="B1116" s="138">
        <f>'Expenditures 15-22'!K44</f>
        <v>139527</v>
      </c>
      <c r="C1116" s="2" t="s">
        <v>594</v>
      </c>
      <c r="D1116" s="2" t="str">
        <f t="shared" si="16"/>
        <v>Error?</v>
      </c>
    </row>
    <row r="1117" spans="1:4" x14ac:dyDescent="0.2">
      <c r="A1117" s="5">
        <v>1056</v>
      </c>
      <c r="B1117" s="138">
        <f>'Expenditures 15-22'!K45</f>
        <v>488983</v>
      </c>
      <c r="C1117" s="2" t="s">
        <v>594</v>
      </c>
      <c r="D1117" s="2" t="str">
        <f t="shared" si="16"/>
        <v>Error?</v>
      </c>
    </row>
    <row r="1118" spans="1:4" x14ac:dyDescent="0.2">
      <c r="A1118" s="5">
        <v>1057</v>
      </c>
      <c r="B1118" s="138">
        <f>'Expenditures 15-22'!K46</f>
        <v>21395</v>
      </c>
      <c r="C1118" s="2" t="s">
        <v>594</v>
      </c>
      <c r="D1118" s="2" t="str">
        <f t="shared" si="16"/>
        <v>Error?</v>
      </c>
    </row>
    <row r="1119" spans="1:4" x14ac:dyDescent="0.2">
      <c r="A1119" s="5">
        <v>1058</v>
      </c>
      <c r="B1119" s="138">
        <f>'Expenditures 15-22'!K47</f>
        <v>649905</v>
      </c>
      <c r="C1119" s="2" t="s">
        <v>594</v>
      </c>
      <c r="D1119" s="2" t="str">
        <f t="shared" si="16"/>
        <v>Error?</v>
      </c>
    </row>
    <row r="1120" spans="1:4" x14ac:dyDescent="0.2">
      <c r="A1120" s="5">
        <v>1059</v>
      </c>
      <c r="B1120" s="138">
        <f>'Expenditures 15-22'!K49</f>
        <v>35831</v>
      </c>
      <c r="C1120" s="2" t="s">
        <v>594</v>
      </c>
      <c r="D1120" s="2" t="str">
        <f t="shared" si="16"/>
        <v>Error?</v>
      </c>
    </row>
    <row r="1121" spans="1:4" x14ac:dyDescent="0.2">
      <c r="A1121" s="5">
        <v>1060</v>
      </c>
      <c r="B1121" s="138">
        <f>'Expenditures 15-22'!K50</f>
        <v>206703</v>
      </c>
      <c r="C1121" s="2" t="s">
        <v>594</v>
      </c>
      <c r="D1121" s="2" t="str">
        <f t="shared" si="16"/>
        <v>Error?</v>
      </c>
    </row>
    <row r="1122" spans="1:4" x14ac:dyDescent="0.2">
      <c r="A1122" s="5">
        <v>1061</v>
      </c>
      <c r="B1122" s="138">
        <f>'Expenditures 15-22'!K53</f>
        <v>506061</v>
      </c>
      <c r="C1122" s="2" t="s">
        <v>594</v>
      </c>
      <c r="D1122" s="2" t="str">
        <f t="shared" si="16"/>
        <v>Error?</v>
      </c>
    </row>
    <row r="1123" spans="1:4" x14ac:dyDescent="0.2">
      <c r="A1123" s="5">
        <v>1062</v>
      </c>
      <c r="B1123" s="138">
        <f>'Expenditures 15-22'!K55</f>
        <v>705971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705971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159043</v>
      </c>
      <c r="C1127" s="2" t="s">
        <v>594</v>
      </c>
      <c r="D1127" s="2" t="str">
        <f t="shared" si="16"/>
        <v>Error?</v>
      </c>
    </row>
    <row r="1128" spans="1:4" x14ac:dyDescent="0.2">
      <c r="A1128" s="5">
        <v>1067</v>
      </c>
      <c r="B1128" s="138">
        <f>'Expenditures 15-22'!K61</f>
        <v>25584</v>
      </c>
      <c r="C1128" s="2" t="s">
        <v>594</v>
      </c>
      <c r="D1128" s="2" t="str">
        <f t="shared" si="16"/>
        <v>Error?</v>
      </c>
    </row>
    <row r="1129" spans="1:4" x14ac:dyDescent="0.2">
      <c r="A1129" s="5">
        <v>1068</v>
      </c>
      <c r="B1129" s="138">
        <f>'Expenditures 15-22'!K62</f>
        <v>225</v>
      </c>
      <c r="C1129" s="2" t="s">
        <v>594</v>
      </c>
      <c r="D1129" s="2" t="str">
        <f t="shared" si="16"/>
        <v>Error?</v>
      </c>
    </row>
    <row r="1130" spans="1:4" x14ac:dyDescent="0.2">
      <c r="A1130" s="5">
        <v>1069</v>
      </c>
      <c r="B1130" s="138">
        <f>'Expenditures 15-22'!K63</f>
        <v>335456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520308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61528</v>
      </c>
      <c r="C1142" s="2" t="s">
        <v>594</v>
      </c>
      <c r="D1142" s="2" t="str">
        <f t="shared" si="16"/>
        <v>Error?</v>
      </c>
    </row>
    <row r="1143" spans="1:4" x14ac:dyDescent="0.2">
      <c r="A1143" s="5">
        <v>1082</v>
      </c>
      <c r="B1143" s="138">
        <f>'Expenditures 15-22'!K74</f>
        <v>3037173</v>
      </c>
      <c r="C1143" s="2" t="s">
        <v>594</v>
      </c>
      <c r="D1143" s="2" t="str">
        <f t="shared" si="16"/>
        <v>Error?</v>
      </c>
    </row>
    <row r="1144" spans="1:4" x14ac:dyDescent="0.2">
      <c r="A1144" s="5">
        <v>1083</v>
      </c>
      <c r="B1144" s="138">
        <f>'Expenditures 15-22'!K75</f>
        <v>709</v>
      </c>
      <c r="C1144" s="2" t="s">
        <v>594</v>
      </c>
      <c r="D1144" s="2" t="str">
        <f t="shared" si="16"/>
        <v>Error?</v>
      </c>
    </row>
    <row r="1145" spans="1:4" x14ac:dyDescent="0.2">
      <c r="A1145" s="5">
        <v>1084</v>
      </c>
      <c r="B1145" s="138">
        <f>'Expenditures 15-22'!K102</f>
        <v>863107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11751741</v>
      </c>
      <c r="C1152" s="2" t="s">
        <v>594</v>
      </c>
      <c r="D1152" s="2" t="str">
        <f t="shared" si="17"/>
        <v>Error?</v>
      </c>
    </row>
    <row r="1153" spans="1:4" x14ac:dyDescent="0.2">
      <c r="A1153" s="5">
        <v>1092</v>
      </c>
      <c r="B1153" s="138">
        <f>'Expenditures 15-22'!K115</f>
        <v>886415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330605</v>
      </c>
      <c r="D1221" s="2" t="str">
        <f t="shared" si="18"/>
        <v>Error?</v>
      </c>
    </row>
    <row r="1222" spans="1:4" x14ac:dyDescent="0.2">
      <c r="A1222" s="10">
        <v>1161</v>
      </c>
      <c r="D1222" s="2" t="str">
        <f t="shared" si="18"/>
        <v>OK</v>
      </c>
    </row>
    <row r="1223" spans="1:4" x14ac:dyDescent="0.2">
      <c r="A1223" s="5">
        <v>1162</v>
      </c>
      <c r="B1223" s="138">
        <f>'Expenditures 15-22'!C127</f>
        <v>330605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330605</v>
      </c>
      <c r="C1225" s="2" t="s">
        <v>594</v>
      </c>
      <c r="D1225" s="2" t="str">
        <f t="shared" si="18"/>
        <v>Error?</v>
      </c>
    </row>
    <row r="1226" spans="1:4" x14ac:dyDescent="0.2">
      <c r="A1226" s="5">
        <v>1165</v>
      </c>
      <c r="B1226" s="138">
        <f>'Expenditures 15-22'!C151</f>
        <v>330605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93724</v>
      </c>
      <c r="D1229" s="2" t="str">
        <f t="shared" si="18"/>
        <v>Error?</v>
      </c>
    </row>
    <row r="1230" spans="1:4" x14ac:dyDescent="0.2">
      <c r="A1230" s="10">
        <v>1169</v>
      </c>
      <c r="D1230" s="2" t="str">
        <f t="shared" si="18"/>
        <v>OK</v>
      </c>
    </row>
    <row r="1231" spans="1:4" x14ac:dyDescent="0.2">
      <c r="A1231" s="5">
        <v>1170</v>
      </c>
      <c r="B1231" s="138">
        <f>'Expenditures 15-22'!D127</f>
        <v>93724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93724</v>
      </c>
      <c r="C1233" s="2" t="s">
        <v>594</v>
      </c>
      <c r="D1233" s="2" t="str">
        <f t="shared" si="18"/>
        <v>Error?</v>
      </c>
    </row>
    <row r="1234" spans="1:4" x14ac:dyDescent="0.2">
      <c r="A1234" s="5">
        <v>1173</v>
      </c>
      <c r="B1234" s="138">
        <f>'Expenditures 15-22'!D151</f>
        <v>93724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219264</v>
      </c>
      <c r="D1237" s="2" t="str">
        <f t="shared" si="18"/>
        <v>Error?</v>
      </c>
    </row>
    <row r="1238" spans="1:4" x14ac:dyDescent="0.2">
      <c r="A1238" s="10">
        <v>1177</v>
      </c>
      <c r="D1238" s="2" t="str">
        <f t="shared" si="18"/>
        <v>OK</v>
      </c>
    </row>
    <row r="1239" spans="1:4" x14ac:dyDescent="0.2">
      <c r="A1239" s="5">
        <v>1178</v>
      </c>
      <c r="B1239" s="138">
        <f>'Expenditures 15-22'!E127</f>
        <v>219264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219264</v>
      </c>
      <c r="C1241" s="2" t="s">
        <v>594</v>
      </c>
      <c r="D1241" s="2" t="str">
        <f t="shared" si="18"/>
        <v>Error?</v>
      </c>
    </row>
    <row r="1242" spans="1:4" x14ac:dyDescent="0.2">
      <c r="A1242" s="5">
        <v>1181</v>
      </c>
      <c r="B1242" s="138">
        <f>'Expenditures 15-22'!E151</f>
        <v>219264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365109</v>
      </c>
      <c r="D1245" s="2" t="str">
        <f t="shared" si="18"/>
        <v>Error?</v>
      </c>
    </row>
    <row r="1246" spans="1:4" x14ac:dyDescent="0.2">
      <c r="A1246" s="10">
        <v>1185</v>
      </c>
      <c r="D1246" s="2" t="str">
        <f t="shared" si="18"/>
        <v>OK</v>
      </c>
    </row>
    <row r="1247" spans="1:4" x14ac:dyDescent="0.2">
      <c r="A1247" s="5">
        <v>1186</v>
      </c>
      <c r="B1247" s="138">
        <f>'Expenditures 15-22'!F127</f>
        <v>365109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365109</v>
      </c>
      <c r="C1249" s="2" t="s">
        <v>594</v>
      </c>
      <c r="D1249" s="2" t="str">
        <f t="shared" si="18"/>
        <v>Error?</v>
      </c>
    </row>
    <row r="1250" spans="1:4" x14ac:dyDescent="0.2">
      <c r="A1250" s="5">
        <v>1189</v>
      </c>
      <c r="B1250" s="138">
        <f>'Expenditures 15-22'!F151</f>
        <v>365109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1644</v>
      </c>
      <c r="D1252" s="2" t="str">
        <f t="shared" si="18"/>
        <v>Error?</v>
      </c>
    </row>
    <row r="1253" spans="1:4" x14ac:dyDescent="0.2">
      <c r="A1253" s="5">
        <v>1192</v>
      </c>
      <c r="B1253" s="138">
        <f>'Expenditures 15-22'!G124</f>
        <v>296014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297658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297658</v>
      </c>
      <c r="C1258" s="2" t="s">
        <v>594</v>
      </c>
      <c r="D1258" s="2" t="str">
        <f t="shared" si="18"/>
        <v>Error?</v>
      </c>
    </row>
    <row r="1259" spans="1:4" x14ac:dyDescent="0.2">
      <c r="A1259" s="5">
        <v>1198</v>
      </c>
      <c r="B1259" s="138">
        <f>'Expenditures 15-22'!G151</f>
        <v>297658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1644</v>
      </c>
      <c r="C1275" s="2" t="s">
        <v>594</v>
      </c>
      <c r="D1275" s="2" t="str">
        <f t="shared" si="18"/>
        <v>Error?</v>
      </c>
    </row>
    <row r="1276" spans="1:4" x14ac:dyDescent="0.2">
      <c r="A1276" s="5">
        <v>1215</v>
      </c>
      <c r="B1276" s="138">
        <f>'Expenditures 15-22'!K124</f>
        <v>1348046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1349690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1349690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1349690</v>
      </c>
      <c r="C1288" s="2" t="s">
        <v>594</v>
      </c>
      <c r="D1288" s="2" t="str">
        <f t="shared" si="19"/>
        <v>Error?</v>
      </c>
    </row>
    <row r="1289" spans="1:4" x14ac:dyDescent="0.2">
      <c r="A1289" s="5">
        <v>1228</v>
      </c>
      <c r="B1289" s="138">
        <f>'Expenditures 15-22'!K152</f>
        <v>-185054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172640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1517640</v>
      </c>
      <c r="C1317" s="2" t="s">
        <v>594</v>
      </c>
      <c r="D1317" s="2" t="str">
        <f t="shared" si="19"/>
        <v>Error?</v>
      </c>
    </row>
    <row r="1318" spans="1:4" x14ac:dyDescent="0.2">
      <c r="A1318" s="5">
        <v>1257</v>
      </c>
      <c r="B1318" s="138">
        <f>'Expenditures 15-22'!H174</f>
        <v>1517640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172640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1345000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1517640</v>
      </c>
      <c r="C1331" s="2" t="s">
        <v>594</v>
      </c>
      <c r="D1331" s="2" t="str">
        <f t="shared" si="19"/>
        <v>Error?</v>
      </c>
    </row>
    <row r="1332" spans="1:4" x14ac:dyDescent="0.2">
      <c r="A1332" s="5">
        <v>1271</v>
      </c>
      <c r="B1332" s="138">
        <f>'Expenditures 15-22'!K174</f>
        <v>1517640</v>
      </c>
      <c r="C1332" s="2" t="s">
        <v>594</v>
      </c>
      <c r="D1332" s="2" t="str">
        <f t="shared" si="19"/>
        <v>Error?</v>
      </c>
    </row>
    <row r="1333" spans="1:4" x14ac:dyDescent="0.2">
      <c r="A1333" s="5">
        <v>1272</v>
      </c>
      <c r="B1333" s="138">
        <f>'Expenditures 15-22'!K175</f>
        <v>-1177575</v>
      </c>
      <c r="C1333" s="2" t="s">
        <v>594</v>
      </c>
      <c r="D1333" s="2" t="str">
        <f t="shared" si="19"/>
        <v>Error?</v>
      </c>
    </row>
    <row r="1334" spans="1:4" x14ac:dyDescent="0.2">
      <c r="A1334" s="10">
        <v>1273</v>
      </c>
      <c r="D1334" s="2" t="str">
        <f t="shared" si="19"/>
        <v>OK</v>
      </c>
    </row>
    <row r="1335" spans="1:4" x14ac:dyDescent="0.2">
      <c r="A1335" s="5">
        <v>1274</v>
      </c>
      <c r="B1335" s="138">
        <f>'Expenditures 15-22'!C182</f>
        <v>5000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5000</v>
      </c>
      <c r="C1339" s="2" t="s">
        <v>594</v>
      </c>
      <c r="D1339" s="2" t="str">
        <f t="shared" si="19"/>
        <v>Error?</v>
      </c>
    </row>
    <row r="1340" spans="1:4" x14ac:dyDescent="0.2">
      <c r="A1340" s="5">
        <v>1279</v>
      </c>
      <c r="B1340" s="138">
        <f>'Expenditures 15-22'!C210</f>
        <v>5000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797918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797918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797918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802918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802918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802918</v>
      </c>
      <c r="C1388" s="2" t="s">
        <v>594</v>
      </c>
      <c r="D1388" s="2" t="str">
        <f t="shared" si="20"/>
        <v>Error?</v>
      </c>
    </row>
    <row r="1389" spans="1:4" x14ac:dyDescent="0.2">
      <c r="A1389" s="5">
        <v>1328</v>
      </c>
      <c r="B1389" s="138">
        <f>'Expenditures 15-22'!K211</f>
        <v>21056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2126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187519</v>
      </c>
      <c r="C1410" s="2" t="s">
        <v>594</v>
      </c>
      <c r="D1410" s="2" t="str">
        <f t="shared" si="21"/>
        <v>Error?</v>
      </c>
    </row>
    <row r="1411" spans="1:4" x14ac:dyDescent="0.2">
      <c r="A1411" s="5">
        <v>1350</v>
      </c>
      <c r="B1411" s="138">
        <f>'Expenditures 15-22'!D232</f>
        <v>1996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17896</v>
      </c>
      <c r="D1413" s="2" t="str">
        <f t="shared" si="21"/>
        <v>Error?</v>
      </c>
    </row>
    <row r="1414" spans="1:4" x14ac:dyDescent="0.2">
      <c r="A1414" s="5">
        <v>1353</v>
      </c>
      <c r="B1414" s="138">
        <f>'Expenditures 15-22'!D235</f>
        <v>947</v>
      </c>
      <c r="D1414" s="2" t="str">
        <f t="shared" si="21"/>
        <v>Error?</v>
      </c>
    </row>
    <row r="1415" spans="1:4" x14ac:dyDescent="0.2">
      <c r="A1415" s="5">
        <v>1354</v>
      </c>
      <c r="B1415" s="138">
        <f>'Expenditures 15-22'!D236</f>
        <v>2016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22855</v>
      </c>
      <c r="C1417" s="2" t="s">
        <v>594</v>
      </c>
      <c r="D1417" s="2" t="str">
        <f t="shared" si="21"/>
        <v>Error?</v>
      </c>
    </row>
    <row r="1418" spans="1:4" x14ac:dyDescent="0.2">
      <c r="A1418" s="5">
        <v>1357</v>
      </c>
      <c r="B1418" s="138">
        <f>'Expenditures 15-22'!D240</f>
        <v>1220</v>
      </c>
      <c r="D1418" s="2" t="str">
        <f t="shared" si="21"/>
        <v>Error?</v>
      </c>
    </row>
    <row r="1419" spans="1:4" x14ac:dyDescent="0.2">
      <c r="A1419" s="5">
        <v>1358</v>
      </c>
      <c r="B1419" s="138">
        <f>'Expenditures 15-22'!D241</f>
        <v>23699</v>
      </c>
      <c r="D1419" s="2" t="str">
        <f t="shared" si="21"/>
        <v>Error?</v>
      </c>
    </row>
    <row r="1420" spans="1:4" x14ac:dyDescent="0.2">
      <c r="A1420" s="5">
        <v>1359</v>
      </c>
      <c r="B1420" s="138">
        <f>'Expenditures 15-22'!D242</f>
        <v>8803</v>
      </c>
      <c r="D1420" s="2" t="str">
        <f t="shared" si="21"/>
        <v>Error?</v>
      </c>
    </row>
    <row r="1421" spans="1:4" x14ac:dyDescent="0.2">
      <c r="A1421" s="5">
        <v>1360</v>
      </c>
      <c r="B1421" s="138">
        <f>'Expenditures 15-22'!D243</f>
        <v>33722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1027</v>
      </c>
      <c r="C1424" s="2" t="s">
        <v>594</v>
      </c>
      <c r="D1424" s="2" t="str">
        <f t="shared" si="21"/>
        <v>Error?</v>
      </c>
    </row>
    <row r="1425" spans="1:4" x14ac:dyDescent="0.2">
      <c r="A1425" s="5">
        <v>1364</v>
      </c>
      <c r="B1425" s="138">
        <f>'Expenditures 15-22'!D259</f>
        <v>32480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32480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27047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66972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20139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114158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204242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391761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2126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187519</v>
      </c>
      <c r="C1474" s="2" t="s">
        <v>594</v>
      </c>
      <c r="D1474" s="2" t="str">
        <f t="shared" si="22"/>
        <v>Error?</v>
      </c>
    </row>
    <row r="1475" spans="1:4" x14ac:dyDescent="0.2">
      <c r="A1475" s="5">
        <v>1414</v>
      </c>
      <c r="B1475" s="138">
        <f>'Expenditures 15-22'!K232</f>
        <v>1996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17896</v>
      </c>
      <c r="C1477" s="2" t="s">
        <v>594</v>
      </c>
      <c r="D1477" s="2" t="str">
        <f t="shared" si="22"/>
        <v>Error?</v>
      </c>
    </row>
    <row r="1478" spans="1:4" x14ac:dyDescent="0.2">
      <c r="A1478" s="5">
        <v>1417</v>
      </c>
      <c r="B1478" s="138">
        <f>'Expenditures 15-22'!K235</f>
        <v>947</v>
      </c>
      <c r="C1478" s="2" t="s">
        <v>594</v>
      </c>
      <c r="D1478" s="2" t="str">
        <f t="shared" si="22"/>
        <v>Error?</v>
      </c>
    </row>
    <row r="1479" spans="1:4" x14ac:dyDescent="0.2">
      <c r="A1479" s="5">
        <v>1418</v>
      </c>
      <c r="B1479" s="138">
        <f>'Expenditures 15-22'!K236</f>
        <v>2016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22855</v>
      </c>
      <c r="C1481" s="2" t="s">
        <v>594</v>
      </c>
      <c r="D1481" s="2" t="str">
        <f t="shared" si="22"/>
        <v>Error?</v>
      </c>
    </row>
    <row r="1482" spans="1:4" x14ac:dyDescent="0.2">
      <c r="A1482" s="5">
        <v>1421</v>
      </c>
      <c r="B1482" s="138">
        <f>'Expenditures 15-22'!K240</f>
        <v>1220</v>
      </c>
      <c r="C1482" s="2" t="s">
        <v>594</v>
      </c>
      <c r="D1482" s="2" t="str">
        <f t="shared" si="22"/>
        <v>Error?</v>
      </c>
    </row>
    <row r="1483" spans="1:4" x14ac:dyDescent="0.2">
      <c r="A1483" s="5">
        <v>1422</v>
      </c>
      <c r="B1483" s="138">
        <f>'Expenditures 15-22'!K241</f>
        <v>23699</v>
      </c>
      <c r="C1483" s="2" t="s">
        <v>594</v>
      </c>
      <c r="D1483" s="2" t="str">
        <f t="shared" si="22"/>
        <v>Error?</v>
      </c>
    </row>
    <row r="1484" spans="1:4" x14ac:dyDescent="0.2">
      <c r="A1484" s="5">
        <v>1423</v>
      </c>
      <c r="B1484" s="138">
        <f>'Expenditures 15-22'!K242</f>
        <v>8803</v>
      </c>
      <c r="C1484" s="2" t="s">
        <v>594</v>
      </c>
      <c r="D1484" s="2" t="str">
        <f t="shared" si="22"/>
        <v>Error?</v>
      </c>
    </row>
    <row r="1485" spans="1:4" x14ac:dyDescent="0.2">
      <c r="A1485" s="5">
        <v>1424</v>
      </c>
      <c r="B1485" s="138">
        <f>'Expenditures 15-22'!K243</f>
        <v>33722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1027</v>
      </c>
      <c r="C1488" s="2" t="s">
        <v>594</v>
      </c>
      <c r="D1488" s="2" t="str">
        <f t="shared" si="22"/>
        <v>Error?</v>
      </c>
    </row>
    <row r="1489" spans="1:4" x14ac:dyDescent="0.2">
      <c r="A1489" s="5">
        <v>1428</v>
      </c>
      <c r="B1489" s="138">
        <f>'Expenditures 15-22'!K259</f>
        <v>32480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32480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27047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66972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20139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114158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204242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391761</v>
      </c>
      <c r="C1517" s="2" t="s">
        <v>594</v>
      </c>
      <c r="D1517" s="2" t="str">
        <f t="shared" si="22"/>
        <v>Error?</v>
      </c>
    </row>
    <row r="1518" spans="1:4" x14ac:dyDescent="0.2">
      <c r="A1518" s="5">
        <v>1457</v>
      </c>
      <c r="B1518" s="138">
        <f>'Expenditures 15-22'!K296</f>
        <v>-63371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4427695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5314110</v>
      </c>
      <c r="C1630" s="2" t="s">
        <v>594</v>
      </c>
      <c r="D1630" s="2" t="str">
        <f t="shared" si="24"/>
        <v>Error?</v>
      </c>
    </row>
    <row r="1631" spans="1:4" x14ac:dyDescent="0.2">
      <c r="A1631" s="5">
        <v>1570</v>
      </c>
      <c r="B1631" s="138">
        <f>'Acct Summary 7-8'!D79</f>
        <v>998007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812953</v>
      </c>
      <c r="C1644" s="2" t="s">
        <v>594</v>
      </c>
      <c r="D1644" s="2" t="str">
        <f t="shared" si="24"/>
        <v>Error?</v>
      </c>
    </row>
    <row r="1645" spans="1:4" x14ac:dyDescent="0.2">
      <c r="A1645" s="5">
        <v>1584</v>
      </c>
      <c r="B1645" s="138">
        <f>'Acct Summary 7-8'!E79</f>
        <v>7437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7062</v>
      </c>
      <c r="C1658" s="2" t="s">
        <v>594</v>
      </c>
      <c r="D1658" s="2" t="str">
        <f t="shared" si="24"/>
        <v>Error?</v>
      </c>
    </row>
    <row r="1659" spans="1:4" x14ac:dyDescent="0.2">
      <c r="A1659" s="5">
        <v>1598</v>
      </c>
      <c r="B1659" s="138">
        <f>'Acct Summary 7-8'!F79</f>
        <v>612347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633403</v>
      </c>
      <c r="C1672" s="2" t="s">
        <v>594</v>
      </c>
      <c r="D1672" s="2" t="str">
        <f t="shared" si="25"/>
        <v>Error?</v>
      </c>
    </row>
    <row r="1673" spans="1:4" x14ac:dyDescent="0.2">
      <c r="A1673" s="5">
        <v>1612</v>
      </c>
      <c r="B1673" s="138">
        <f>'Acct Summary 7-8'!G79</f>
        <v>86375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23004</v>
      </c>
      <c r="C1686" s="2" t="s">
        <v>594</v>
      </c>
      <c r="D1686" s="2" t="str">
        <f t="shared" si="25"/>
        <v>Error?</v>
      </c>
    </row>
    <row r="1687" spans="1:4" x14ac:dyDescent="0.2">
      <c r="A1687" s="5">
        <v>1626</v>
      </c>
      <c r="B1687" s="138">
        <f>'Acct Summary 7-8'!H79</f>
        <v>119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6080213</v>
      </c>
      <c r="C1744" s="2" t="s">
        <v>594</v>
      </c>
      <c r="D1744" s="2" t="str">
        <f t="shared" si="26"/>
        <v>Error?</v>
      </c>
    </row>
    <row r="1745" spans="1:5" x14ac:dyDescent="0.2">
      <c r="A1745" s="5">
        <v>1684</v>
      </c>
      <c r="B1745" s="138">
        <f>'Tax Sched 23'!B5</f>
        <v>1132322</v>
      </c>
      <c r="C1745" s="2" t="s">
        <v>594</v>
      </c>
      <c r="D1745" s="2" t="str">
        <f t="shared" si="26"/>
        <v>Error?</v>
      </c>
    </row>
    <row r="1746" spans="1:5" x14ac:dyDescent="0.2">
      <c r="A1746" s="5">
        <v>1685</v>
      </c>
      <c r="B1746" s="138">
        <f>'Tax Sched 23'!B6</f>
        <v>339074</v>
      </c>
      <c r="C1746" s="2" t="s">
        <v>594</v>
      </c>
      <c r="D1746" s="2" t="str">
        <f t="shared" si="26"/>
        <v>Error?</v>
      </c>
    </row>
    <row r="1747" spans="1:5" x14ac:dyDescent="0.2">
      <c r="A1747" s="5">
        <v>1686</v>
      </c>
      <c r="B1747" s="138">
        <f>'Tax Sched 23'!B7</f>
        <v>238123</v>
      </c>
      <c r="C1747" s="2" t="s">
        <v>594</v>
      </c>
      <c r="D1747" s="2" t="str">
        <f t="shared" si="26"/>
        <v>Error?</v>
      </c>
    </row>
    <row r="1748" spans="1:5" x14ac:dyDescent="0.2">
      <c r="A1748" s="5">
        <v>1687</v>
      </c>
      <c r="B1748" s="138">
        <f>'Tax Sched 23'!B8</f>
        <v>9856</v>
      </c>
      <c r="C1748" s="2" t="s">
        <v>594</v>
      </c>
      <c r="D1748" s="2" t="str">
        <f t="shared" si="26"/>
        <v>Error?</v>
      </c>
    </row>
    <row r="1749" spans="1:5" x14ac:dyDescent="0.2">
      <c r="A1749" s="5">
        <v>1688</v>
      </c>
      <c r="B1749" s="138">
        <f>'Tax Sched 23'!B10</f>
        <v>96664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49081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8226754</v>
      </c>
      <c r="C1759" s="2" t="s">
        <v>594</v>
      </c>
      <c r="D1759" s="2" t="str">
        <f t="shared" si="26"/>
        <v>Error?</v>
      </c>
    </row>
    <row r="1760" spans="1:5" x14ac:dyDescent="0.2">
      <c r="A1760" s="5">
        <v>1699</v>
      </c>
      <c r="B1760" s="138">
        <f>'Tax Sched 23'!D4</f>
        <v>6080213</v>
      </c>
      <c r="C1760" s="2" t="s">
        <v>594</v>
      </c>
      <c r="D1760" s="2" t="str">
        <f t="shared" si="26"/>
        <v>Error?</v>
      </c>
    </row>
    <row r="1761" spans="1:5" x14ac:dyDescent="0.2">
      <c r="A1761" s="5">
        <v>1700</v>
      </c>
      <c r="B1761" s="138">
        <f>'Tax Sched 23'!D5</f>
        <v>1132322</v>
      </c>
      <c r="C1761" s="2" t="s">
        <v>594</v>
      </c>
      <c r="D1761" s="2" t="str">
        <f t="shared" si="26"/>
        <v>Error?</v>
      </c>
    </row>
    <row r="1762" spans="1:5" s="8" customFormat="1" x14ac:dyDescent="0.2">
      <c r="A1762" s="5">
        <v>1701</v>
      </c>
      <c r="B1762" s="138">
        <f>'Tax Sched 23'!D6</f>
        <v>339074</v>
      </c>
      <c r="C1762" s="2" t="s">
        <v>594</v>
      </c>
      <c r="D1762" s="2" t="str">
        <f t="shared" si="26"/>
        <v>Error?</v>
      </c>
      <c r="E1762" s="9"/>
    </row>
    <row r="1763" spans="1:5" x14ac:dyDescent="0.2">
      <c r="A1763" s="5">
        <v>1702</v>
      </c>
      <c r="B1763" s="138">
        <f>'Tax Sched 23'!D7</f>
        <v>238123</v>
      </c>
      <c r="C1763" s="2" t="s">
        <v>594</v>
      </c>
      <c r="D1763" s="2" t="str">
        <f t="shared" si="26"/>
        <v>Error?</v>
      </c>
    </row>
    <row r="1764" spans="1:5" x14ac:dyDescent="0.2">
      <c r="A1764" s="5">
        <v>1703</v>
      </c>
      <c r="B1764" s="138">
        <f>'Tax Sched 23'!D8</f>
        <v>9856</v>
      </c>
      <c r="C1764" s="2" t="s">
        <v>594</v>
      </c>
      <c r="D1764" s="2" t="str">
        <f t="shared" si="26"/>
        <v>Error?</v>
      </c>
    </row>
    <row r="1765" spans="1:5" x14ac:dyDescent="0.2">
      <c r="A1765" s="5">
        <v>1704</v>
      </c>
      <c r="B1765" s="138">
        <f>'Tax Sched 23'!D10</f>
        <v>96664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49081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8226754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5106355</v>
      </c>
      <c r="C1792" s="2" t="s">
        <v>594</v>
      </c>
      <c r="D1792" s="2" t="str">
        <f t="shared" si="27"/>
        <v>Error?</v>
      </c>
    </row>
    <row r="1793" spans="1:4" x14ac:dyDescent="0.2">
      <c r="A1793" s="5">
        <v>1732</v>
      </c>
      <c r="B1793" s="138">
        <f>'Tax Sched 23'!F5</f>
        <v>1200171</v>
      </c>
      <c r="C1793" s="2" t="s">
        <v>594</v>
      </c>
      <c r="D1793" s="2" t="str">
        <f t="shared" si="27"/>
        <v>Error?</v>
      </c>
    </row>
    <row r="1794" spans="1:4" x14ac:dyDescent="0.2">
      <c r="A1794" s="5">
        <v>1733</v>
      </c>
      <c r="B1794" s="138">
        <f>'Tax Sched 23'!F6</f>
        <v>356506</v>
      </c>
      <c r="C1794" s="2" t="s">
        <v>594</v>
      </c>
      <c r="D1794" s="2" t="str">
        <f t="shared" si="27"/>
        <v>Error?</v>
      </c>
    </row>
    <row r="1795" spans="1:4" x14ac:dyDescent="0.2">
      <c r="A1795" s="5">
        <v>1734</v>
      </c>
      <c r="B1795" s="138">
        <f>'Tax Sched 23'!F7</f>
        <v>1270848</v>
      </c>
      <c r="C1795" s="2" t="s">
        <v>594</v>
      </c>
      <c r="D1795" s="2" t="str">
        <f t="shared" si="27"/>
        <v>Error?</v>
      </c>
    </row>
    <row r="1796" spans="1:4" x14ac:dyDescent="0.2">
      <c r="A1796" s="5">
        <v>1735</v>
      </c>
      <c r="B1796" s="138">
        <f>'Tax Sched 23'!F8</f>
        <v>146928</v>
      </c>
      <c r="C1796" s="2" t="s">
        <v>594</v>
      </c>
      <c r="D1796" s="2" t="str">
        <f t="shared" si="27"/>
        <v>Error?</v>
      </c>
    </row>
    <row r="1797" spans="1:4" x14ac:dyDescent="0.2">
      <c r="A1797" s="5">
        <v>1736</v>
      </c>
      <c r="B1797" s="138">
        <f>'Tax Sched 23'!F10</f>
        <v>109248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223</v>
      </c>
      <c r="C1800" s="2" t="s">
        <v>594</v>
      </c>
      <c r="D1800" s="2" t="str">
        <f t="shared" si="27"/>
        <v>Error?</v>
      </c>
    </row>
    <row r="1801" spans="1:4" x14ac:dyDescent="0.2">
      <c r="A1801" s="5">
        <v>1740</v>
      </c>
      <c r="B1801" s="138">
        <f>'Tax Sched 23'!F12</f>
        <v>223</v>
      </c>
      <c r="C1801" s="2" t="s">
        <v>594</v>
      </c>
      <c r="D1801" s="2" t="str">
        <f t="shared" si="27"/>
        <v>Error?</v>
      </c>
    </row>
    <row r="1802" spans="1:4" x14ac:dyDescent="0.2">
      <c r="A1802" s="5">
        <v>1741</v>
      </c>
      <c r="B1802" s="138">
        <f>'Tax Sched 23'!F14</f>
        <v>49942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8455819</v>
      </c>
      <c r="C1807" s="2" t="s">
        <v>594</v>
      </c>
      <c r="D1807" s="2" t="str">
        <f t="shared" si="27"/>
        <v>Error?</v>
      </c>
    </row>
    <row r="1808" spans="1:4" x14ac:dyDescent="0.2">
      <c r="A1808" s="5">
        <v>1747</v>
      </c>
      <c r="B1808" s="138">
        <f>'Tax Sched 23'!E4</f>
        <v>5106355</v>
      </c>
      <c r="D1808" s="2" t="str">
        <f t="shared" si="27"/>
        <v>Error?</v>
      </c>
    </row>
    <row r="1809" spans="1:4" x14ac:dyDescent="0.2">
      <c r="A1809" s="5">
        <v>1748</v>
      </c>
      <c r="B1809" s="138">
        <f>'Tax Sched 23'!E5</f>
        <v>1200171</v>
      </c>
      <c r="D1809" s="2" t="str">
        <f t="shared" si="27"/>
        <v>Error?</v>
      </c>
    </row>
    <row r="1810" spans="1:4" x14ac:dyDescent="0.2">
      <c r="A1810" s="5">
        <v>1749</v>
      </c>
      <c r="B1810" s="138">
        <f>'Tax Sched 23'!E6</f>
        <v>356506</v>
      </c>
      <c r="D1810" s="2" t="str">
        <f t="shared" si="27"/>
        <v>Error?</v>
      </c>
    </row>
    <row r="1811" spans="1:4" x14ac:dyDescent="0.2">
      <c r="A1811" s="5">
        <v>1750</v>
      </c>
      <c r="B1811" s="138">
        <f>'Tax Sched 23'!E7</f>
        <v>1270848</v>
      </c>
      <c r="D1811" s="2" t="str">
        <f t="shared" si="27"/>
        <v>Error?</v>
      </c>
    </row>
    <row r="1812" spans="1:4" x14ac:dyDescent="0.2">
      <c r="A1812" s="5">
        <v>1751</v>
      </c>
      <c r="B1812" s="138">
        <f>'Tax Sched 23'!E8</f>
        <v>146928</v>
      </c>
      <c r="D1812" s="2" t="str">
        <f t="shared" si="27"/>
        <v>Error?</v>
      </c>
    </row>
    <row r="1813" spans="1:4" x14ac:dyDescent="0.2">
      <c r="A1813" s="5">
        <v>1752</v>
      </c>
      <c r="B1813" s="138">
        <f>'Tax Sched 23'!E10</f>
        <v>109248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223</v>
      </c>
      <c r="D1816" s="2" t="str">
        <f t="shared" si="27"/>
        <v>Error?</v>
      </c>
    </row>
    <row r="1817" spans="1:4" x14ac:dyDescent="0.2">
      <c r="A1817" s="5">
        <v>1756</v>
      </c>
      <c r="B1817" s="138">
        <f>'Tax Sched 23'!E12</f>
        <v>223</v>
      </c>
      <c r="D1817" s="2" t="str">
        <f t="shared" si="27"/>
        <v>Error?</v>
      </c>
    </row>
    <row r="1818" spans="1:4" x14ac:dyDescent="0.2">
      <c r="A1818" s="5">
        <v>1757</v>
      </c>
      <c r="B1818" s="138">
        <f>'Tax Sched 23'!E14</f>
        <v>49942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8455819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3865000</v>
      </c>
      <c r="C1939" s="2" t="s">
        <v>594</v>
      </c>
      <c r="D1939" s="2" t="str">
        <f t="shared" si="29"/>
        <v>Error?</v>
      </c>
    </row>
    <row r="1940" spans="1:5" x14ac:dyDescent="0.2">
      <c r="A1940" s="5">
        <v>1879</v>
      </c>
      <c r="B1940" s="138">
        <f>'Short-Term Long-Term Debt 24'!F49</f>
        <v>1200000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49081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49081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49081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851570</v>
      </c>
      <c r="D2008" s="2" t="str">
        <f t="shared" si="30"/>
        <v>Error?</v>
      </c>
    </row>
    <row r="2009" spans="1:4" x14ac:dyDescent="0.2">
      <c r="A2009" s="5">
        <v>1948</v>
      </c>
      <c r="B2009" s="138">
        <f>'Cap Outlay Deprec 26'!C8</f>
        <v>24623192</v>
      </c>
      <c r="D2009" s="2" t="str">
        <f t="shared" si="30"/>
        <v>Error?</v>
      </c>
    </row>
    <row r="2010" spans="1:4" x14ac:dyDescent="0.2">
      <c r="A2010" s="5">
        <v>1949</v>
      </c>
      <c r="B2010" s="138">
        <f>'Cap Outlay Deprec 26'!C10</f>
        <v>685154</v>
      </c>
      <c r="D2010" s="2" t="str">
        <f t="shared" si="30"/>
        <v>Error?</v>
      </c>
    </row>
    <row r="2011" spans="1:4" x14ac:dyDescent="0.2">
      <c r="A2011" s="5">
        <v>1950</v>
      </c>
      <c r="B2011" s="138">
        <f>'Cap Outlay Deprec 26'!C12</f>
        <v>2968484</v>
      </c>
      <c r="D2011" s="2" t="str">
        <f t="shared" si="30"/>
        <v>Error?</v>
      </c>
    </row>
    <row r="2012" spans="1:4" x14ac:dyDescent="0.2">
      <c r="A2012" s="5">
        <v>1951</v>
      </c>
      <c r="B2012" s="138">
        <f>'Cap Outlay Deprec 26'!C13</f>
        <v>97502</v>
      </c>
      <c r="D2012" s="2" t="str">
        <f t="shared" si="30"/>
        <v>Error?</v>
      </c>
    </row>
    <row r="2013" spans="1:4" x14ac:dyDescent="0.2">
      <c r="A2013" s="5">
        <v>1952</v>
      </c>
      <c r="B2013" s="138">
        <f>'Cap Outlay Deprec 26'!C16</f>
        <v>29225902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149708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38418</v>
      </c>
      <c r="D2018" s="2" t="str">
        <f t="shared" si="30"/>
        <v>Error?</v>
      </c>
    </row>
    <row r="2019" spans="1:4" x14ac:dyDescent="0.2">
      <c r="A2019" s="5">
        <v>1958</v>
      </c>
      <c r="B2019" s="138">
        <f>'Cap Outlay Deprec 26'!D16</f>
        <v>390621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851570</v>
      </c>
      <c r="C2026" s="2" t="s">
        <v>594</v>
      </c>
      <c r="D2026" s="2" t="str">
        <f t="shared" si="30"/>
        <v>Error?</v>
      </c>
    </row>
    <row r="2027" spans="1:4" x14ac:dyDescent="0.2">
      <c r="A2027" s="5">
        <v>1966</v>
      </c>
      <c r="B2027" s="138">
        <f>'Cap Outlay Deprec 26'!F8</f>
        <v>24772900</v>
      </c>
      <c r="C2027" s="2" t="s">
        <v>594</v>
      </c>
      <c r="D2027" s="2" t="str">
        <f t="shared" si="30"/>
        <v>Error?</v>
      </c>
    </row>
    <row r="2028" spans="1:4" x14ac:dyDescent="0.2">
      <c r="A2028" s="5">
        <v>1967</v>
      </c>
      <c r="B2028" s="138">
        <f>'Cap Outlay Deprec 26'!F10</f>
        <v>685154</v>
      </c>
      <c r="C2028" s="2" t="s">
        <v>594</v>
      </c>
      <c r="D2028" s="2" t="str">
        <f t="shared" si="30"/>
        <v>Error?</v>
      </c>
    </row>
    <row r="2029" spans="1:4" x14ac:dyDescent="0.2">
      <c r="A2029" s="5">
        <v>1968</v>
      </c>
      <c r="B2029" s="138">
        <f>'Cap Outlay Deprec 26'!F12</f>
        <v>2968484</v>
      </c>
      <c r="C2029" s="2" t="s">
        <v>594</v>
      </c>
      <c r="D2029" s="2" t="str">
        <f t="shared" si="30"/>
        <v>Error?</v>
      </c>
    </row>
    <row r="2030" spans="1:4" x14ac:dyDescent="0.2">
      <c r="A2030" s="5">
        <v>1969</v>
      </c>
      <c r="B2030" s="138">
        <f>'Cap Outlay Deprec 26'!F13</f>
        <v>135920</v>
      </c>
      <c r="C2030" s="2" t="s">
        <v>594</v>
      </c>
      <c r="D2030" s="2" t="str">
        <f t="shared" si="30"/>
        <v>Error?</v>
      </c>
    </row>
    <row r="2031" spans="1:4" x14ac:dyDescent="0.2">
      <c r="A2031" s="5">
        <v>1970</v>
      </c>
      <c r="B2031" s="138">
        <f>'Cap Outlay Deprec 26'!F16</f>
        <v>29616523</v>
      </c>
      <c r="C2031" s="2" t="s">
        <v>594</v>
      </c>
      <c r="D2031" s="2" t="str">
        <f t="shared" si="30"/>
        <v>Error?</v>
      </c>
    </row>
    <row r="2032" spans="1:4" x14ac:dyDescent="0.2">
      <c r="A2032" s="10">
        <v>1971</v>
      </c>
      <c r="D2032" s="2" t="str">
        <f t="shared" si="30"/>
        <v>OK</v>
      </c>
    </row>
    <row r="2033" spans="1:4" x14ac:dyDescent="0.2">
      <c r="A2033" s="5">
        <v>1972</v>
      </c>
      <c r="B2033" s="138">
        <f>'Cap Outlay Deprec 26'!H8</f>
        <v>9558623</v>
      </c>
      <c r="D2033" s="2" t="str">
        <f t="shared" si="30"/>
        <v>Error?</v>
      </c>
    </row>
    <row r="2034" spans="1:4" x14ac:dyDescent="0.2">
      <c r="A2034" s="5">
        <v>1973</v>
      </c>
      <c r="B2034" s="138">
        <f>'Cap Outlay Deprec 26'!H10</f>
        <v>335945</v>
      </c>
      <c r="D2034" s="2" t="str">
        <f t="shared" si="30"/>
        <v>Error?</v>
      </c>
    </row>
    <row r="2035" spans="1:4" x14ac:dyDescent="0.2">
      <c r="A2035" s="5">
        <v>1974</v>
      </c>
      <c r="B2035" s="138">
        <f>'Cap Outlay Deprec 26'!H12</f>
        <v>2957556</v>
      </c>
      <c r="D2035" s="2" t="str">
        <f t="shared" si="30"/>
        <v>Error?</v>
      </c>
    </row>
    <row r="2036" spans="1:4" x14ac:dyDescent="0.2">
      <c r="A2036" s="5">
        <v>1975</v>
      </c>
      <c r="B2036" s="138">
        <f>'Cap Outlay Deprec 26'!H13</f>
        <v>52531</v>
      </c>
      <c r="D2036" s="2" t="str">
        <f t="shared" si="30"/>
        <v>Error?</v>
      </c>
    </row>
    <row r="2037" spans="1:4" x14ac:dyDescent="0.2">
      <c r="A2037" s="5">
        <v>1976</v>
      </c>
      <c r="B2037" s="138">
        <f>'Cap Outlay Deprec 26'!H16</f>
        <v>12904655</v>
      </c>
      <c r="C2037" s="2" t="s">
        <v>594</v>
      </c>
      <c r="D2037" s="2" t="str">
        <f t="shared" si="30"/>
        <v>Error?</v>
      </c>
    </row>
    <row r="2038" spans="1:4" x14ac:dyDescent="0.2">
      <c r="A2038" s="10">
        <v>1977</v>
      </c>
      <c r="D2038" s="2" t="str">
        <f t="shared" si="30"/>
        <v>OK</v>
      </c>
    </row>
    <row r="2039" spans="1:4" x14ac:dyDescent="0.2">
      <c r="A2039" s="5">
        <v>1978</v>
      </c>
      <c r="B2039" s="138">
        <f>'Cap Outlay Deprec 26'!I8</f>
        <v>494587</v>
      </c>
      <c r="D2039" s="2" t="str">
        <f t="shared" si="30"/>
        <v>Error?</v>
      </c>
    </row>
    <row r="2040" spans="1:4" x14ac:dyDescent="0.2">
      <c r="A2040" s="5">
        <v>1979</v>
      </c>
      <c r="B2040" s="138">
        <f>'Cap Outlay Deprec 26'!I10</f>
        <v>34258</v>
      </c>
      <c r="D2040" s="2" t="str">
        <f t="shared" si="30"/>
        <v>Error?</v>
      </c>
    </row>
    <row r="2041" spans="1:4" x14ac:dyDescent="0.2">
      <c r="A2041" s="5">
        <v>1980</v>
      </c>
      <c r="B2041" s="138">
        <f>'Cap Outlay Deprec 26'!I12</f>
        <v>1175</v>
      </c>
      <c r="D2041" s="2" t="str">
        <f t="shared" si="30"/>
        <v>Error?</v>
      </c>
    </row>
    <row r="2042" spans="1:4" x14ac:dyDescent="0.2">
      <c r="A2042" s="5">
        <v>1981</v>
      </c>
      <c r="B2042" s="138">
        <f>'Cap Outlay Deprec 26'!I13</f>
        <v>22702</v>
      </c>
      <c r="D2042" s="2" t="str">
        <f t="shared" si="30"/>
        <v>Error?</v>
      </c>
    </row>
    <row r="2043" spans="1:4" x14ac:dyDescent="0.2">
      <c r="A2043" s="5">
        <v>1982</v>
      </c>
      <c r="B2043" s="138">
        <f>'Cap Outlay Deprec 26'!I16</f>
        <v>552722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10053210</v>
      </c>
      <c r="C2051" s="2" t="s">
        <v>594</v>
      </c>
      <c r="D2051" s="2" t="str">
        <f t="shared" si="31"/>
        <v>Error?</v>
      </c>
    </row>
    <row r="2052" spans="1:4" x14ac:dyDescent="0.2">
      <c r="A2052" s="5">
        <v>1991</v>
      </c>
      <c r="B2052" s="138">
        <f>'Cap Outlay Deprec 26'!K10</f>
        <v>370203</v>
      </c>
      <c r="C2052" s="2" t="s">
        <v>594</v>
      </c>
      <c r="D2052" s="2" t="str">
        <f t="shared" si="31"/>
        <v>Error?</v>
      </c>
    </row>
    <row r="2053" spans="1:4" x14ac:dyDescent="0.2">
      <c r="A2053" s="5">
        <v>1992</v>
      </c>
      <c r="B2053" s="138">
        <f>'Cap Outlay Deprec 26'!K12</f>
        <v>2958731</v>
      </c>
      <c r="C2053" s="2" t="s">
        <v>594</v>
      </c>
      <c r="D2053" s="2" t="str">
        <f t="shared" si="31"/>
        <v>Error?</v>
      </c>
    </row>
    <row r="2054" spans="1:4" x14ac:dyDescent="0.2">
      <c r="A2054" s="5">
        <v>1993</v>
      </c>
      <c r="B2054" s="138">
        <f>'Cap Outlay Deprec 26'!K13</f>
        <v>75233</v>
      </c>
      <c r="C2054" s="2" t="s">
        <v>594</v>
      </c>
      <c r="D2054" s="2" t="str">
        <f t="shared" si="31"/>
        <v>Error?</v>
      </c>
    </row>
    <row r="2055" spans="1:4" x14ac:dyDescent="0.2">
      <c r="A2055" s="5">
        <v>1994</v>
      </c>
      <c r="B2055" s="138">
        <f>'Cap Outlay Deprec 26'!K16</f>
        <v>13457377</v>
      </c>
      <c r="C2055" s="2" t="s">
        <v>594</v>
      </c>
      <c r="D2055" s="2" t="str">
        <f t="shared" si="31"/>
        <v>Error?</v>
      </c>
    </row>
    <row r="2056" spans="1:4" x14ac:dyDescent="0.2">
      <c r="A2056" s="5">
        <v>1995</v>
      </c>
      <c r="B2056" s="138">
        <f>'Cap Outlay Deprec 26'!L5</f>
        <v>851570</v>
      </c>
      <c r="C2056" s="2" t="s">
        <v>594</v>
      </c>
      <c r="D2056" s="2" t="str">
        <f t="shared" si="31"/>
        <v>Error?</v>
      </c>
    </row>
    <row r="2057" spans="1:4" x14ac:dyDescent="0.2">
      <c r="A2057" s="5">
        <v>1996</v>
      </c>
      <c r="B2057" s="138">
        <f>'Cap Outlay Deprec 26'!L8</f>
        <v>14719690</v>
      </c>
      <c r="C2057" s="2" t="s">
        <v>594</v>
      </c>
      <c r="D2057" s="2" t="str">
        <f t="shared" si="31"/>
        <v>Error?</v>
      </c>
    </row>
    <row r="2058" spans="1:4" x14ac:dyDescent="0.2">
      <c r="A2058" s="5">
        <v>1997</v>
      </c>
      <c r="B2058" s="138">
        <f>'Cap Outlay Deprec 26'!L10</f>
        <v>314951</v>
      </c>
      <c r="C2058" s="2" t="s">
        <v>594</v>
      </c>
      <c r="D2058" s="2" t="str">
        <f t="shared" si="31"/>
        <v>Error?</v>
      </c>
    </row>
    <row r="2059" spans="1:4" x14ac:dyDescent="0.2">
      <c r="A2059" s="5">
        <v>1998</v>
      </c>
      <c r="B2059" s="138">
        <f>'Cap Outlay Deprec 26'!L12</f>
        <v>9753</v>
      </c>
      <c r="C2059" s="2" t="s">
        <v>594</v>
      </c>
      <c r="D2059" s="2" t="str">
        <f t="shared" si="31"/>
        <v>Error?</v>
      </c>
    </row>
    <row r="2060" spans="1:4" x14ac:dyDescent="0.2">
      <c r="A2060" s="5">
        <v>1999</v>
      </c>
      <c r="B2060" s="138">
        <f>'Cap Outlay Deprec 26'!L13</f>
        <v>60687</v>
      </c>
      <c r="C2060" s="2" t="s">
        <v>594</v>
      </c>
      <c r="D2060" s="2" t="str">
        <f t="shared" si="31"/>
        <v>Error?</v>
      </c>
    </row>
    <row r="2061" spans="1:4" x14ac:dyDescent="0.2">
      <c r="A2061" s="5">
        <v>2000</v>
      </c>
      <c r="B2061" s="138">
        <f>'Cap Outlay Deprec 26'!L16</f>
        <v>16159146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664312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863107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401855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4955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7165671</v>
      </c>
      <c r="C2551" s="2" t="s">
        <v>594</v>
      </c>
      <c r="D2551" s="2" t="str">
        <f t="shared" si="38"/>
        <v>Error?</v>
      </c>
    </row>
    <row r="2552" spans="1:4" x14ac:dyDescent="0.2">
      <c r="A2552" s="10">
        <v>2491</v>
      </c>
      <c r="D2552" s="2" t="str">
        <f t="shared" si="38"/>
        <v>OK</v>
      </c>
    </row>
    <row r="2553" spans="1:4" x14ac:dyDescent="0.2">
      <c r="A2553" s="5">
        <v>2492</v>
      </c>
      <c r="B2553" s="138">
        <f>'Acct Summary 7-8'!C6</f>
        <v>4774256</v>
      </c>
      <c r="C2553" s="2" t="s">
        <v>594</v>
      </c>
      <c r="D2553" s="2" t="str">
        <f t="shared" si="38"/>
        <v>Error?</v>
      </c>
    </row>
    <row r="2554" spans="1:4" x14ac:dyDescent="0.2">
      <c r="A2554" s="5">
        <v>2493</v>
      </c>
      <c r="B2554" s="138">
        <f>'Acct Summary 7-8'!C7</f>
        <v>698229</v>
      </c>
      <c r="C2554" s="2" t="s">
        <v>594</v>
      </c>
      <c r="D2554" s="2" t="str">
        <f t="shared" si="38"/>
        <v>Error?</v>
      </c>
    </row>
    <row r="2555" spans="1:4" x14ac:dyDescent="0.2">
      <c r="A2555" s="5">
        <v>2494</v>
      </c>
      <c r="B2555" s="138">
        <f>'Acct Summary 7-8'!C8</f>
        <v>12638156</v>
      </c>
      <c r="C2555" s="2" t="s">
        <v>594</v>
      </c>
      <c r="D2555" s="2" t="str">
        <f t="shared" si="38"/>
        <v>Error?</v>
      </c>
    </row>
    <row r="2556" spans="1:4" x14ac:dyDescent="0.2">
      <c r="A2556" s="5">
        <v>2495</v>
      </c>
      <c r="B2556" s="138">
        <f>'Acct Summary 7-8'!C12</f>
        <v>7850752</v>
      </c>
      <c r="C2556" s="2" t="s">
        <v>594</v>
      </c>
      <c r="D2556" s="2" t="str">
        <f t="shared" si="38"/>
        <v>Error?</v>
      </c>
    </row>
    <row r="2557" spans="1:4" x14ac:dyDescent="0.2">
      <c r="A2557" s="5">
        <v>2496</v>
      </c>
      <c r="B2557" s="138">
        <f>'Acct Summary 7-8'!C13</f>
        <v>3037173</v>
      </c>
      <c r="C2557" s="2" t="s">
        <v>594</v>
      </c>
      <c r="D2557" s="2" t="str">
        <f t="shared" si="38"/>
        <v>Error?</v>
      </c>
    </row>
    <row r="2558" spans="1:4" x14ac:dyDescent="0.2">
      <c r="A2558" s="5">
        <v>2497</v>
      </c>
      <c r="B2558" s="138">
        <f>'Acct Summary 7-8'!C14</f>
        <v>709</v>
      </c>
      <c r="C2558" s="2" t="s">
        <v>594</v>
      </c>
      <c r="D2558" s="2" t="str">
        <f t="shared" si="38"/>
        <v>Error?</v>
      </c>
    </row>
    <row r="2559" spans="1:4" x14ac:dyDescent="0.2">
      <c r="A2559" s="5">
        <v>2498</v>
      </c>
      <c r="B2559" s="138">
        <f>'Acct Summary 7-8'!C15</f>
        <v>863107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11751741</v>
      </c>
      <c r="C2561" s="2" t="s">
        <v>594</v>
      </c>
      <c r="D2561" s="2" t="str">
        <f t="shared" si="39"/>
        <v>Error?</v>
      </c>
    </row>
    <row r="2562" spans="1:4" x14ac:dyDescent="0.2">
      <c r="A2562" s="5">
        <v>2501</v>
      </c>
      <c r="B2562" s="138">
        <f>'Acct Summary 7-8'!C20</f>
        <v>886415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1164636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1164636</v>
      </c>
      <c r="C2568" s="2" t="s">
        <v>594</v>
      </c>
      <c r="D2568" s="2" t="str">
        <f t="shared" si="39"/>
        <v>Error?</v>
      </c>
    </row>
    <row r="2569" spans="1:4" x14ac:dyDescent="0.2">
      <c r="A2569" s="5">
        <v>2508</v>
      </c>
      <c r="B2569" s="138">
        <f>'Acct Summary 7-8'!D13</f>
        <v>1349690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1349690</v>
      </c>
      <c r="C2573" s="2" t="s">
        <v>594</v>
      </c>
      <c r="D2573" s="2" t="str">
        <f t="shared" si="39"/>
        <v>Error?</v>
      </c>
    </row>
    <row r="2574" spans="1:4" x14ac:dyDescent="0.2">
      <c r="A2574" s="5">
        <v>2513</v>
      </c>
      <c r="B2574" s="138">
        <f>'Acct Summary 7-8'!D20</f>
        <v>-185054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246579</v>
      </c>
      <c r="C2591" s="2" t="s">
        <v>594</v>
      </c>
      <c r="D2591" s="2" t="str">
        <f t="shared" si="39"/>
        <v>Error?</v>
      </c>
    </row>
    <row r="2592" spans="1:4" x14ac:dyDescent="0.2">
      <c r="A2592" s="10">
        <v>2531</v>
      </c>
      <c r="D2592" s="2" t="str">
        <f t="shared" si="39"/>
        <v>OK</v>
      </c>
    </row>
    <row r="2593" spans="1:4" x14ac:dyDescent="0.2">
      <c r="A2593" s="5">
        <v>2532</v>
      </c>
      <c r="B2593" s="138">
        <f>'Acct Summary 7-8'!F6</f>
        <v>567112</v>
      </c>
      <c r="C2593" s="2" t="s">
        <v>594</v>
      </c>
      <c r="D2593" s="2" t="str">
        <f t="shared" si="39"/>
        <v>Error?</v>
      </c>
    </row>
    <row r="2594" spans="1:4" x14ac:dyDescent="0.2">
      <c r="A2594" s="5">
        <v>2533</v>
      </c>
      <c r="B2594" s="138">
        <f>'Acct Summary 7-8'!F7</f>
        <v>10283</v>
      </c>
      <c r="C2594" s="2" t="s">
        <v>594</v>
      </c>
      <c r="D2594" s="2" t="str">
        <f t="shared" si="39"/>
        <v>Error?</v>
      </c>
    </row>
    <row r="2595" spans="1:4" x14ac:dyDescent="0.2">
      <c r="A2595" s="5">
        <v>2534</v>
      </c>
      <c r="B2595" s="138">
        <f>'Acct Summary 7-8'!F8</f>
        <v>823974</v>
      </c>
      <c r="C2595" s="2" t="s">
        <v>594</v>
      </c>
      <c r="D2595" s="2" t="str">
        <f t="shared" si="39"/>
        <v>Error?</v>
      </c>
    </row>
    <row r="2596" spans="1:4" x14ac:dyDescent="0.2">
      <c r="A2596" s="5">
        <v>2535</v>
      </c>
      <c r="B2596" s="138">
        <f>'Acct Summary 7-8'!F13</f>
        <v>802918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802918</v>
      </c>
      <c r="C2600" s="2" t="s">
        <v>594</v>
      </c>
      <c r="D2600" s="2" t="str">
        <f t="shared" si="39"/>
        <v>Error?</v>
      </c>
    </row>
    <row r="2601" spans="1:4" x14ac:dyDescent="0.2">
      <c r="A2601" s="5">
        <v>2540</v>
      </c>
      <c r="B2601" s="138">
        <f>'Acct Summary 7-8'!F20</f>
        <v>21056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328390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328390</v>
      </c>
      <c r="C2606" s="2" t="s">
        <v>594</v>
      </c>
      <c r="D2606" s="2" t="str">
        <f t="shared" si="39"/>
        <v>Error?</v>
      </c>
    </row>
    <row r="2607" spans="1:4" x14ac:dyDescent="0.2">
      <c r="A2607" s="5">
        <v>2546</v>
      </c>
      <c r="B2607" s="138">
        <f>'Acct Summary 7-8'!G12</f>
        <v>187519</v>
      </c>
      <c r="C2607" s="2" t="s">
        <v>594</v>
      </c>
      <c r="D2607" s="2" t="str">
        <f t="shared" si="39"/>
        <v>Error?</v>
      </c>
    </row>
    <row r="2608" spans="1:4" x14ac:dyDescent="0.2">
      <c r="A2608" s="5">
        <v>2547</v>
      </c>
      <c r="B2608" s="138">
        <f>'Acct Summary 7-8'!G13</f>
        <v>204242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391761</v>
      </c>
      <c r="C2612" s="2" t="s">
        <v>594</v>
      </c>
      <c r="D2612" s="2" t="str">
        <f t="shared" si="39"/>
        <v>Error?</v>
      </c>
    </row>
    <row r="2613" spans="1:4" x14ac:dyDescent="0.2">
      <c r="A2613" s="5">
        <v>2552</v>
      </c>
      <c r="B2613" s="138">
        <f>'Acct Summary 7-8'!G20</f>
        <v>-63371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340065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340065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1517640</v>
      </c>
      <c r="C2634" s="2" t="s">
        <v>594</v>
      </c>
      <c r="D2634" s="2" t="str">
        <f t="shared" si="40"/>
        <v>Error?</v>
      </c>
    </row>
    <row r="2635" spans="1:4" x14ac:dyDescent="0.2">
      <c r="A2635" s="5">
        <v>2574</v>
      </c>
      <c r="B2635" s="138">
        <f>'Acct Summary 7-8'!E17</f>
        <v>1517640</v>
      </c>
      <c r="C2635" s="2" t="s">
        <v>594</v>
      </c>
      <c r="D2635" s="2" t="str">
        <f t="shared" si="40"/>
        <v>Error?</v>
      </c>
    </row>
    <row r="2636" spans="1:4" x14ac:dyDescent="0.2">
      <c r="A2636" s="5">
        <v>2575</v>
      </c>
      <c r="B2636" s="138">
        <f>'Acct Summary 7-8'!E20</f>
        <v>-1177575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70808</v>
      </c>
      <c r="D2718" s="2" t="str">
        <f t="shared" si="41"/>
        <v>Error?</v>
      </c>
    </row>
    <row r="2719" spans="1:4" x14ac:dyDescent="0.2">
      <c r="A2719" s="5">
        <v>2658</v>
      </c>
      <c r="B2719" s="138">
        <f>'Expenditures 15-22'!D51</f>
        <v>29762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100570</v>
      </c>
      <c r="C2724" s="2" t="s">
        <v>594</v>
      </c>
      <c r="D2724" s="2" t="str">
        <f t="shared" si="41"/>
        <v>Error?</v>
      </c>
    </row>
    <row r="2725" spans="1:4" x14ac:dyDescent="0.2">
      <c r="A2725" s="5">
        <v>2664</v>
      </c>
      <c r="B2725" s="138">
        <f>'Expenditures 15-22'!D247</f>
        <v>1027</v>
      </c>
      <c r="D2725" s="2" t="str">
        <f t="shared" si="41"/>
        <v>Error?</v>
      </c>
    </row>
    <row r="2726" spans="1:4" x14ac:dyDescent="0.2">
      <c r="A2726" s="5">
        <v>2665</v>
      </c>
      <c r="B2726" s="138">
        <f>'Expenditures 15-22'!K247</f>
        <v>1027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198795</v>
      </c>
      <c r="C2789" s="2" t="s">
        <v>594</v>
      </c>
      <c r="D2789" s="2" t="str">
        <f t="shared" si="42"/>
        <v>Error?</v>
      </c>
    </row>
    <row r="2790" spans="1:4" x14ac:dyDescent="0.2">
      <c r="A2790" s="5">
        <v>2729</v>
      </c>
      <c r="B2790" s="138">
        <f>'Expenditures 15-22'!E102</f>
        <v>198795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202495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979731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64386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979731</v>
      </c>
      <c r="D2912" s="2" t="str">
        <f t="shared" si="44"/>
        <v>Error?</v>
      </c>
    </row>
    <row r="2913" spans="1:4" x14ac:dyDescent="0.2">
      <c r="A2913" s="5">
        <v>2852</v>
      </c>
      <c r="B2913" s="138">
        <f>'Assets-Liab 5-6'!I41</f>
        <v>979731</v>
      </c>
      <c r="C2913" s="2" t="s">
        <v>594</v>
      </c>
      <c r="D2913" s="2" t="str">
        <f t="shared" si="44"/>
        <v>Error?</v>
      </c>
    </row>
    <row r="2914" spans="1:4" x14ac:dyDescent="0.2">
      <c r="A2914" s="5">
        <v>2853</v>
      </c>
      <c r="B2914" s="138">
        <f>'Assets-Liab 5-6'!L33</f>
        <v>64386</v>
      </c>
      <c r="D2914" s="2" t="str">
        <f t="shared" si="44"/>
        <v>Error?</v>
      </c>
    </row>
    <row r="2915" spans="1:4" x14ac:dyDescent="0.2">
      <c r="A2915" s="10">
        <v>2854</v>
      </c>
      <c r="D2915" s="2" t="str">
        <f t="shared" si="44"/>
        <v>OK</v>
      </c>
    </row>
    <row r="2916" spans="1:4" x14ac:dyDescent="0.2">
      <c r="A2916" s="5">
        <v>2855</v>
      </c>
      <c r="B2916" s="138">
        <f>'Assets-Liab 5-6'!L34</f>
        <v>64386</v>
      </c>
      <c r="C2916" s="2" t="s">
        <v>594</v>
      </c>
      <c r="D2916" s="2" t="str">
        <f t="shared" si="44"/>
        <v>Error?</v>
      </c>
    </row>
    <row r="2917" spans="1:4" x14ac:dyDescent="0.2">
      <c r="A2917" s="5">
        <v>2856</v>
      </c>
      <c r="B2917" s="138">
        <f>'Assets-Liab 5-6'!L41</f>
        <v>64386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198795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286713</v>
      </c>
      <c r="D2955" s="2" t="str">
        <f t="shared" si="45"/>
        <v>Error?</v>
      </c>
    </row>
    <row r="2956" spans="1:4" x14ac:dyDescent="0.2">
      <c r="A2956" s="5">
        <v>2895</v>
      </c>
      <c r="B2956" s="138">
        <f>'Expenditures 15-22'!H79</f>
        <v>377599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286713</v>
      </c>
      <c r="C2973" s="2" t="s">
        <v>594</v>
      </c>
      <c r="D2973" s="2" t="str">
        <f t="shared" si="45"/>
        <v>Error?</v>
      </c>
    </row>
    <row r="2974" spans="1:4" x14ac:dyDescent="0.2">
      <c r="A2974" s="5">
        <v>2913</v>
      </c>
      <c r="B2974" s="138">
        <f>'Expenditures 15-22'!K79</f>
        <v>576394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59569</v>
      </c>
      <c r="D3055" s="2" t="str">
        <f t="shared" si="46"/>
        <v>Error?</v>
      </c>
    </row>
    <row r="3056" spans="1:4" x14ac:dyDescent="0.2">
      <c r="A3056" s="5">
        <v>2995</v>
      </c>
      <c r="B3056" s="138">
        <f>'Expenditures 15-22'!D10</f>
        <v>7403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56087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123059</v>
      </c>
      <c r="C3062" s="2" t="s">
        <v>594</v>
      </c>
      <c r="D3062" s="2" t="str">
        <f t="shared" si="46"/>
        <v>Error?</v>
      </c>
    </row>
    <row r="3063" spans="1:4" x14ac:dyDescent="0.2">
      <c r="A3063" s="10">
        <v>3002</v>
      </c>
      <c r="D3063" s="2" t="str">
        <f t="shared" si="46"/>
        <v>OK</v>
      </c>
    </row>
    <row r="3064" spans="1:4" x14ac:dyDescent="0.2">
      <c r="A3064" s="5">
        <v>3003</v>
      </c>
      <c r="B3064" s="138">
        <f>'Expenditures 15-22'!D219</f>
        <v>6531</v>
      </c>
      <c r="D3064" s="2" t="str">
        <f t="shared" si="46"/>
        <v>Error?</v>
      </c>
    </row>
    <row r="3065" spans="1:4" x14ac:dyDescent="0.2">
      <c r="A3065" s="5">
        <v>3004</v>
      </c>
      <c r="B3065" s="138">
        <f>'Expenditures 15-22'!K219</f>
        <v>6531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1200000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106600</v>
      </c>
      <c r="C3225" s="2" t="s">
        <v>594</v>
      </c>
      <c r="D3225" s="2" t="str">
        <f t="shared" si="49"/>
        <v>Error?</v>
      </c>
    </row>
    <row r="3226" spans="1:4" x14ac:dyDescent="0.2">
      <c r="A3226" s="5">
        <v>3165</v>
      </c>
      <c r="B3226" s="138">
        <f>'Acct Summary 7-8'!I8</f>
        <v>106600</v>
      </c>
      <c r="C3226" s="2" t="s">
        <v>594</v>
      </c>
      <c r="D3226" s="2" t="str">
        <f t="shared" si="49"/>
        <v>Error?</v>
      </c>
    </row>
    <row r="3227" spans="1:4" x14ac:dyDescent="0.2">
      <c r="A3227" s="5">
        <v>3166</v>
      </c>
      <c r="B3227" s="138">
        <f>'Acct Summary 7-8'!I20</f>
        <v>106600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886415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-185054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21056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-63371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1200000</v>
      </c>
      <c r="C3274" s="2" t="s">
        <v>594</v>
      </c>
      <c r="D3274" s="2" t="str">
        <f t="shared" si="50"/>
        <v>Error?</v>
      </c>
    </row>
    <row r="3275" spans="1:4" x14ac:dyDescent="0.2">
      <c r="A3275" s="5">
        <v>3214</v>
      </c>
      <c r="B3275" s="138">
        <f>'Acct Summary 7-8'!E75</f>
        <v>22800</v>
      </c>
      <c r="D3275" s="2" t="str">
        <f t="shared" si="50"/>
        <v>Error?</v>
      </c>
    </row>
    <row r="3276" spans="1:4" x14ac:dyDescent="0.2">
      <c r="A3276" s="5">
        <v>3215</v>
      </c>
      <c r="B3276" s="138">
        <f>'Acct Summary 7-8'!E76</f>
        <v>22800</v>
      </c>
      <c r="C3276" s="2" t="s">
        <v>594</v>
      </c>
      <c r="D3276" s="2" t="str">
        <f t="shared" si="50"/>
        <v>Error?</v>
      </c>
    </row>
    <row r="3277" spans="1:4" x14ac:dyDescent="0.2">
      <c r="A3277" s="5">
        <v>3216</v>
      </c>
      <c r="B3277" s="138">
        <f>'Acct Summary 7-8'!E77</f>
        <v>1177200</v>
      </c>
      <c r="C3277" s="2" t="s">
        <v>594</v>
      </c>
      <c r="D3277" s="2" t="str">
        <f t="shared" si="50"/>
        <v>Error?</v>
      </c>
    </row>
    <row r="3278" spans="1:4" x14ac:dyDescent="0.2">
      <c r="A3278" s="5">
        <v>3217</v>
      </c>
      <c r="B3278" s="138">
        <f>'Acct Summary 7-8'!E78</f>
        <v>-375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106600</v>
      </c>
      <c r="C3320" s="2" t="s">
        <v>594</v>
      </c>
      <c r="D3320" s="2" t="str">
        <f t="shared" si="50"/>
        <v>Error?</v>
      </c>
    </row>
    <row r="3321" spans="1:4" x14ac:dyDescent="0.2">
      <c r="A3321" s="5">
        <v>3260</v>
      </c>
      <c r="B3321" s="138">
        <f>'Acct Summary 7-8'!I79</f>
        <v>873131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979731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969195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189657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7204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1166056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72402</v>
      </c>
      <c r="D3387" s="2" t="str">
        <f t="shared" si="51"/>
        <v>Error?</v>
      </c>
    </row>
    <row r="3388" spans="1:4" x14ac:dyDescent="0.2">
      <c r="A3388" s="5">
        <v>3327</v>
      </c>
      <c r="B3388" s="138">
        <f>'Expenditures 15-22'!D217</f>
        <v>103164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72402</v>
      </c>
      <c r="C3390" s="2" t="s">
        <v>594</v>
      </c>
      <c r="D3390" s="2" t="str">
        <f t="shared" si="51"/>
        <v>Error?</v>
      </c>
    </row>
    <row r="3391" spans="1:4" x14ac:dyDescent="0.2">
      <c r="A3391" s="5">
        <v>3330</v>
      </c>
      <c r="B3391" s="138">
        <f>'Expenditures 15-22'!K217</f>
        <v>103164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5315504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812953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7062</v>
      </c>
      <c r="D3417" s="2" t="str">
        <f t="shared" si="52"/>
        <v>Error?</v>
      </c>
    </row>
    <row r="3418" spans="1:4" x14ac:dyDescent="0.2">
      <c r="A3418" s="10">
        <v>3357</v>
      </c>
      <c r="D3418" s="2" t="str">
        <f t="shared" si="52"/>
        <v>OK</v>
      </c>
    </row>
    <row r="3419" spans="1:4" x14ac:dyDescent="0.2">
      <c r="A3419" s="5">
        <v>3358</v>
      </c>
      <c r="B3419" s="138">
        <f>'Assets-Liab 5-6'!F4</f>
        <v>633403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23004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119</v>
      </c>
      <c r="D3425" s="2" t="str">
        <f t="shared" si="52"/>
        <v>Error?</v>
      </c>
    </row>
    <row r="3426" spans="1:4" x14ac:dyDescent="0.2">
      <c r="A3426" s="10">
        <v>3365</v>
      </c>
      <c r="D3426" s="2" t="str">
        <f t="shared" si="52"/>
        <v>OK</v>
      </c>
    </row>
    <row r="3427" spans="1:4" x14ac:dyDescent="0.2">
      <c r="A3427" s="5">
        <v>3366</v>
      </c>
      <c r="B3427" s="138">
        <f>'Assets-Liab 5-6'!I4</f>
        <v>979731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64386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281421</v>
      </c>
      <c r="C3446" s="2" t="s">
        <v>594</v>
      </c>
      <c r="D3446" s="2" t="str">
        <f t="shared" si="52"/>
        <v>Error?</v>
      </c>
    </row>
    <row r="3447" spans="1:4" x14ac:dyDescent="0.2">
      <c r="A3447" s="5">
        <v>3386</v>
      </c>
      <c r="B3447" s="138">
        <f>'Tax Sched 23'!D16</f>
        <v>281421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215375</v>
      </c>
      <c r="C3449" s="2" t="s">
        <v>594</v>
      </c>
      <c r="D3449" s="2" t="str">
        <f t="shared" si="52"/>
        <v>Error?</v>
      </c>
    </row>
    <row r="3450" spans="1:4" x14ac:dyDescent="0.2">
      <c r="A3450" s="5">
        <v>3389</v>
      </c>
      <c r="B3450" s="138">
        <f>'Tax Sched 23'!E16</f>
        <v>215375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202495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202495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202495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296803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296803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296803</v>
      </c>
      <c r="D3567" s="2" t="str">
        <f t="shared" si="54"/>
        <v>Error?</v>
      </c>
    </row>
    <row r="3568" spans="1:4" x14ac:dyDescent="0.2">
      <c r="A3568" s="5">
        <v>3507</v>
      </c>
      <c r="B3568" s="138">
        <f>'Assets-Liab 5-6'!K41</f>
        <v>296803</v>
      </c>
      <c r="C3568" s="2" t="s">
        <v>594</v>
      </c>
      <c r="D3568" s="2" t="str">
        <f t="shared" si="54"/>
        <v>Error?</v>
      </c>
    </row>
    <row r="3569" spans="1:4" x14ac:dyDescent="0.2">
      <c r="A3569" s="5">
        <v>3508</v>
      </c>
      <c r="B3569" s="138">
        <f>'Acct Summary 7-8'!K4</f>
        <v>3450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3450</v>
      </c>
      <c r="C3571" s="2" t="s">
        <v>594</v>
      </c>
      <c r="D3571" s="2" t="str">
        <f t="shared" si="54"/>
        <v>Error?</v>
      </c>
    </row>
    <row r="3572" spans="1:4" x14ac:dyDescent="0.2">
      <c r="A3572" s="5">
        <v>3511</v>
      </c>
      <c r="B3572" s="138">
        <f>'Acct Summary 7-8'!K13</f>
        <v>114964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114964</v>
      </c>
      <c r="C3575" s="2" t="s">
        <v>594</v>
      </c>
      <c r="D3575" s="2" t="str">
        <f t="shared" si="54"/>
        <v>Error?</v>
      </c>
    </row>
    <row r="3576" spans="1:4" x14ac:dyDescent="0.2">
      <c r="A3576" s="5">
        <v>3515</v>
      </c>
      <c r="B3576" s="138">
        <f>'Acct Summary 7-8'!K20</f>
        <v>-111514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-111514</v>
      </c>
      <c r="C3588" s="2" t="s">
        <v>594</v>
      </c>
      <c r="D3588" s="2" t="str">
        <f t="shared" si="55"/>
        <v>Error?</v>
      </c>
    </row>
    <row r="3589" spans="1:4" x14ac:dyDescent="0.2">
      <c r="A3589" s="5">
        <v>3528</v>
      </c>
      <c r="B3589" s="138">
        <f>'Acct Summary 7-8'!K79</f>
        <v>408317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296803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18714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18714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18714</v>
      </c>
      <c r="C3635" s="2" t="s">
        <v>594</v>
      </c>
      <c r="D3635" s="2" t="str">
        <f t="shared" si="55"/>
        <v>Error?</v>
      </c>
    </row>
    <row r="3636" spans="1:4" x14ac:dyDescent="0.2">
      <c r="A3636" s="5">
        <v>3575</v>
      </c>
      <c r="B3636" s="138">
        <f>'Expenditures 15-22'!E367</f>
        <v>18714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96250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96250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96250</v>
      </c>
      <c r="C3649" s="2" t="s">
        <v>594</v>
      </c>
      <c r="D3649" s="2" t="str">
        <f t="shared" si="56"/>
        <v>Error?</v>
      </c>
    </row>
    <row r="3650" spans="1:4" x14ac:dyDescent="0.2">
      <c r="A3650" s="5">
        <v>3589</v>
      </c>
      <c r="B3650" s="138">
        <f>'Expenditures 15-22'!G367</f>
        <v>96250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114964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114964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114964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114964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-111514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199376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781285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13419441</v>
      </c>
      <c r="C4122" s="2" t="s">
        <v>594</v>
      </c>
      <c r="D4122" s="2" t="str">
        <f t="shared" si="63"/>
        <v>Error?</v>
      </c>
    </row>
    <row r="4123" spans="1:4" x14ac:dyDescent="0.2">
      <c r="A4123" s="5">
        <v>4062</v>
      </c>
      <c r="B4123" s="138">
        <f>'Acct Summary 7-8'!D10</f>
        <v>1164636</v>
      </c>
      <c r="C4123" s="2" t="s">
        <v>594</v>
      </c>
      <c r="D4123" s="2" t="str">
        <f t="shared" si="63"/>
        <v>Error?</v>
      </c>
    </row>
    <row r="4124" spans="1:4" x14ac:dyDescent="0.2">
      <c r="A4124" s="5">
        <v>4063</v>
      </c>
      <c r="B4124" s="138">
        <f>'Acct Summary 7-8'!E10</f>
        <v>340065</v>
      </c>
      <c r="C4124" s="2" t="s">
        <v>594</v>
      </c>
      <c r="D4124" s="2" t="str">
        <f t="shared" si="63"/>
        <v>Error?</v>
      </c>
    </row>
    <row r="4125" spans="1:4" x14ac:dyDescent="0.2">
      <c r="A4125" s="5">
        <v>4064</v>
      </c>
      <c r="B4125" s="138">
        <f>'Acct Summary 7-8'!F10</f>
        <v>823974</v>
      </c>
      <c r="C4125" s="2" t="s">
        <v>594</v>
      </c>
      <c r="D4125" s="2" t="str">
        <f t="shared" si="63"/>
        <v>Error?</v>
      </c>
    </row>
    <row r="4126" spans="1:4" x14ac:dyDescent="0.2">
      <c r="A4126" s="5">
        <v>4065</v>
      </c>
      <c r="B4126" s="138">
        <f>'Acct Summary 7-8'!G10</f>
        <v>328390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106600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3450</v>
      </c>
      <c r="C4130" s="2" t="s">
        <v>594</v>
      </c>
      <c r="D4130" s="2" t="str">
        <f t="shared" si="63"/>
        <v>Error?</v>
      </c>
    </row>
    <row r="4131" spans="1:4" x14ac:dyDescent="0.2">
      <c r="A4131" s="5">
        <v>4070</v>
      </c>
      <c r="B4131" s="138">
        <f>'Acct Summary 7-8'!C18</f>
        <v>781285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12533026</v>
      </c>
      <c r="C4136" s="2" t="s">
        <v>594</v>
      </c>
      <c r="D4136" s="2" t="str">
        <f t="shared" si="63"/>
        <v>Error?</v>
      </c>
    </row>
    <row r="4137" spans="1:4" x14ac:dyDescent="0.2">
      <c r="A4137" s="5">
        <v>4076</v>
      </c>
      <c r="B4137" s="138">
        <f>'Acct Summary 7-8'!D19</f>
        <v>1349690</v>
      </c>
      <c r="C4137" s="2" t="s">
        <v>594</v>
      </c>
      <c r="D4137" s="2" t="str">
        <f t="shared" si="63"/>
        <v>Error?</v>
      </c>
    </row>
    <row r="4138" spans="1:4" x14ac:dyDescent="0.2">
      <c r="A4138" s="5">
        <v>4077</v>
      </c>
      <c r="B4138" s="138">
        <f>'Acct Summary 7-8'!E19</f>
        <v>1517640</v>
      </c>
      <c r="C4138" s="2" t="s">
        <v>594</v>
      </c>
      <c r="D4138" s="2" t="str">
        <f t="shared" si="63"/>
        <v>Error?</v>
      </c>
    </row>
    <row r="4139" spans="1:4" x14ac:dyDescent="0.2">
      <c r="A4139" s="5">
        <v>4078</v>
      </c>
      <c r="B4139" s="138">
        <f>'Acct Summary 7-8'!F19</f>
        <v>802918</v>
      </c>
      <c r="C4139" s="2" t="s">
        <v>594</v>
      </c>
      <c r="D4139" s="2" t="str">
        <f t="shared" si="63"/>
        <v>Error?</v>
      </c>
    </row>
    <row r="4140" spans="1:4" x14ac:dyDescent="0.2">
      <c r="A4140" s="5">
        <v>4079</v>
      </c>
      <c r="B4140" s="138">
        <f>'Acct Summary 7-8'!G19</f>
        <v>391761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114964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3720000</v>
      </c>
      <c r="C4171" s="2" t="s">
        <v>594</v>
      </c>
      <c r="D4171" s="2" t="str">
        <f t="shared" si="64"/>
        <v>Error?</v>
      </c>
    </row>
    <row r="4172" spans="1:4" x14ac:dyDescent="0.2">
      <c r="A4172" s="5">
        <v>4111</v>
      </c>
      <c r="B4172" s="138">
        <f>'Short-Term Long-Term Debt 24'!J49</f>
        <v>3712938</v>
      </c>
      <c r="C4172" s="2" t="s">
        <v>594</v>
      </c>
      <c r="D4172" s="2" t="str">
        <f t="shared" si="64"/>
        <v>Error?</v>
      </c>
    </row>
    <row r="4173" spans="1:4" x14ac:dyDescent="0.2">
      <c r="A4173" s="5">
        <v>4112</v>
      </c>
      <c r="B4173" s="138">
        <f>'Short-Term Long-Term Debt 24'!H49</f>
        <v>1345000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2290.3000000000002</v>
      </c>
      <c r="C4265" s="2" t="s">
        <v>594</v>
      </c>
      <c r="D4265" s="2" t="str">
        <f t="shared" si="65"/>
        <v>Error?</v>
      </c>
      <c r="E4265" s="128"/>
    </row>
    <row r="4266" spans="1:5" x14ac:dyDescent="0.2">
      <c r="A4266" s="12">
        <v>4205</v>
      </c>
      <c r="B4266" s="138">
        <f>('FP Info 3'!F10)*100000</f>
        <v>538.29999999999995</v>
      </c>
      <c r="C4266" s="2" t="s">
        <v>594</v>
      </c>
      <c r="D4266" s="2" t="str">
        <f t="shared" si="65"/>
        <v>Error?</v>
      </c>
      <c r="E4266" s="128"/>
    </row>
    <row r="4267" spans="1:5" x14ac:dyDescent="0.2">
      <c r="A4267" s="12">
        <v>4206</v>
      </c>
      <c r="B4267" s="138">
        <f>('FP Info 3'!H10)*100000</f>
        <v>570</v>
      </c>
      <c r="C4267" s="2" t="s">
        <v>594</v>
      </c>
      <c r="D4267" s="2" t="str">
        <f t="shared" si="65"/>
        <v>Error?</v>
      </c>
      <c r="E4267" s="128"/>
    </row>
    <row r="4268" spans="1:5" x14ac:dyDescent="0.2">
      <c r="A4268" s="12">
        <v>4207</v>
      </c>
      <c r="B4268" s="138">
        <f>('FP Info 3'!J10)*100000</f>
        <v>3399</v>
      </c>
      <c r="C4268" s="2" t="s">
        <v>594</v>
      </c>
      <c r="D4268" s="2" t="str">
        <f t="shared" si="65"/>
        <v>Error?</v>
      </c>
    </row>
    <row r="4269" spans="1:5" x14ac:dyDescent="0.2">
      <c r="A4269" s="12">
        <v>4208</v>
      </c>
      <c r="B4269" s="138">
        <f>'FP Info 3'!J16</f>
        <v>7740197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19545</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14716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91057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39362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10283</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227384668</v>
      </c>
      <c r="D4995" s="2" t="str">
        <f t="shared" si="77"/>
        <v>Error?</v>
      </c>
    </row>
    <row r="4996" spans="1:4" x14ac:dyDescent="0.2">
      <c r="A4996" s="12">
        <v>4935</v>
      </c>
      <c r="B4996" s="138">
        <f>'FP Info 3'!H31</f>
        <v>15689542.092000002</v>
      </c>
      <c r="D4996" s="2" t="str">
        <f t="shared" si="77"/>
        <v>Error?</v>
      </c>
    </row>
    <row r="4997" spans="1:4" x14ac:dyDescent="0.2">
      <c r="A4997" s="12">
        <v>4936</v>
      </c>
      <c r="B4997" s="138">
        <f>'FP Info 3'!H37</f>
        <v>3720000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6080213</v>
      </c>
      <c r="D5061" s="2" t="str">
        <f t="shared" si="78"/>
        <v>Error?</v>
      </c>
    </row>
    <row r="5062" spans="1:4" x14ac:dyDescent="0.2">
      <c r="A5062" s="10">
        <v>5001</v>
      </c>
      <c r="D5062" s="2" t="str">
        <f t="shared" si="78"/>
        <v>OK</v>
      </c>
    </row>
    <row r="5063" spans="1:4" x14ac:dyDescent="0.2">
      <c r="A5063" s="5">
        <v>5002</v>
      </c>
      <c r="B5063" s="138">
        <f>'Revenues 9-14'!C7</f>
        <v>49081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6129294</v>
      </c>
      <c r="C5066" s="2" t="s">
        <v>594</v>
      </c>
      <c r="D5066" s="2" t="str">
        <f t="shared" si="78"/>
        <v>Error?</v>
      </c>
    </row>
    <row r="5067" spans="1:4" x14ac:dyDescent="0.2">
      <c r="A5067" s="5">
        <v>5006</v>
      </c>
      <c r="B5067" s="138">
        <f>'Revenues 9-14'!C14</f>
        <v>113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214823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214936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1450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21352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22802</v>
      </c>
      <c r="C5087" s="2" t="s">
        <v>594</v>
      </c>
      <c r="D5087" s="2" t="str">
        <f t="shared" si="78"/>
        <v>Error?</v>
      </c>
    </row>
    <row r="5088" spans="1:4" x14ac:dyDescent="0.2">
      <c r="A5088" s="5">
        <v>5027</v>
      </c>
      <c r="B5088" s="138">
        <f>'Revenues 9-14'!C65</f>
        <v>75333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75333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4534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7018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248444</v>
      </c>
      <c r="C5096" s="2" t="s">
        <v>594</v>
      </c>
      <c r="D5096" s="2" t="str">
        <f t="shared" si="78"/>
        <v>Error?</v>
      </c>
    </row>
    <row r="5097" spans="1:4" x14ac:dyDescent="0.2">
      <c r="A5097" s="5">
        <v>5036</v>
      </c>
      <c r="B5097" s="138">
        <f>'Revenues 9-14'!C77</f>
        <v>22739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133894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156633</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121</v>
      </c>
      <c r="D5111" s="2" t="str">
        <f t="shared" si="78"/>
        <v>Error?</v>
      </c>
    </row>
    <row r="5112" spans="1:4" x14ac:dyDescent="0.2">
      <c r="A5112" s="5">
        <v>5051</v>
      </c>
      <c r="B5112" s="138">
        <f>'Revenues 9-14'!C93</f>
        <v>121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64713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14127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227480</v>
      </c>
      <c r="D5119" s="2" t="str">
        <f t="shared" ref="D5119:D5182" si="79">IF(ISBLANK(B5119),"OK",IF(A5119-B5119=0,"OK","Error?"))</f>
        <v>Error?</v>
      </c>
    </row>
    <row r="5120" spans="1:4" x14ac:dyDescent="0.2">
      <c r="A5120" s="5">
        <v>5059</v>
      </c>
      <c r="B5120" s="138">
        <f>'Revenues 9-14'!C108</f>
        <v>318108</v>
      </c>
      <c r="C5120" s="2" t="s">
        <v>594</v>
      </c>
      <c r="D5120" s="2" t="str">
        <f t="shared" si="79"/>
        <v>Error?</v>
      </c>
    </row>
    <row r="5121" spans="1:4" x14ac:dyDescent="0.2">
      <c r="A5121" s="5">
        <v>5060</v>
      </c>
      <c r="B5121" s="138">
        <f>'Revenues 9-14'!C109</f>
        <v>7165671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4326194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4326194</v>
      </c>
      <c r="C5132" s="2" t="s">
        <v>594</v>
      </c>
      <c r="D5132" s="2" t="str">
        <f t="shared" si="79"/>
        <v>Error?</v>
      </c>
    </row>
    <row r="5133" spans="1:4" x14ac:dyDescent="0.2">
      <c r="A5133" s="5">
        <v>5072</v>
      </c>
      <c r="B5133" s="138">
        <f>'Revenues 9-14'!C124</f>
        <v>69061</v>
      </c>
      <c r="D5133" s="2" t="str">
        <f t="shared" si="79"/>
        <v>Error?</v>
      </c>
    </row>
    <row r="5134" spans="1:4" x14ac:dyDescent="0.2">
      <c r="A5134" s="5">
        <v>5073</v>
      </c>
      <c r="B5134" s="138">
        <f>'Revenues 9-14'!C125</f>
        <v>94261</v>
      </c>
      <c r="D5134" s="2" t="str">
        <f t="shared" si="79"/>
        <v>Error?</v>
      </c>
    </row>
    <row r="5135" spans="1:4" x14ac:dyDescent="0.2">
      <c r="A5135" s="5">
        <v>5074</v>
      </c>
      <c r="B5135" s="138">
        <f>'Revenues 9-14'!C126</f>
        <v>99993</v>
      </c>
      <c r="D5135" s="2" t="str">
        <f t="shared" si="79"/>
        <v>Error?</v>
      </c>
    </row>
    <row r="5136" spans="1:4" x14ac:dyDescent="0.2">
      <c r="A5136" s="10">
        <v>5075</v>
      </c>
      <c r="D5136" s="2" t="str">
        <f t="shared" si="79"/>
        <v>OK</v>
      </c>
    </row>
    <row r="5137" spans="1:4" x14ac:dyDescent="0.2">
      <c r="A5137" s="5">
        <v>5076</v>
      </c>
      <c r="B5137" s="138">
        <f>'Revenues 9-14'!C127</f>
        <v>4364</v>
      </c>
      <c r="D5137" s="2" t="str">
        <f t="shared" si="79"/>
        <v>Error?</v>
      </c>
    </row>
    <row r="5138" spans="1:4" x14ac:dyDescent="0.2">
      <c r="A5138" s="10">
        <v>5077</v>
      </c>
      <c r="D5138" s="2" t="str">
        <f t="shared" si="79"/>
        <v>OK</v>
      </c>
    </row>
    <row r="5139" spans="1:4" x14ac:dyDescent="0.2">
      <c r="A5139" s="5">
        <v>5078</v>
      </c>
      <c r="B5139" s="138">
        <f>'Revenues 9-14'!C128</f>
        <v>15783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304159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2292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141611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448062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4774256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175785</v>
      </c>
      <c r="D5239" s="2" t="str">
        <f t="shared" si="80"/>
        <v>Error?</v>
      </c>
    </row>
    <row r="5240" spans="1:4" x14ac:dyDescent="0.2">
      <c r="A5240" s="5">
        <v>5179</v>
      </c>
      <c r="B5240" s="138">
        <f>'Revenues 9-14'!C195</f>
        <v>1213</v>
      </c>
      <c r="D5240" s="2" t="str">
        <f t="shared" si="80"/>
        <v>Error?</v>
      </c>
    </row>
    <row r="5241" spans="1:4" x14ac:dyDescent="0.2">
      <c r="A5241" s="5">
        <v>5180</v>
      </c>
      <c r="B5241" s="138">
        <f>'Revenues 9-14'!C196</f>
        <v>22378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199376</v>
      </c>
      <c r="C5246" s="2" t="s">
        <v>594</v>
      </c>
      <c r="D5246" s="2" t="str">
        <f t="shared" si="80"/>
        <v>Error?</v>
      </c>
    </row>
    <row r="5247" spans="1:4" x14ac:dyDescent="0.2">
      <c r="A5247" s="5">
        <v>5186</v>
      </c>
      <c r="B5247" s="138">
        <f>'Revenues 9-14'!C203</f>
        <v>114482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114482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5425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228376</v>
      </c>
      <c r="D5278" s="2" t="str">
        <f t="shared" si="81"/>
        <v>Error?</v>
      </c>
    </row>
    <row r="5279" spans="1:4" x14ac:dyDescent="0.2">
      <c r="A5279" s="5">
        <v>5218</v>
      </c>
      <c r="B5279" s="138">
        <f>'Revenues 9-14'!C221</f>
        <v>5435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239236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698229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698229</v>
      </c>
      <c r="C5326" s="2" t="s">
        <v>594</v>
      </c>
      <c r="D5326" s="2" t="str">
        <f t="shared" si="82"/>
        <v>Error?</v>
      </c>
    </row>
    <row r="5327" spans="1:4" x14ac:dyDescent="0.2">
      <c r="A5327" s="5">
        <v>5266</v>
      </c>
      <c r="B5327" s="138">
        <f>'Revenues 9-14'!C275</f>
        <v>12638156</v>
      </c>
      <c r="C5327" s="2" t="s">
        <v>594</v>
      </c>
      <c r="D5327" s="2" t="str">
        <f t="shared" si="82"/>
        <v>Error?</v>
      </c>
    </row>
    <row r="5328" spans="1:4" x14ac:dyDescent="0.2">
      <c r="A5328" s="5">
        <v>5267</v>
      </c>
      <c r="B5328" s="138">
        <f>'Revenues 9-14'!D5</f>
        <v>1132322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1132322</v>
      </c>
      <c r="C5334" s="2" t="s">
        <v>594</v>
      </c>
      <c r="D5334" s="2" t="str">
        <f t="shared" si="82"/>
        <v>Error?</v>
      </c>
    </row>
    <row r="5335" spans="1:4" x14ac:dyDescent="0.2">
      <c r="A5335" s="5">
        <v>5274</v>
      </c>
      <c r="B5335" s="138">
        <f>'Revenues 9-14'!D14</f>
        <v>21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v>
      </c>
      <c r="C5339" s="2" t="s">
        <v>594</v>
      </c>
      <c r="D5339" s="2" t="str">
        <f t="shared" si="82"/>
        <v>Error?</v>
      </c>
    </row>
    <row r="5340" spans="1:4" x14ac:dyDescent="0.2">
      <c r="A5340" s="5">
        <v>5279</v>
      </c>
      <c r="B5340" s="138">
        <f>'Revenues 9-14'!D65</f>
        <v>13973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13973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18320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18320</v>
      </c>
      <c r="C5355" s="2" t="s">
        <v>594</v>
      </c>
      <c r="D5355" s="2" t="str">
        <f t="shared" si="82"/>
        <v>Error?</v>
      </c>
    </row>
    <row r="5356" spans="1:4" x14ac:dyDescent="0.2">
      <c r="A5356" s="5">
        <v>5295</v>
      </c>
      <c r="B5356" s="138">
        <f>'Revenues 9-14'!D109</f>
        <v>1164636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1164636</v>
      </c>
      <c r="C5508" s="2" t="s">
        <v>594</v>
      </c>
      <c r="D5508" s="2" t="str">
        <f t="shared" si="85"/>
        <v>Error?</v>
      </c>
    </row>
    <row r="5509" spans="1:4" x14ac:dyDescent="0.2">
      <c r="A5509" s="5">
        <v>5448</v>
      </c>
      <c r="B5509" s="138">
        <f>'Revenues 9-14'!E5</f>
        <v>339074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339074</v>
      </c>
      <c r="C5513" s="2" t="s">
        <v>594</v>
      </c>
      <c r="D5513" s="2" t="str">
        <f t="shared" si="85"/>
        <v>Error?</v>
      </c>
    </row>
    <row r="5514" spans="1:4" x14ac:dyDescent="0.2">
      <c r="A5514" s="5">
        <v>5453</v>
      </c>
      <c r="B5514" s="138">
        <f>'Revenues 9-14'!E14</f>
        <v>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v>
      </c>
      <c r="C5518" s="2" t="s">
        <v>594</v>
      </c>
      <c r="D5518" s="2" t="str">
        <f t="shared" si="85"/>
        <v>Error?</v>
      </c>
    </row>
    <row r="5519" spans="1:4" x14ac:dyDescent="0.2">
      <c r="A5519" s="5">
        <v>5458</v>
      </c>
      <c r="B5519" s="138">
        <f>'Revenues 9-14'!E65</f>
        <v>985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985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340065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340065</v>
      </c>
      <c r="C5552" s="2" t="s">
        <v>594</v>
      </c>
      <c r="D5552" s="2" t="str">
        <f t="shared" si="85"/>
        <v>Error?</v>
      </c>
    </row>
    <row r="5553" spans="1:4" x14ac:dyDescent="0.2">
      <c r="A5553" s="5">
        <v>5492</v>
      </c>
      <c r="B5553" s="138">
        <f>'Revenues 9-14'!F5</f>
        <v>238123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238123</v>
      </c>
      <c r="C5557" s="2" t="s">
        <v>594</v>
      </c>
      <c r="D5557" s="2" t="str">
        <f t="shared" si="85"/>
        <v>Error?</v>
      </c>
    </row>
    <row r="5558" spans="1:4" x14ac:dyDescent="0.2">
      <c r="A5558" s="5">
        <v>5497</v>
      </c>
      <c r="B5558" s="138">
        <f>'Revenues 9-14'!F14</f>
        <v>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8452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8452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246579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417956</v>
      </c>
      <c r="D5615" s="2" t="str">
        <f t="shared" si="86"/>
        <v>Error?</v>
      </c>
    </row>
    <row r="5616" spans="1:4" x14ac:dyDescent="0.2">
      <c r="A5616" s="10">
        <v>5555</v>
      </c>
      <c r="D5616" s="2" t="str">
        <f t="shared" si="86"/>
        <v>OK</v>
      </c>
    </row>
    <row r="5617" spans="1:4" x14ac:dyDescent="0.2">
      <c r="A5617" s="5">
        <v>5556</v>
      </c>
      <c r="B5617" s="138">
        <f>'Revenues 9-14'!F152</f>
        <v>132247</v>
      </c>
      <c r="D5617" s="2" t="str">
        <f t="shared" si="86"/>
        <v>Error?</v>
      </c>
    </row>
    <row r="5618" spans="1:4" x14ac:dyDescent="0.2">
      <c r="A5618" s="5">
        <v>5557</v>
      </c>
      <c r="B5618" s="138">
        <f>'Revenues 9-14'!F154</f>
        <v>550203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16909</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567112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567112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10283</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10283</v>
      </c>
      <c r="C5719" s="2" t="s">
        <v>594</v>
      </c>
      <c r="D5719" s="2" t="str">
        <f t="shared" si="88"/>
        <v>Error?</v>
      </c>
    </row>
    <row r="5720" spans="1:4" x14ac:dyDescent="0.2">
      <c r="A5720" s="5">
        <v>5659</v>
      </c>
      <c r="B5720" s="138">
        <f>'Revenues 9-14'!F275</f>
        <v>823974</v>
      </c>
      <c r="C5720" s="2" t="s">
        <v>594</v>
      </c>
      <c r="D5720" s="2" t="str">
        <f t="shared" si="88"/>
        <v>Error?</v>
      </c>
    </row>
    <row r="5721" spans="1:4" x14ac:dyDescent="0.2">
      <c r="A5721" s="5">
        <v>5660</v>
      </c>
      <c r="B5721" s="138">
        <f>'Revenues 9-14'!G5</f>
        <v>9856</v>
      </c>
      <c r="D5721" s="2" t="str">
        <f t="shared" si="88"/>
        <v>Error?</v>
      </c>
    </row>
    <row r="5722" spans="1:4" x14ac:dyDescent="0.2">
      <c r="A5722" s="5">
        <v>5661</v>
      </c>
      <c r="B5722" s="138">
        <f>'Revenues 9-14'!G7</f>
        <v>0</v>
      </c>
      <c r="D5722" s="2" t="str">
        <f t="shared" si="88"/>
        <v>Error?</v>
      </c>
    </row>
    <row r="5723" spans="1:4" x14ac:dyDescent="0.2">
      <c r="A5723" s="5">
        <v>5662</v>
      </c>
      <c r="B5723" s="138">
        <f>'Revenues 9-14'!G8</f>
        <v>281421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291277</v>
      </c>
      <c r="C5725" s="2" t="s">
        <v>594</v>
      </c>
      <c r="D5725" s="2" t="str">
        <f t="shared" si="88"/>
        <v>Error?</v>
      </c>
    </row>
    <row r="5726" spans="1:4" x14ac:dyDescent="0.2">
      <c r="A5726" s="5">
        <v>5665</v>
      </c>
      <c r="B5726" s="138">
        <f>'Revenues 9-14'!G14</f>
        <v>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35522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35527</v>
      </c>
      <c r="C5730" s="2" t="s">
        <v>594</v>
      </c>
      <c r="D5730" s="2" t="str">
        <f t="shared" si="88"/>
        <v>Error?</v>
      </c>
    </row>
    <row r="5731" spans="1:4" x14ac:dyDescent="0.2">
      <c r="A5731" s="5">
        <v>5670</v>
      </c>
      <c r="B5731" s="138">
        <f>'Revenues 9-14'!G65</f>
        <v>1586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1586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328390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96664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96664</v>
      </c>
      <c r="C5918" s="2" t="s">
        <v>594</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v>
      </c>
      <c r="C5923" s="2" t="s">
        <v>594</v>
      </c>
      <c r="D5923" s="2" t="str">
        <f t="shared" si="91"/>
        <v>Error?</v>
      </c>
    </row>
    <row r="5924" spans="1:4" x14ac:dyDescent="0.2">
      <c r="A5924" s="5">
        <v>5863</v>
      </c>
      <c r="B5924" s="138">
        <f>'Revenues 9-14'!I65</f>
        <v>9934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9934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106600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3450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3450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3450</v>
      </c>
      <c r="C6023" s="2" t="s">
        <v>594</v>
      </c>
      <c r="D6023" s="2" t="str">
        <f t="shared" si="93"/>
        <v>Error?</v>
      </c>
    </row>
    <row r="6024" spans="1:5" x14ac:dyDescent="0.2">
      <c r="A6024" s="5">
        <v>5963</v>
      </c>
      <c r="B6024" s="138">
        <f>'Revenues 9-14'!G109</f>
        <v>328390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106600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3450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236892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46143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1432.5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152</v>
      </c>
      <c r="D6215" s="2" t="str">
        <f t="shared" si="96"/>
        <v>Error?</v>
      </c>
      <c r="E6215" s="2" t="s">
        <v>199</v>
      </c>
    </row>
    <row r="6216" spans="1:5" x14ac:dyDescent="0.2">
      <c r="A6216">
        <v>6155</v>
      </c>
      <c r="B6216" s="138">
        <f>'Assets-Liab 5-6'!J41</f>
        <v>152</v>
      </c>
      <c r="D6216" s="2" t="str">
        <f t="shared" si="96"/>
        <v>Error?</v>
      </c>
      <c r="E6216" s="2" t="s">
        <v>199</v>
      </c>
    </row>
    <row r="6217" spans="1:5" x14ac:dyDescent="0.2">
      <c r="A6217">
        <v>6156</v>
      </c>
      <c r="B6217" s="138">
        <f>'Assets-Liab 5-6'!J4</f>
        <v>152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152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152</v>
      </c>
      <c r="D6266" s="2" t="str">
        <f t="shared" si="96"/>
        <v>Error?</v>
      </c>
      <c r="E6266" s="2" t="s">
        <v>199</v>
      </c>
    </row>
    <row r="6267" spans="1:5" x14ac:dyDescent="0.2">
      <c r="A6267">
        <v>6206</v>
      </c>
      <c r="B6267" s="138">
        <f>'Acct Summary 7-8'!C82</f>
        <v>886415</v>
      </c>
      <c r="D6267" s="2" t="str">
        <f t="shared" si="96"/>
        <v>Error?</v>
      </c>
      <c r="E6267" s="2" t="s">
        <v>199</v>
      </c>
    </row>
    <row r="6268" spans="1:5" x14ac:dyDescent="0.2">
      <c r="A6268">
        <v>6207</v>
      </c>
      <c r="B6268" s="138">
        <f>'Acct Summary 7-8'!D82</f>
        <v>-185054</v>
      </c>
      <c r="D6268" s="2" t="str">
        <f t="shared" si="96"/>
        <v>Error?</v>
      </c>
      <c r="E6268" s="2" t="s">
        <v>199</v>
      </c>
    </row>
    <row r="6269" spans="1:5" x14ac:dyDescent="0.2">
      <c r="A6269">
        <v>6208</v>
      </c>
      <c r="B6269" s="138">
        <f>'Acct Summary 7-8'!E82</f>
        <v>-375</v>
      </c>
      <c r="D6269" s="2" t="str">
        <f t="shared" si="96"/>
        <v>Error?</v>
      </c>
      <c r="E6269" s="2" t="s">
        <v>199</v>
      </c>
    </row>
    <row r="6270" spans="1:5" x14ac:dyDescent="0.2">
      <c r="A6270">
        <v>6209</v>
      </c>
      <c r="B6270" s="138">
        <f>'Acct Summary 7-8'!F82</f>
        <v>21056</v>
      </c>
      <c r="D6270" s="2" t="str">
        <f t="shared" si="96"/>
        <v>Error?</v>
      </c>
      <c r="E6270" s="2" t="s">
        <v>199</v>
      </c>
    </row>
    <row r="6271" spans="1:5" x14ac:dyDescent="0.2">
      <c r="A6271">
        <v>6210</v>
      </c>
      <c r="B6271" s="138">
        <f>'Acct Summary 7-8'!G82</f>
        <v>-63371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106600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-111514</v>
      </c>
      <c r="D6275" s="2" t="str">
        <f t="shared" si="97"/>
        <v>Error?</v>
      </c>
      <c r="E6275" s="2" t="s">
        <v>199</v>
      </c>
    </row>
    <row r="6276" spans="1:5" x14ac:dyDescent="0.2">
      <c r="A6276">
        <v>6215</v>
      </c>
      <c r="B6276" s="138">
        <f>'Acct Summary 7-8'!C83</f>
        <v>0.1668040368001415</v>
      </c>
      <c r="D6276" s="2" t="str">
        <f t="shared" si="97"/>
        <v>Error?</v>
      </c>
      <c r="E6276" s="2" t="s">
        <v>199</v>
      </c>
    </row>
    <row r="6277" spans="1:5" x14ac:dyDescent="0.2">
      <c r="A6277">
        <v>6216</v>
      </c>
      <c r="B6277" s="138">
        <f>'Acct Summary 7-8'!D83</f>
        <v>-0.22763185571613612</v>
      </c>
      <c r="D6277" s="2" t="str">
        <f t="shared" si="97"/>
        <v>Error?</v>
      </c>
      <c r="E6277" s="2" t="s">
        <v>199</v>
      </c>
    </row>
    <row r="6278" spans="1:5" x14ac:dyDescent="0.2">
      <c r="A6278">
        <v>6217</v>
      </c>
      <c r="B6278" s="138">
        <f>'Acct Summary 7-8'!E83</f>
        <v>-5.3101104502973659E-2</v>
      </c>
      <c r="D6278" s="2" t="str">
        <f t="shared" si="97"/>
        <v>Error?</v>
      </c>
      <c r="E6278" s="2" t="s">
        <v>199</v>
      </c>
    </row>
    <row r="6279" spans="1:5" x14ac:dyDescent="0.2">
      <c r="A6279">
        <v>6218</v>
      </c>
      <c r="B6279" s="138">
        <f>'Acct Summary 7-8'!F83</f>
        <v>3.3242659096973014E-2</v>
      </c>
      <c r="D6279" s="2" t="str">
        <f t="shared" si="97"/>
        <v>Error?</v>
      </c>
      <c r="E6279" s="2" t="s">
        <v>199</v>
      </c>
    </row>
    <row r="6280" spans="1:5" x14ac:dyDescent="0.2">
      <c r="A6280">
        <v>6219</v>
      </c>
      <c r="B6280" s="138">
        <f>'Acct Summary 7-8'!G83</f>
        <v>-2.7547817770822465</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0.10880537616958125</v>
      </c>
      <c r="D6282" s="2" t="str">
        <f t="shared" si="97"/>
        <v>Error?</v>
      </c>
      <c r="E6282" s="2" t="s">
        <v>199</v>
      </c>
    </row>
    <row r="6283" spans="1:5" x14ac:dyDescent="0.2">
      <c r="A6283">
        <v>6222</v>
      </c>
      <c r="B6283" s="138">
        <f>'Acct Summary 7-8'!J83</f>
        <v>0</v>
      </c>
      <c r="D6283" s="2" t="str">
        <f t="shared" si="97"/>
        <v>Error?</v>
      </c>
      <c r="E6283" s="2" t="s">
        <v>199</v>
      </c>
    </row>
    <row r="6284" spans="1:5" x14ac:dyDescent="0.2">
      <c r="A6284">
        <v>6223</v>
      </c>
      <c r="B6284" s="138">
        <f>'Acct Summary 7-8'!K83</f>
        <v>-0.37571722657789847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11788</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82329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27982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104525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406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28388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230367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230367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84253</v>
      </c>
      <c r="D6933" s="2" t="str">
        <f t="shared" si="107"/>
        <v>Error?</v>
      </c>
    </row>
    <row r="6934" spans="1:4" x14ac:dyDescent="0.2">
      <c r="A6934">
        <v>6873</v>
      </c>
      <c r="B6934" s="138">
        <f>'Expenditures 15-22'!E52</f>
        <v>78704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162957</v>
      </c>
      <c r="D6940" s="2" t="str">
        <f t="shared" si="107"/>
        <v>Error?</v>
      </c>
    </row>
    <row r="6941" spans="1:4" x14ac:dyDescent="0.2">
      <c r="A6941">
        <v>6880</v>
      </c>
      <c r="B6941" s="138">
        <f>'Expenditures 15-22'!L52</f>
        <v>160166</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230367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258755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43330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43330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43330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43330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3296</v>
      </c>
      <c r="D7073" s="2" t="str">
        <f t="shared" si="109"/>
        <v>Error?</v>
      </c>
    </row>
    <row r="7074" spans="1:4" x14ac:dyDescent="0.2">
      <c r="A7074">
        <v>7013</v>
      </c>
      <c r="B7074" s="138">
        <f>'Expenditures 15-22'!K216</f>
        <v>3296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22046</v>
      </c>
      <c r="D7246" s="2" t="str">
        <f t="shared" si="112"/>
        <v>Error?</v>
      </c>
    </row>
    <row r="7247" spans="1:4" x14ac:dyDescent="0.2">
      <c r="A7247">
        <f t="shared" si="113"/>
        <v>7186</v>
      </c>
      <c r="B7247" s="138">
        <f>'Expenditures 15-22'!E7</f>
        <v>150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302085</v>
      </c>
      <c r="D7624" s="2" t="str">
        <f t="shared" si="124"/>
        <v>Error?</v>
      </c>
      <c r="E7624" s="2" t="s">
        <v>19</v>
      </c>
    </row>
    <row r="7625" spans="1:5" x14ac:dyDescent="0.2">
      <c r="A7625">
        <f t="shared" si="123"/>
        <v>7564</v>
      </c>
      <c r="B7625" s="138">
        <f>'Cap Outlay Deprec 26'!I17</f>
        <v>30208.5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582930.5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49081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777395</v>
      </c>
      <c r="D7797" s="2" t="str">
        <f t="shared" si="127"/>
        <v>Error?</v>
      </c>
      <c r="E7797" s="4" t="s">
        <v>2020</v>
      </c>
    </row>
    <row r="7798" spans="1:5" x14ac:dyDescent="0.2">
      <c r="A7798">
        <v>7737</v>
      </c>
      <c r="B7798" s="138">
        <f>'Contracts Paid in CY 29'!F141</f>
        <v>75000</v>
      </c>
      <c r="D7798" s="2" t="str">
        <f t="shared" si="127"/>
        <v>Error?</v>
      </c>
      <c r="E7798" s="4" t="s">
        <v>2020</v>
      </c>
    </row>
    <row r="7799" spans="1:5" x14ac:dyDescent="0.2">
      <c r="A7799">
        <v>7738</v>
      </c>
      <c r="B7799" s="138">
        <f>'Contracts Paid in CY 29'!G141</f>
        <v>702395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5" t="s">
        <v>1253</v>
      </c>
      <c r="B2" s="2405"/>
      <c r="C2" s="2405"/>
      <c r="D2" s="2405"/>
      <c r="E2" s="2405"/>
      <c r="F2" s="2405"/>
      <c r="G2" s="2405"/>
      <c r="H2" s="2405"/>
      <c r="I2" s="2405"/>
      <c r="J2" s="2405"/>
      <c r="K2" s="2405"/>
      <c r="L2" s="2405"/>
    </row>
    <row r="3" spans="1:29" ht="13.5" customHeight="1" x14ac:dyDescent="0.2">
      <c r="A3" s="2436" t="s">
        <v>1252</v>
      </c>
      <c r="B3" s="2436"/>
      <c r="C3" s="2436"/>
      <c r="D3" s="2436"/>
      <c r="E3" s="2436"/>
      <c r="F3" s="2436"/>
      <c r="G3" s="2436"/>
      <c r="H3" s="2436"/>
      <c r="I3" s="2436"/>
      <c r="J3" s="2436"/>
      <c r="K3" s="2436"/>
      <c r="L3" s="2436"/>
    </row>
    <row r="4" spans="1:29" ht="13.5" customHeight="1" x14ac:dyDescent="0.2">
      <c r="A4" s="2405" t="s">
        <v>1799</v>
      </c>
      <c r="B4" s="2426"/>
      <c r="C4" s="2426"/>
      <c r="D4" s="2426"/>
      <c r="E4" s="2426"/>
      <c r="F4" s="2426"/>
      <c r="G4" s="2426"/>
      <c r="H4" s="2426"/>
      <c r="I4" s="2426"/>
      <c r="J4" s="2426"/>
      <c r="K4" s="2426"/>
      <c r="L4" s="242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7" t="str">
        <f>COVER!A17</f>
        <v>Rockton SD 140</v>
      </c>
      <c r="B7" s="2428"/>
      <c r="C7" s="2428"/>
      <c r="D7" s="2429"/>
      <c r="E7" s="2430">
        <f>COVER!A13</f>
        <v>4101140004</v>
      </c>
      <c r="F7" s="2431"/>
      <c r="G7" s="2437" t="str">
        <f>COVER!T23</f>
        <v>066-004238</v>
      </c>
      <c r="H7" s="2438"/>
      <c r="I7" s="2438"/>
      <c r="J7" s="2438"/>
      <c r="K7" s="2438"/>
      <c r="L7" s="243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40"/>
      <c r="B9" s="2441"/>
      <c r="C9" s="2441"/>
      <c r="D9" s="2441"/>
      <c r="E9" s="2441"/>
      <c r="F9" s="2442"/>
      <c r="G9" s="2411" t="str">
        <f>COVER!T13</f>
        <v>BENNING GROUP, LLC</v>
      </c>
      <c r="H9" s="2443"/>
      <c r="I9" s="2443"/>
      <c r="J9" s="2443"/>
      <c r="K9" s="2443"/>
      <c r="L9" s="2444"/>
    </row>
    <row r="10" spans="1:29" ht="13.5" customHeight="1" x14ac:dyDescent="0.2">
      <c r="A10" s="2417" t="str">
        <f>COVER!A38</f>
        <v>GLENN TERRY</v>
      </c>
      <c r="B10" s="2418"/>
      <c r="C10" s="2418"/>
      <c r="D10" s="2418"/>
      <c r="E10" s="2418"/>
      <c r="F10" s="2419"/>
      <c r="G10" s="2411" t="str">
        <f>COVER!T17</f>
        <v>50 W. DOUGLAS STREET, SUITE 801</v>
      </c>
      <c r="H10" s="2412"/>
      <c r="I10" s="2412"/>
      <c r="J10" s="2412"/>
      <c r="K10" s="2412"/>
      <c r="L10" s="2413"/>
    </row>
    <row r="11" spans="1:29" ht="13.5" customHeight="1" x14ac:dyDescent="0.2">
      <c r="A11" s="1185" t="s">
        <v>1599</v>
      </c>
      <c r="B11" s="1186"/>
      <c r="C11" s="1187"/>
      <c r="D11" s="1192"/>
      <c r="E11" s="1187"/>
      <c r="F11" s="1191"/>
      <c r="G11" s="2411" t="str">
        <f>COVER!T19</f>
        <v>FREEPORT</v>
      </c>
      <c r="H11" s="2412"/>
      <c r="I11" s="2412"/>
      <c r="J11" s="2412"/>
      <c r="K11" s="2412"/>
      <c r="L11" s="2413"/>
    </row>
    <row r="12" spans="1:29" ht="13.5" customHeight="1" x14ac:dyDescent="0.2">
      <c r="A12" s="2420" t="s">
        <v>1598</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1600</v>
      </c>
      <c r="H13" s="2407"/>
      <c r="I13" s="2423" t="str">
        <f>COVER!T25</f>
        <v>jblocker@benninggroup.com</v>
      </c>
      <c r="J13" s="2424"/>
      <c r="K13" s="2424"/>
      <c r="L13" s="2425"/>
    </row>
    <row r="14" spans="1:29" ht="13.5" customHeight="1" x14ac:dyDescent="0.2">
      <c r="A14" s="2411" t="str">
        <f>COVER!A19</f>
        <v>1050 EAST UNION STREET</v>
      </c>
      <c r="B14" s="2412"/>
      <c r="C14" s="2412"/>
      <c r="D14" s="2412"/>
      <c r="E14" s="2412"/>
      <c r="F14" s="2413"/>
      <c r="G14" s="1196" t="s">
        <v>1247</v>
      </c>
      <c r="H14" s="1194"/>
      <c r="I14" s="1194"/>
      <c r="J14" s="1194"/>
      <c r="K14" s="1194"/>
      <c r="L14" s="1195"/>
    </row>
    <row r="15" spans="1:29" ht="13.5" customHeight="1" x14ac:dyDescent="0.2">
      <c r="A15" s="2411" t="str">
        <f>COVER!A21</f>
        <v>ROCKTON</v>
      </c>
      <c r="B15" s="2412"/>
      <c r="C15" s="2412"/>
      <c r="D15" s="2412"/>
      <c r="E15" s="2412"/>
      <c r="F15" s="2413"/>
      <c r="G15" s="2408" t="str">
        <f>COVER!T15</f>
        <v>JENNY L. BLOCKER</v>
      </c>
      <c r="H15" s="2409"/>
      <c r="I15" s="2409"/>
      <c r="J15" s="2409"/>
      <c r="K15" s="2409"/>
      <c r="L15" s="2410"/>
    </row>
    <row r="16" spans="1:29" ht="12.2" customHeight="1" x14ac:dyDescent="0.2">
      <c r="A16" s="2433">
        <f>COVER!A25</f>
        <v>61072</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6" t="s">
        <v>1246</v>
      </c>
      <c r="H17" s="1194"/>
      <c r="I17" s="1194"/>
      <c r="J17" s="1194"/>
      <c r="K17" s="1198" t="s">
        <v>1245</v>
      </c>
      <c r="L17" s="1191"/>
      <c r="M17" s="1184"/>
    </row>
    <row r="18" spans="1:13" ht="12.2" customHeight="1" x14ac:dyDescent="0.2">
      <c r="A18" s="2417"/>
      <c r="B18" s="2418"/>
      <c r="C18" s="2418"/>
      <c r="D18" s="2418"/>
      <c r="E18" s="2418"/>
      <c r="F18" s="2419"/>
      <c r="G18" s="2427" t="str">
        <f>COVER!T21</f>
        <v>815/235-3157</v>
      </c>
      <c r="H18" s="2428"/>
      <c r="I18" s="2428"/>
      <c r="J18" s="2428"/>
      <c r="K18" s="2427" t="str">
        <f>COVER!X21</f>
        <v>815/235-3158</v>
      </c>
      <c r="L18" s="243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9" t="str">
        <f>'Single Audit Cover'!A7</f>
        <v>Rockton SD 140</v>
      </c>
      <c r="B1" s="2426"/>
      <c r="C1" s="2426"/>
      <c r="D1" s="2426"/>
    </row>
    <row r="2" spans="1:11" s="1215" customFormat="1" ht="12.75" x14ac:dyDescent="0.2">
      <c r="A2" s="2450">
        <f>'Single Audit Cover'!E7</f>
        <v>4101140004</v>
      </c>
      <c r="B2" s="2451"/>
      <c r="C2" s="2451"/>
      <c r="D2" s="2451"/>
    </row>
    <row r="3" spans="1:11" s="1215" customFormat="1" ht="12.75" x14ac:dyDescent="0.2">
      <c r="A3" s="2449" t="s">
        <v>1593</v>
      </c>
      <c r="B3" s="2426"/>
      <c r="C3" s="2426"/>
      <c r="D3" s="242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3" t="str">
        <f>'Single Audit Cover'!A7</f>
        <v>Rockton SD 140</v>
      </c>
      <c r="B1" s="2453"/>
      <c r="C1" s="2453"/>
      <c r="D1" s="2453"/>
      <c r="E1" s="2453"/>
    </row>
    <row r="2" spans="1:5" x14ac:dyDescent="0.2">
      <c r="A2" s="2454">
        <f>'Single Audit Cover'!E7</f>
        <v>4101140004</v>
      </c>
      <c r="B2" s="2454"/>
      <c r="C2" s="2454"/>
      <c r="D2" s="2454"/>
      <c r="E2" s="2454"/>
    </row>
    <row r="3" spans="1:5" ht="4.5" customHeight="1" x14ac:dyDescent="0.2"/>
    <row r="4" spans="1:5" x14ac:dyDescent="0.2">
      <c r="A4" s="2453" t="s">
        <v>1307</v>
      </c>
      <c r="B4" s="2453"/>
      <c r="C4" s="2453"/>
      <c r="D4" s="2453"/>
      <c r="E4" s="2453"/>
    </row>
    <row r="5" spans="1:5" x14ac:dyDescent="0.2">
      <c r="A5" s="2456" t="str">
        <f>'Single Audit Cover'!A4</f>
        <v>Year Ending June 30, 2018</v>
      </c>
      <c r="B5" s="2456"/>
      <c r="C5" s="2456"/>
      <c r="D5" s="2456"/>
      <c r="E5" s="2456"/>
    </row>
    <row r="6" spans="1:5" x14ac:dyDescent="0.2">
      <c r="A6" s="2453" t="s">
        <v>1306</v>
      </c>
      <c r="B6" s="2453"/>
      <c r="C6" s="2453"/>
      <c r="D6" s="2453"/>
      <c r="E6" s="2453"/>
    </row>
    <row r="8" spans="1:5" x14ac:dyDescent="0.2">
      <c r="A8" s="1260" t="s">
        <v>1305</v>
      </c>
    </row>
    <row r="10" spans="1:5" x14ac:dyDescent="0.2">
      <c r="A10" s="1261" t="s">
        <v>1304</v>
      </c>
      <c r="B10" s="1262" t="s">
        <v>1303</v>
      </c>
      <c r="C10" s="1262"/>
      <c r="D10" s="1263">
        <f>SUM('Acct Summary 7-8'!C7:K7)</f>
        <v>708512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46143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-101340</v>
      </c>
    </row>
    <row r="19" spans="1:4" ht="13.5" thickBot="1" x14ac:dyDescent="0.25">
      <c r="A19" s="1265" t="s">
        <v>1297</v>
      </c>
      <c r="D19" s="1266">
        <f>SUM(D10:D17)</f>
        <v>653315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5"/>
      <c r="B24" s="2455"/>
      <c r="D24" s="1268"/>
    </row>
    <row r="25" spans="1:4" x14ac:dyDescent="0.2">
      <c r="A25" s="2452"/>
      <c r="B25" s="2452"/>
      <c r="D25" s="1268"/>
    </row>
    <row r="26" spans="1:4" x14ac:dyDescent="0.2">
      <c r="A26" s="2452"/>
      <c r="B26" s="2452"/>
      <c r="D26" s="1268"/>
    </row>
    <row r="27" spans="1:4" x14ac:dyDescent="0.2">
      <c r="A27" s="2452"/>
      <c r="B27" s="2452"/>
      <c r="D27" s="1268"/>
    </row>
    <row r="28" spans="1:4" x14ac:dyDescent="0.2">
      <c r="A28" s="2452"/>
      <c r="B28" s="2452"/>
      <c r="D28" s="1268"/>
    </row>
    <row r="29" spans="1:4" x14ac:dyDescent="0.2">
      <c r="A29" s="2452"/>
      <c r="B29" s="2452"/>
      <c r="D29" s="1268"/>
    </row>
    <row r="30" spans="1:4" x14ac:dyDescent="0.2">
      <c r="A30" s="2452"/>
      <c r="B30" s="2452"/>
      <c r="D30" s="1268"/>
    </row>
    <row r="32" spans="1:4" x14ac:dyDescent="0.2">
      <c r="A32" s="1260" t="s">
        <v>1295</v>
      </c>
      <c r="D32" s="1263">
        <f>SUM(D19:D30)</f>
        <v>653315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2"/>
      <c r="B40" s="2452"/>
      <c r="D40" s="1268"/>
    </row>
    <row r="41" spans="1:4" x14ac:dyDescent="0.2">
      <c r="A41" s="2452"/>
      <c r="B41" s="2452"/>
      <c r="D41" s="1271"/>
    </row>
    <row r="42" spans="1:4" x14ac:dyDescent="0.2">
      <c r="A42" s="2452"/>
      <c r="B42" s="2452"/>
      <c r="D42" s="1271"/>
    </row>
    <row r="43" spans="1:4" x14ac:dyDescent="0.2">
      <c r="A43" s="2452"/>
      <c r="B43" s="2452"/>
      <c r="D43" s="1271"/>
    </row>
    <row r="44" spans="1:4" x14ac:dyDescent="0.2">
      <c r="A44" s="2452"/>
      <c r="B44" s="2452"/>
      <c r="D44" s="1271"/>
    </row>
    <row r="45" spans="1:4" x14ac:dyDescent="0.2">
      <c r="A45" s="2452"/>
      <c r="B45" s="2452"/>
      <c r="D45" s="1271"/>
    </row>
    <row r="47" spans="1:4" x14ac:dyDescent="0.2">
      <c r="B47" s="1272" t="s">
        <v>1289</v>
      </c>
      <c r="C47" s="1272"/>
      <c r="D47" s="1273">
        <f>SUM(D35:D45)</f>
        <v>0</v>
      </c>
    </row>
    <row r="49" spans="2:4" x14ac:dyDescent="0.2">
      <c r="B49" s="1272" t="s">
        <v>1288</v>
      </c>
      <c r="C49" s="1272"/>
      <c r="D49" s="1273">
        <f>D32-D47</f>
        <v>653315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Rockton SD 140</v>
      </c>
      <c r="B1" s="2466"/>
      <c r="C1" s="2466"/>
      <c r="D1" s="2466"/>
      <c r="E1" s="2466"/>
      <c r="F1" s="2466"/>
    </row>
    <row r="2" spans="1:7" ht="13.5" customHeight="1" x14ac:dyDescent="0.2">
      <c r="A2" s="2467">
        <f>'Single Audit Cover'!E7</f>
        <v>4101140004</v>
      </c>
      <c r="B2" s="2467"/>
      <c r="C2" s="2467"/>
      <c r="D2" s="2467"/>
      <c r="E2" s="2467"/>
      <c r="F2" s="2467"/>
      <c r="G2" s="1275"/>
    </row>
    <row r="3" spans="1:7" ht="15.75" customHeight="1" x14ac:dyDescent="0.2">
      <c r="A3" s="2468" t="s">
        <v>1333</v>
      </c>
      <c r="B3" s="2468"/>
      <c r="C3" s="2468"/>
      <c r="D3" s="2468"/>
      <c r="E3" s="2468"/>
      <c r="F3" s="2468"/>
    </row>
    <row r="4" spans="1:7" ht="13.5" customHeight="1" x14ac:dyDescent="0.2">
      <c r="A4" s="2469" t="str">
        <f>'Single Audit Cover'!A4</f>
        <v>Year Ending June 30, 2018</v>
      </c>
      <c r="B4" s="2469"/>
      <c r="C4" s="2469"/>
      <c r="D4" s="2469"/>
      <c r="E4" s="2469"/>
      <c r="F4" s="2469"/>
    </row>
    <row r="5" spans="1:7" ht="8.25" customHeight="1" x14ac:dyDescent="0.2">
      <c r="C5" s="317"/>
      <c r="D5" s="317"/>
    </row>
    <row r="6" spans="1:7" ht="13.5" customHeight="1" x14ac:dyDescent="0.2">
      <c r="A6" s="1276" t="s">
        <v>1831</v>
      </c>
      <c r="C6" s="317"/>
      <c r="D6" s="317"/>
    </row>
    <row r="7" spans="1:7" ht="60.95" customHeight="1" x14ac:dyDescent="0.2">
      <c r="A7" s="2465" t="s">
        <v>1832</v>
      </c>
      <c r="B7" s="2465"/>
      <c r="C7" s="2465"/>
      <c r="D7" s="2465"/>
      <c r="E7" s="2465"/>
      <c r="F7" s="2465"/>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5" t="s">
        <v>1834</v>
      </c>
      <c r="B13" s="2465"/>
      <c r="C13" s="2465"/>
      <c r="D13" s="2465"/>
      <c r="E13" s="2465"/>
      <c r="F13" s="2465"/>
    </row>
    <row r="14" spans="1:7" ht="9.75" customHeight="1" x14ac:dyDescent="0.2">
      <c r="C14" s="1260"/>
      <c r="D14" s="1260"/>
    </row>
    <row r="15" spans="1:7" ht="13.5" customHeight="1" x14ac:dyDescent="0.2">
      <c r="C15" s="1871" t="s">
        <v>1332</v>
      </c>
      <c r="D15" s="2463" t="s">
        <v>1331</v>
      </c>
      <c r="E15" s="2463"/>
      <c r="F15" s="2463"/>
    </row>
    <row r="16" spans="1:7" ht="13.5" customHeight="1" x14ac:dyDescent="0.2">
      <c r="A16" s="1282"/>
      <c r="B16" s="1276" t="s">
        <v>1330</v>
      </c>
      <c r="C16" s="1871" t="s">
        <v>1329</v>
      </c>
      <c r="D16" s="2464" t="s">
        <v>1670</v>
      </c>
      <c r="E16" s="2464"/>
      <c r="F16" s="2464"/>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Rockton SD 140</v>
      </c>
      <c r="C1" s="2470"/>
      <c r="D1" s="2470"/>
      <c r="E1" s="2470"/>
      <c r="F1" s="2470"/>
      <c r="G1" s="2470"/>
      <c r="H1" s="2470"/>
      <c r="I1" s="2470"/>
      <c r="J1" s="2470"/>
      <c r="K1" s="2470"/>
      <c r="L1" s="2470"/>
      <c r="M1" s="2470"/>
    </row>
    <row r="2" spans="2:14" ht="15" x14ac:dyDescent="0.2">
      <c r="B2" s="2467">
        <f>'Single Audit Cover'!E7</f>
        <v>4101140004</v>
      </c>
      <c r="C2" s="2467"/>
      <c r="D2" s="2467"/>
      <c r="E2" s="2467"/>
      <c r="F2" s="2467"/>
      <c r="G2" s="2467"/>
      <c r="H2" s="2467"/>
      <c r="I2" s="2467"/>
      <c r="J2" s="2467"/>
      <c r="K2" s="2467"/>
      <c r="L2" s="2467"/>
      <c r="M2" s="2467"/>
      <c r="N2" s="1302"/>
    </row>
    <row r="3" spans="2:14" ht="15" x14ac:dyDescent="0.2">
      <c r="B3" s="2471" t="s">
        <v>1281</v>
      </c>
      <c r="C3" s="2471"/>
      <c r="D3" s="2471"/>
      <c r="E3" s="2471"/>
      <c r="F3" s="2471"/>
      <c r="G3" s="2471"/>
      <c r="H3" s="2471"/>
      <c r="I3" s="2471"/>
      <c r="J3" s="2471"/>
      <c r="K3" s="2471"/>
      <c r="L3" s="2471"/>
      <c r="M3" s="2471"/>
      <c r="N3" s="1302"/>
    </row>
    <row r="4" spans="2:14" ht="15" x14ac:dyDescent="0.2">
      <c r="B4" s="2472" t="str">
        <f>'Single Audit Cover'!A4</f>
        <v>Year Ending June 30, 2018</v>
      </c>
      <c r="C4" s="2472"/>
      <c r="D4" s="2472"/>
      <c r="E4" s="2472"/>
      <c r="F4" s="2472"/>
      <c r="G4" s="2472"/>
      <c r="H4" s="2472"/>
      <c r="I4" s="2472"/>
      <c r="J4" s="2472"/>
      <c r="K4" s="2472"/>
      <c r="L4" s="2472"/>
      <c r="M4" s="2472"/>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1840</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1951</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1841</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1842</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1843</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1844</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Rockton SD 140</v>
      </c>
      <c r="C1" s="2485"/>
      <c r="D1" s="2485"/>
      <c r="E1" s="2485"/>
      <c r="F1" s="2485"/>
      <c r="G1" s="2485"/>
      <c r="H1" s="2485"/>
      <c r="I1" s="2485"/>
      <c r="J1" s="1422"/>
    </row>
    <row r="2" spans="2:10" s="317" customFormat="1" ht="12.75" customHeight="1" x14ac:dyDescent="0.2">
      <c r="B2" s="2486">
        <f>'Single Audit Cover'!E7</f>
        <v>4101140004</v>
      </c>
      <c r="C2" s="2487"/>
      <c r="D2" s="2487"/>
      <c r="E2" s="2487"/>
      <c r="F2" s="2487"/>
      <c r="G2" s="2487"/>
      <c r="H2" s="2487"/>
      <c r="I2" s="2487"/>
      <c r="J2" s="1422"/>
    </row>
    <row r="3" spans="2:10" s="317" customFormat="1" ht="12.75" customHeight="1" x14ac:dyDescent="0.2">
      <c r="B3" s="2488" t="s">
        <v>1347</v>
      </c>
      <c r="C3" s="2489"/>
      <c r="D3" s="2489"/>
      <c r="E3" s="2489"/>
      <c r="F3" s="2489"/>
      <c r="G3" s="2489"/>
      <c r="H3" s="2489"/>
      <c r="I3" s="2489"/>
      <c r="J3" s="1423"/>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8" t="s">
        <v>1346</v>
      </c>
      <c r="C7" s="2489"/>
      <c r="D7" s="2489"/>
      <c r="E7" s="2489"/>
      <c r="F7" s="2489"/>
      <c r="G7" s="2489"/>
      <c r="H7" s="2489"/>
      <c r="I7" s="2489"/>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0"/>
      <c r="D11" s="2490"/>
      <c r="E11" s="1432"/>
      <c r="F11" s="1432"/>
      <c r="G11" s="1432"/>
    </row>
    <row r="12" spans="2:10" s="317" customFormat="1" ht="11.45" customHeight="1" x14ac:dyDescent="0.2">
      <c r="B12" s="1357"/>
      <c r="C12" s="1433" t="s">
        <v>1517</v>
      </c>
      <c r="D12" s="1434"/>
      <c r="E12" s="1258"/>
    </row>
    <row r="13" spans="2:10" s="317" customFormat="1" ht="6"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1"/>
      <c r="E29" s="2491"/>
      <c r="F29" s="2491"/>
      <c r="G29" s="2491"/>
      <c r="H29" s="2491"/>
      <c r="I29" s="249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2" t="s">
        <v>1854</v>
      </c>
      <c r="D37" s="2493"/>
      <c r="E37" s="2493"/>
      <c r="F37" s="2494"/>
      <c r="G37" s="2492" t="s">
        <v>1674</v>
      </c>
      <c r="H37" s="2493"/>
      <c r="I37" s="2494"/>
    </row>
    <row r="38" spans="2:9" ht="16.5" customHeight="1" x14ac:dyDescent="0.2">
      <c r="B38" s="1444"/>
      <c r="C38" s="2480"/>
      <c r="D38" s="2481"/>
      <c r="E38" s="2481"/>
      <c r="F38" s="2482"/>
      <c r="G38" s="2495"/>
      <c r="H38" s="2496"/>
      <c r="I38" s="2497"/>
    </row>
    <row r="39" spans="2:9" ht="16.5" customHeight="1" x14ac:dyDescent="0.2">
      <c r="B39" s="1444"/>
      <c r="C39" s="2480"/>
      <c r="D39" s="2481"/>
      <c r="E39" s="2481"/>
      <c r="F39" s="2482"/>
      <c r="G39" s="2483"/>
      <c r="H39" s="2483"/>
      <c r="I39" s="2483"/>
    </row>
    <row r="40" spans="2:9" ht="16.5" customHeight="1" x14ac:dyDescent="0.2">
      <c r="B40" s="1444"/>
      <c r="C40" s="2480"/>
      <c r="D40" s="2481"/>
      <c r="E40" s="2481"/>
      <c r="F40" s="2482"/>
      <c r="G40" s="2483"/>
      <c r="H40" s="2483"/>
      <c r="I40" s="2483"/>
    </row>
    <row r="41" spans="2:9" ht="16.5" customHeight="1" x14ac:dyDescent="0.2">
      <c r="B41" s="1444"/>
      <c r="C41" s="2480"/>
      <c r="D41" s="2481"/>
      <c r="E41" s="2481"/>
      <c r="F41" s="2482"/>
      <c r="G41" s="2483"/>
      <c r="H41" s="2483"/>
      <c r="I41" s="2483"/>
    </row>
    <row r="42" spans="2:9" ht="16.5" customHeight="1" x14ac:dyDescent="0.2">
      <c r="B42" s="1444"/>
      <c r="C42" s="2480"/>
      <c r="D42" s="2481"/>
      <c r="E42" s="2481"/>
      <c r="F42" s="2482"/>
      <c r="G42" s="2483"/>
      <c r="H42" s="2483"/>
      <c r="I42" s="2483"/>
    </row>
    <row r="43" spans="2:9" ht="16.5" customHeight="1" x14ac:dyDescent="0.2">
      <c r="B43" s="1444"/>
      <c r="C43" s="2473" t="s">
        <v>1675</v>
      </c>
      <c r="D43" s="2474"/>
      <c r="E43" s="2474"/>
      <c r="F43" s="2475"/>
      <c r="G43" s="2476">
        <f>SUM(G38:I42)</f>
        <v>0</v>
      </c>
      <c r="H43" s="2476"/>
      <c r="I43" s="2476"/>
    </row>
    <row r="44" spans="2:9" ht="12.75" customHeight="1" x14ac:dyDescent="0.2"/>
    <row r="45" spans="2:9" ht="12.75" customHeight="1" x14ac:dyDescent="0.2">
      <c r="B45" s="1435" t="s">
        <v>1952</v>
      </c>
      <c r="D45" s="2477">
        <v>0</v>
      </c>
      <c r="E45" s="247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9"/>
      <c r="F49" s="2479"/>
      <c r="G49" s="247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Rockton SD 140</v>
      </c>
      <c r="C1" s="2484"/>
      <c r="D1" s="2484"/>
      <c r="E1" s="2484"/>
      <c r="F1" s="2484"/>
      <c r="G1" s="2484"/>
      <c r="H1" s="2484"/>
      <c r="I1" s="2484"/>
      <c r="J1" s="2484"/>
      <c r="K1" s="2484"/>
      <c r="L1" s="1374"/>
      <c r="M1" s="1374"/>
    </row>
    <row r="2" spans="1:13" ht="12" customHeight="1" x14ac:dyDescent="0.2">
      <c r="B2" s="2486">
        <f>'Single Audit Cover'!E7</f>
        <v>4101140004</v>
      </c>
      <c r="C2" s="2486"/>
      <c r="D2" s="2486"/>
      <c r="E2" s="2486"/>
      <c r="F2" s="2486"/>
      <c r="G2" s="2486"/>
      <c r="H2" s="2486"/>
      <c r="I2" s="2486"/>
      <c r="J2" s="2486"/>
      <c r="K2" s="2486"/>
      <c r="L2" s="1375"/>
      <c r="M2" s="1376"/>
    </row>
    <row r="3" spans="1:13" ht="10.35" customHeight="1" x14ac:dyDescent="0.2">
      <c r="B3" s="2500" t="s">
        <v>1347</v>
      </c>
      <c r="C3" s="2500"/>
      <c r="D3" s="2500"/>
      <c r="E3" s="2500"/>
      <c r="F3" s="2500"/>
      <c r="G3" s="2500"/>
      <c r="H3" s="2500"/>
      <c r="I3" s="2500"/>
      <c r="J3" s="2500"/>
      <c r="K3" s="2500"/>
      <c r="L3" s="1377"/>
      <c r="M3" s="1377"/>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1" t="s">
        <v>1363</v>
      </c>
      <c r="C7" s="2501"/>
      <c r="D7" s="2502"/>
      <c r="E7" s="2502"/>
      <c r="F7" s="2502"/>
      <c r="G7" s="2502"/>
      <c r="H7" s="2502"/>
      <c r="I7" s="2502"/>
      <c r="J7" s="2502"/>
      <c r="K7" s="250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9"/>
      <c r="C14" s="2499"/>
      <c r="D14" s="2499"/>
      <c r="E14" s="2499"/>
      <c r="F14" s="2499"/>
      <c r="G14" s="2499"/>
      <c r="H14" s="2499"/>
      <c r="I14" s="2499"/>
      <c r="J14" s="2499"/>
      <c r="K14" s="249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9"/>
      <c r="C17" s="2499"/>
      <c r="D17" s="2499"/>
      <c r="E17" s="2499"/>
      <c r="F17" s="2499"/>
      <c r="G17" s="2499"/>
      <c r="H17" s="2499"/>
      <c r="I17" s="2499"/>
      <c r="J17" s="2499"/>
      <c r="K17" s="2499"/>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3"/>
      <c r="C20" s="2503"/>
      <c r="D20" s="2499"/>
      <c r="E20" s="2499"/>
      <c r="F20" s="2499"/>
      <c r="G20" s="2499"/>
      <c r="H20" s="2499"/>
      <c r="I20" s="2499"/>
      <c r="J20" s="2499"/>
      <c r="K20" s="2499"/>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9"/>
      <c r="C23" s="2499"/>
      <c r="D23" s="2499"/>
      <c r="E23" s="2499"/>
      <c r="F23" s="2499"/>
      <c r="G23" s="2499"/>
      <c r="H23" s="2499"/>
      <c r="I23" s="2499"/>
      <c r="J23" s="2499"/>
      <c r="K23" s="2499"/>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9"/>
      <c r="C26" s="2499"/>
      <c r="D26" s="2499"/>
      <c r="E26" s="2499"/>
      <c r="F26" s="2499"/>
      <c r="G26" s="2499"/>
      <c r="H26" s="2499"/>
      <c r="I26" s="2499"/>
      <c r="J26" s="2499"/>
      <c r="K26" s="2499"/>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8"/>
      <c r="C29" s="2498"/>
      <c r="D29" s="2499"/>
      <c r="E29" s="2499"/>
      <c r="F29" s="2499"/>
      <c r="G29" s="2499"/>
      <c r="H29" s="2499"/>
      <c r="I29" s="2499"/>
      <c r="J29" s="2499"/>
      <c r="K29" s="249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8"/>
      <c r="C32" s="2498"/>
      <c r="D32" s="2499"/>
      <c r="E32" s="2499"/>
      <c r="F32" s="2499"/>
      <c r="G32" s="2499"/>
      <c r="H32" s="2499"/>
      <c r="I32" s="2499"/>
      <c r="J32" s="2499"/>
      <c r="K32" s="249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Rockton SD 140</v>
      </c>
      <c r="C1" s="2507"/>
      <c r="D1" s="2507"/>
      <c r="E1" s="2507"/>
      <c r="F1" s="2507"/>
      <c r="G1" s="2507"/>
      <c r="H1" s="2507"/>
      <c r="I1" s="2507"/>
      <c r="J1" s="2507"/>
      <c r="K1" s="2507"/>
      <c r="L1" s="1465"/>
    </row>
    <row r="2" spans="1:12" ht="12.75" customHeight="1" x14ac:dyDescent="0.2">
      <c r="B2" s="2508">
        <f>'Single Audit Cover'!E7</f>
        <v>4101140004</v>
      </c>
      <c r="C2" s="2508"/>
      <c r="D2" s="2508"/>
      <c r="E2" s="2508"/>
      <c r="F2" s="2508"/>
      <c r="G2" s="2508"/>
      <c r="H2" s="2508"/>
      <c r="I2" s="2508"/>
      <c r="J2" s="2508"/>
      <c r="K2" s="2508"/>
      <c r="L2" s="1466"/>
    </row>
    <row r="3" spans="1:12" ht="12.75" customHeight="1" x14ac:dyDescent="0.2">
      <c r="B3" s="2500" t="s">
        <v>1347</v>
      </c>
      <c r="C3" s="2500"/>
      <c r="D3" s="2500"/>
      <c r="E3" s="2500"/>
      <c r="F3" s="2500"/>
      <c r="G3" s="2500"/>
      <c r="H3" s="2500"/>
      <c r="I3" s="2500"/>
      <c r="J3" s="2500"/>
      <c r="K3" s="2500"/>
      <c r="L3" s="1377"/>
    </row>
    <row r="4" spans="1:12" ht="12.75" customHeight="1" x14ac:dyDescent="0.2">
      <c r="B4" s="2500" t="str">
        <f>'Single Audit Cover'!A4</f>
        <v>Year Ending June 30, 2018</v>
      </c>
      <c r="C4" s="2500"/>
      <c r="D4" s="2500"/>
      <c r="E4" s="2500"/>
      <c r="F4" s="2500"/>
      <c r="G4" s="2500"/>
      <c r="H4" s="2500"/>
      <c r="I4" s="2500"/>
      <c r="J4" s="2500"/>
      <c r="K4" s="2500"/>
      <c r="L4" s="1377"/>
    </row>
    <row r="5" spans="1:12" ht="5.25" customHeight="1" x14ac:dyDescent="0.2">
      <c r="B5" s="1260" t="s">
        <v>1231</v>
      </c>
      <c r="C5" s="1260"/>
      <c r="L5" s="322"/>
    </row>
    <row r="6" spans="1:12" ht="30.75" customHeight="1" x14ac:dyDescent="0.2">
      <c r="A6" s="322"/>
      <c r="B6" s="2509" t="s">
        <v>1375</v>
      </c>
      <c r="C6" s="2509"/>
      <c r="D6" s="2509"/>
      <c r="E6" s="2509"/>
      <c r="F6" s="2509"/>
      <c r="G6" s="2509"/>
      <c r="H6" s="2509"/>
      <c r="I6" s="2509"/>
      <c r="J6" s="2509"/>
      <c r="K6" s="250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1"/>
      <c r="G12" s="2491"/>
      <c r="H12" s="2491"/>
      <c r="I12" s="2491"/>
      <c r="J12" s="2491"/>
      <c r="K12" s="249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4"/>
      <c r="E14" s="2504"/>
      <c r="F14" s="2504"/>
      <c r="H14" s="1475" t="s">
        <v>1370</v>
      </c>
      <c r="I14" s="2505"/>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5"/>
      <c r="E16" s="2505"/>
      <c r="F16" s="2505"/>
      <c r="G16" s="2505"/>
      <c r="H16" s="2505"/>
      <c r="I16" s="2505"/>
      <c r="J16" s="2505"/>
      <c r="K16" s="2505"/>
      <c r="L16" s="322"/>
    </row>
    <row r="17" spans="2:12" ht="13.5" customHeight="1" x14ac:dyDescent="0.2">
      <c r="B17" s="1387" t="s">
        <v>1368</v>
      </c>
      <c r="C17" s="1387"/>
      <c r="D17" s="2506"/>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9"/>
      <c r="C20" s="2499"/>
      <c r="D20" s="2499"/>
      <c r="E20" s="2499"/>
      <c r="F20" s="2499"/>
      <c r="G20" s="2499"/>
      <c r="H20" s="2499"/>
      <c r="I20" s="2499"/>
      <c r="J20" s="2499"/>
      <c r="K20" s="249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4" t="str">
        <f>'Single Audit Cover'!A7</f>
        <v>Rockton SD 140</v>
      </c>
      <c r="C1" s="2484"/>
      <c r="D1" s="2484"/>
      <c r="E1" s="1491"/>
    </row>
    <row r="2" spans="2:5" s="1282" customFormat="1" ht="12.75" customHeight="1" x14ac:dyDescent="0.2">
      <c r="B2" s="2486">
        <f>'Single Audit Cover'!E7</f>
        <v>4101140004</v>
      </c>
      <c r="C2" s="2486"/>
      <c r="D2" s="2486"/>
      <c r="E2" s="1492"/>
    </row>
    <row r="3" spans="2:5" ht="12.75" customHeight="1" x14ac:dyDescent="0.2">
      <c r="B3" s="2500" t="s">
        <v>1869</v>
      </c>
      <c r="C3" s="2500"/>
      <c r="D3" s="2500"/>
      <c r="E3" s="1274"/>
    </row>
    <row r="4" spans="2:5" s="1282" customFormat="1" ht="12.75" customHeight="1" x14ac:dyDescent="0.2">
      <c r="B4" s="2510" t="str">
        <f>'Single Audit Cover'!A4</f>
        <v>Year Ending June 30, 2018</v>
      </c>
      <c r="C4" s="2510"/>
      <c r="D4" s="2510"/>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purl.org/dc/elements/1.1/"/>
    <ds:schemaRef ds:uri="http://schemas.microsoft.com/office/2006/documentManagement/types"/>
    <ds:schemaRef ds:uri="http://purl.org/dc/terms/"/>
    <ds:schemaRef ds:uri="http://schemas.microsoft.com/office/infopath/2007/PartnerControls"/>
    <ds:schemaRef ds:uri="4d435f69-8686-490b-bd6d-b153bf22ab50"/>
    <ds:schemaRef ds:uri="http://www.w3.org/XML/1998/namespace"/>
    <ds:schemaRef ds:uri="http://schemas.microsoft.com/office/2006/metadata/properties"/>
    <ds:schemaRef ds:uri="http://schemas.openxmlformats.org/package/2006/metadata/core-properties"/>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2018-10-18T15:04:31Z</cp:lastPrinted>
  <dcterms:created xsi:type="dcterms:W3CDTF">2003-10-29T19:06:34Z</dcterms:created>
  <dcterms:modified xsi:type="dcterms:W3CDTF">2018-10-31T15:56:02Z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Rockton School District #140</vt:lpwstr>
  </property>
  <property fmtid="{D5CDD505-2E9C-101B-9397-08002B2CF9AE}" pid="6" name="PPC_Template_Engagement_Date">
    <vt:lpwstr>6/30/2018</vt:lpwstr>
  </property>
</Properties>
</file>