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60" windowWidth="20505" windowHeight="6450" tabRatio="78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s="1"/>
  <c r="B6319" i="106"/>
  <c r="D6319" i="106" s="1"/>
  <c r="B6320" i="106"/>
  <c r="D6320" i="106" s="1"/>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c r="B6620" i="106"/>
  <c r="D6620" i="106" s="1"/>
  <c r="B6621" i="106"/>
  <c r="D6621" i="106"/>
  <c r="B6622" i="106"/>
  <c r="D6622" i="106" s="1"/>
  <c r="B6623" i="106"/>
  <c r="D6623" i="106" s="1"/>
  <c r="B6624" i="106"/>
  <c r="D6624" i="106" s="1"/>
  <c r="B6625" i="106"/>
  <c r="D6625" i="106" s="1"/>
  <c r="B6626" i="106"/>
  <c r="D6626" i="106" s="1"/>
  <c r="B6627" i="106"/>
  <c r="D6627" i="106"/>
  <c r="B6628" i="106"/>
  <c r="D6628" i="106" s="1"/>
  <c r="B6629" i="106"/>
  <c r="D6629" i="106"/>
  <c r="B6630" i="106"/>
  <c r="D6630" i="106" s="1"/>
  <c r="B6631" i="106"/>
  <c r="D6631" i="106" s="1"/>
  <c r="B6632" i="106"/>
  <c r="D6632" i="106" s="1"/>
  <c r="B6633" i="106"/>
  <c r="D6633" i="106" s="1"/>
  <c r="B6634" i="106"/>
  <c r="D6634" i="106" s="1"/>
  <c r="B6635" i="106"/>
  <c r="D6635" i="106"/>
  <c r="B6636" i="106"/>
  <c r="D6636" i="106" s="1"/>
  <c r="B6637" i="106"/>
  <c r="D6637" i="106"/>
  <c r="B6638" i="106"/>
  <c r="D6638" i="106" s="1"/>
  <c r="B6639" i="106"/>
  <c r="D6639" i="106" s="1"/>
  <c r="B6640" i="106"/>
  <c r="D6640" i="106" s="1"/>
  <c r="B6641" i="106"/>
  <c r="D6641" i="106" s="1"/>
  <c r="B6642" i="106"/>
  <c r="D6642" i="106" s="1"/>
  <c r="B6643" i="106"/>
  <c r="D6643" i="106"/>
  <c r="B6644" i="106"/>
  <c r="D6644" i="106" s="1"/>
  <c r="B6645" i="106"/>
  <c r="D6645" i="106"/>
  <c r="B6646" i="106"/>
  <c r="D6646" i="106" s="1"/>
  <c r="B6647" i="106"/>
  <c r="D6647" i="106" s="1"/>
  <c r="B6648" i="106"/>
  <c r="D6648" i="106" s="1"/>
  <c r="B6649" i="106"/>
  <c r="D6649" i="106" s="1"/>
  <c r="B6650" i="106"/>
  <c r="D6650" i="106" s="1"/>
  <c r="B6651" i="106"/>
  <c r="D6651" i="106"/>
  <c r="B6652" i="106"/>
  <c r="D6652" i="106" s="1"/>
  <c r="B6653" i="106"/>
  <c r="D6653" i="106"/>
  <c r="B6654" i="106"/>
  <c r="D6654" i="106" s="1"/>
  <c r="B6655" i="106"/>
  <c r="D6655" i="106" s="1"/>
  <c r="B6656" i="106"/>
  <c r="D6656" i="106" s="1"/>
  <c r="B6657" i="106"/>
  <c r="D6657" i="106" s="1"/>
  <c r="B6658" i="106"/>
  <c r="D6658" i="106" s="1"/>
  <c r="B6659" i="106"/>
  <c r="D6659" i="106"/>
  <c r="B6660" i="106"/>
  <c r="D6660" i="106" s="1"/>
  <c r="B6661" i="106"/>
  <c r="D6661" i="106"/>
  <c r="B6662" i="106"/>
  <c r="D6662" i="106" s="1"/>
  <c r="B6663" i="106"/>
  <c r="D6663" i="106" s="1"/>
  <c r="B6664" i="106"/>
  <c r="D6664" i="106" s="1"/>
  <c r="B6665" i="106"/>
  <c r="D6665" i="106" s="1"/>
  <c r="B6666" i="106"/>
  <c r="D6666" i="106" s="1"/>
  <c r="B6667" i="106"/>
  <c r="D6667" i="106"/>
  <c r="B6668" i="106"/>
  <c r="D6668" i="106" s="1"/>
  <c r="B6669" i="106"/>
  <c r="D6669" i="106"/>
  <c r="B6670" i="106"/>
  <c r="D6670" i="106" s="1"/>
  <c r="B6671" i="106"/>
  <c r="D6671" i="106" s="1"/>
  <c r="B6672" i="106"/>
  <c r="D6672" i="106" s="1"/>
  <c r="B6673" i="106"/>
  <c r="D6673" i="106" s="1"/>
  <c r="B6674" i="106"/>
  <c r="D6674" i="106" s="1"/>
  <c r="B6675" i="106"/>
  <c r="D6675" i="106"/>
  <c r="B6676" i="106"/>
  <c r="D6676" i="106" s="1"/>
  <c r="B6677" i="106"/>
  <c r="D6677" i="106"/>
  <c r="B6678" i="106"/>
  <c r="D6678" i="106" s="1"/>
  <c r="B6679" i="106"/>
  <c r="D6679" i="106" s="1"/>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s="1"/>
  <c r="B6690" i="106"/>
  <c r="D6690" i="106" s="1"/>
  <c r="B6691" i="106"/>
  <c r="D6691" i="106"/>
  <c r="B6692" i="106"/>
  <c r="D6692" i="106" s="1"/>
  <c r="B6693" i="106"/>
  <c r="D6693" i="106"/>
  <c r="B6694" i="106"/>
  <c r="D6694" i="106" s="1"/>
  <c r="B6695" i="106"/>
  <c r="D6695" i="106" s="1"/>
  <c r="B6696" i="106"/>
  <c r="D6696" i="106" s="1"/>
  <c r="B6697" i="106"/>
  <c r="D6697" i="106" s="1"/>
  <c r="B6698" i="106"/>
  <c r="D6698" i="106" s="1"/>
  <c r="B6699" i="106"/>
  <c r="D6699" i="106"/>
  <c r="B6700" i="106"/>
  <c r="D6700" i="106" s="1"/>
  <c r="B6701" i="106"/>
  <c r="D6701" i="106"/>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c r="B6712" i="106"/>
  <c r="D6712" i="106" s="1"/>
  <c r="B6713" i="106"/>
  <c r="D6713" i="106" s="1"/>
  <c r="B6714" i="106"/>
  <c r="D6714" i="106" s="1"/>
  <c r="B6715" i="106"/>
  <c r="D6715" i="106"/>
  <c r="B6716" i="106"/>
  <c r="D6716" i="106" s="1"/>
  <c r="B6717" i="106"/>
  <c r="D6717" i="106" s="1"/>
  <c r="B6718" i="106"/>
  <c r="D6718" i="106" s="1"/>
  <c r="B6719" i="106"/>
  <c r="D6719" i="106"/>
  <c r="B6720" i="106"/>
  <c r="D6720" i="106" s="1"/>
  <c r="B6721" i="106"/>
  <c r="D6721" i="106" s="1"/>
  <c r="B6722" i="106"/>
  <c r="D6722" i="106" s="1"/>
  <c r="B6723" i="106"/>
  <c r="D6723" i="106"/>
  <c r="B6724" i="106"/>
  <c r="D6724" i="106" s="1"/>
  <c r="B6725" i="106"/>
  <c r="D6725" i="106" s="1"/>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F106" i="34"/>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C109" i="5"/>
  <c r="B5121" i="106" s="1"/>
  <c r="D5121" i="106" s="1"/>
  <c r="B7235" i="106"/>
  <c r="D7235" i="106" s="1"/>
  <c r="L367" i="29"/>
  <c r="H4" i="4"/>
  <c r="B2655" i="106" s="1"/>
  <c r="D2655" i="106" s="1"/>
  <c r="H6" i="4"/>
  <c r="B2656" i="106" s="1"/>
  <c r="D2656" i="106" s="1"/>
  <c r="K173" i="5"/>
  <c r="K6" i="4" s="1"/>
  <c r="B3570" i="106" s="1"/>
  <c r="D3570" i="106" s="1"/>
  <c r="L342" i="29"/>
  <c r="B3621" i="106"/>
  <c r="D3621" i="106" s="1"/>
  <c r="C367" i="29"/>
  <c r="G352" i="29"/>
  <c r="B1329" i="106"/>
  <c r="D1329" i="106" s="1"/>
  <c r="F61" i="34"/>
  <c r="K24" i="12"/>
  <c r="K350" i="29"/>
  <c r="H76" i="4"/>
  <c r="B3298" i="106" s="1"/>
  <c r="D3298" i="106" s="1"/>
  <c r="F77" i="4"/>
  <c r="B3255" i="106" s="1"/>
  <c r="D3255" i="106" s="1"/>
  <c r="F21" i="8"/>
  <c r="K41" i="3"/>
  <c r="L15" i="11"/>
  <c r="B3459" i="106" s="1"/>
  <c r="D3459" i="106" s="1"/>
  <c r="K285" i="29"/>
  <c r="L13" i="11"/>
  <c r="B2060" i="106" s="1"/>
  <c r="D2060" i="106" s="1"/>
  <c r="F19" i="7"/>
  <c r="B1807" i="106" s="1"/>
  <c r="D1807" i="106" s="1"/>
  <c r="C172" i="5"/>
  <c r="B5214" i="106" s="1"/>
  <c r="D5214" i="106" s="1"/>
  <c r="G109" i="5"/>
  <c r="B1410" i="106"/>
  <c r="D1410" i="106" s="1"/>
  <c r="K184" i="29"/>
  <c r="F13" i="4" s="1"/>
  <c r="B2596" i="106" s="1"/>
  <c r="D2596" i="106" s="1"/>
  <c r="D4" i="4"/>
  <c r="B2564" i="106" s="1"/>
  <c r="D256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H8" i="4"/>
  <c r="D274" i="5"/>
  <c r="B7270" i="106"/>
  <c r="B3568" i="106" l="1"/>
  <c r="D3568" i="106" s="1"/>
  <c r="D52" i="36"/>
  <c r="B3670" i="106"/>
  <c r="D3670" i="106" s="1"/>
  <c r="K352" i="29"/>
  <c r="B3649" i="106"/>
  <c r="D3649" i="106" s="1"/>
  <c r="G367" i="29"/>
  <c r="B3650" i="106" s="1"/>
  <c r="D3650" i="106" s="1"/>
  <c r="H367" i="29"/>
  <c r="B3660" i="106" s="1"/>
  <c r="D3660" i="106" s="1"/>
  <c r="B1879" i="106"/>
  <c r="D1879" i="106" s="1"/>
  <c r="H22" i="37"/>
  <c r="B7733" i="106"/>
  <c r="D7733" i="106" s="1"/>
  <c r="K26" i="12"/>
  <c r="B7743" i="106" s="1"/>
  <c r="D7743" i="106" s="1"/>
  <c r="K367" i="29"/>
  <c r="F73" i="34"/>
  <c r="G15" i="4"/>
  <c r="B6032" i="106" s="1"/>
  <c r="D6032" i="106" s="1"/>
  <c r="C173" i="5"/>
  <c r="B5223" i="106" s="1"/>
  <c r="D5223" i="106" s="1"/>
  <c r="L16" i="11"/>
  <c r="B2061" i="106" s="1"/>
  <c r="D2061" i="106" s="1"/>
  <c r="D19" i="7"/>
  <c r="B1775" i="106" s="1"/>
  <c r="D1775" i="106" s="1"/>
  <c r="D44" i="36"/>
  <c r="C114" i="29"/>
  <c r="B757" i="106" s="1"/>
  <c r="D757" i="106" s="1"/>
  <c r="K342" i="29"/>
  <c r="F13" i="34"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C6" i="4" l="1"/>
  <c r="B2553" i="106" s="1"/>
  <c r="D2553" i="106" s="1"/>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<sst xmlns="http://schemas.openxmlformats.org/spreadsheetml/2006/main" count="5055" uniqueCount="2122">
  <si>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</si>
  <si>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</si>
  <si>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</si>
  <si>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</si>
  <si>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</si>
  <si>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</si>
  <si>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</si>
  <si>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</si>
  <si>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</si>
  <si>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</si>
  <si>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</si>
  <si>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</si>
  <si>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</si>
  <si>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</si>
  <si>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</si>
  <si>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</si>
  <si>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</si>
  <si>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</si>
  <si>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</si>
  <si>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</si>
  <si>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</si>
  <si>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</si>
  <si>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</si>
  <si>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</si>
  <si>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</si>
  <si>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</si>
  <si>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</si>
  <si>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</si>
  <si>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</si>
  <si>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</si>
  <si>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</si>
  <si>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</si>
  <si>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</si>
  <si>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</si>
  <si>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</si>
  <si>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</si>
  <si>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</si>
  <si>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</si>
  <si>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</si>
  <si>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</si>
  <si>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</si>
  <si>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</si>
  <si>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</si>
  <si>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</si>
  <si>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</si>
  <si>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</si>
  <si>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</si>
  <si>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</si>
  <si>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</si>
  <si>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</si>
  <si>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</si>
  <si>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</si>
  <si>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</si>
  <si>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</si>
  <si>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</si>
  <si>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</si>
  <si>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</si>
  <si>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</si>
  <si>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</si>
  <si>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</si>
  <si>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</si>
  <si>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</si>
  <si>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</si>
  <si>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</si>
  <si>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</si>
  <si>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</si>
  <si>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</si>
  <si>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</si>
  <si>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</si>
  <si>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</si>
  <si>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</si>
  <si>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</si>
  <si>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</si>
  <si>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</si>
  <si>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</si>
  <si>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</si>
  <si>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</si>
  <si>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</si>
  <si>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</si>
  <si>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</si>
  <si>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</si>
  <si>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</si>
  <si>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</si>
  <si>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</si>
  <si>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</si>
  <si>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</si>
  <si>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</si>
  <si>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</si>
  <si>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</si>
  <si>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</si>
  <si>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</si>
  <si>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</si>
  <si>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</si>
  <si>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</si>
  <si>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</si>
  <si>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</si>
  <si>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</si>
  <si>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</si>
  <si>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</si>
  <si>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</si>
  <si>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</si>
  <si>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</si>
  <si>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</si>
  <si>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</si>
  <si>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</si>
  <si>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</si>
  <si>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</si>
  <si>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</si>
  <si>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</si>
  <si>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</si>
  <si>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</si>
  <si>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</si>
  <si>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</si>
  <si>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</si>
  <si>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</si>
  <si>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</si>
  <si>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</si>
  <si>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</si>
  <si>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</si>
  <si>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</si>
  <si>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</si>
  <si>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</si>
  <si>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</si>
  <si>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</si>
  <si>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</si>
  <si>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</si>
  <si>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</si>
  <si>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</si>
  <si>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</si>
  <si>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</si>
  <si>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</si>
  <si>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</si>
  <si>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</si>
  <si>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</si>
  <si>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</si>
  <si>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</si>
  <si>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</si>
  <si>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</si>
  <si>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</si>
  <si>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</si>
  <si>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</si>
  <si>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</si>
  <si>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</si>
  <si>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</si>
  <si>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</si>
  <si>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</si>
  <si>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</si>
  <si>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</si>
  <si>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</si>
  <si>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</si>
  <si>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</si>
  <si>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</si>
  <si>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</si>
  <si>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</si>
  <si>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</si>
  <si>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</si>
  <si>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</si>
  <si>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</si>
  <si>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</si>
  <si>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</si>
  <si>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</si>
  <si>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</si>
  <si>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</si>
  <si>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</si>
  <si>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</si>
  <si>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</si>
  <si>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</si>
  <si>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</si>
  <si>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</si>
  <si>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</si>
  <si>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</si>
  <si>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</si>
  <si>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</si>
  <si>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</si>
  <si>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</si>
  <si>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</si>
  <si>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</si>
  <si>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</si>
  <si>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</si>
  <si>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</si>
  <si>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</si>
  <si>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</si>
  <si>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</si>
  <si>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</si>
  <si>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</si>
  <si>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</si>
  <si>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</si>
  <si>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</si>
  <si>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</si>
  <si>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</si>
  <si>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</si>
  <si>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</si>
  <si>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</si>
  <si>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</si>
  <si>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</si>
  <si>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</si>
  <si>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</si>
  <si>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</si>
  <si>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</si>
  <si>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</si>
  <si>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</si>
  <si>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</si>
  <si>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</si>
  <si>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</si>
  <si>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</si>
  <si>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</si>
  <si>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</si>
  <si>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</si>
  <si>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</si>
  <si>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</si>
  <si>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</si>
  <si>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</si>
  <si>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</si>
  <si>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</si>
  <si>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</si>
  <si>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</si>
  <si>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</si>
  <si>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</si>
  <si>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</si>
  <si>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</si>
  <si>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</si>
  <si>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</si>
  <si>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</si>
  <si>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</si>
  <si>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</si>
  <si>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</si>
  <si>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</si>
  <si>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</si>
  <si>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</si>
  <si>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</si>
  <si>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</si>
  <si>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</si>
  <si>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</si>
  <si>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</si>
  <si>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</si>
  <si>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</si>
  <si>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</si>
  <si>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</si>
  <si>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</si>
  <si>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</si>
  <si>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</si>
  <si>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</si>
  <si>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</si>
  <si>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</si>
  <si>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</si>
  <si>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</si>
  <si>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</si>
  <si>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</si>
  <si>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</si>
  <si>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</si>
  <si>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</si>
  <si>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</si>
  <si>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</si>
  <si>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</si>
  <si>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</si>
  <si>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</si>
  <si>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</si>
  <si>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</si>
  <si>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</si>
  <si>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</si>
  <si>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</si>
  <si>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</si>
  <si>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</si>
  <si>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</si>
  <si>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</si>
  <si>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</si>
  <si>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</si>
  <si>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</si>
  <si>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</si>
  <si>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</si>
  <si>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</si>
  <si>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</si>
  <si>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</si>
  <si>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</si>
  <si>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</si>
  <si>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</si>
  <si>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</si>
  <si>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</si>
  <si>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</si>
  <si>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</si>
  <si>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</si>
  <si>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</si>
  <si>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</si>
  <si>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</si>
  <si>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</si>
  <si>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</si>
  <si>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</si>
  <si>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</si>
  <si>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</si>
  <si>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</si>
  <si>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</si>
  <si>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</si>
  <si>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</si>
  <si>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</si>
  <si>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</si>
  <si>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</si>
  <si>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</si>
  <si>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</si>
  <si>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</si>
  <si>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</si>
  <si>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</si>
  <si>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</si>
  <si>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</si>
  <si>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</si>
  <si>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</si>
  <si>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</si>
  <si>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</si>
  <si>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</si>
  <si>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</si>
  <si>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</si>
  <si>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</si>
  <si>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</si>
  <si>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</si>
  <si>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</si>
  <si>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</si>
  <si>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</si>
  <si>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</si>
  <si>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</si>
  <si>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</si>
  <si>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</si>
  <si>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</si>
  <si>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</si>
  <si>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</si>
  <si>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</si>
  <si>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</si>
  <si>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</si>
  <si>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</si>
  <si>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</si>
  <si>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</si>
  <si>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</si>
  <si>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</si>
  <si>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</si>
  <si>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</si>
  <si>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</si>
  <si>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</si>
  <si>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</si>
  <si>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</si>
  <si>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</si>
  <si>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</si>
  <si>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</si>
  <si>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</si>
  <si>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</si>
  <si>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</si>
  <si>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</si>
  <si>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</si>
  <si>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</si>
  <si>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</si>
  <si>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</si>
  <si>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</si>
  <si>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</si>
  <si>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</si>
  <si>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</si>
  <si>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</si>
  <si>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</si>
  <si>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</si>
  <si>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</si>
  <si>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</si>
  <si>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</si>
  <si>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</si>
  <si>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</si>
  <si>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</si>
  <si>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</si>
  <si>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</si>
  <si>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</si>
  <si>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</si>
  <si>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</si>
  <si>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</si>
  <si>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</si>
  <si>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</si>
  <si>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</si>
  <si>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</si>
  <si>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</si>
  <si>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</si>
  <si>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</si>
  <si>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</si>
  <si>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</si>
  <si>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</si>
  <si>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</si>
  <si>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</si>
  <si>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</si>
  <si>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</si>
  <si>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</si>
  <si>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</si>
  <si>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</si>
  <si>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</si>
  <si>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</si>
  <si>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</si>
  <si>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</si>
  <si>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</si>
  <si>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</si>
  <si>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</si>
  <si>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</si>
  <si>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</si>
  <si>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</si>
  <si>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</si>
  <si>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</si>
  <si>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</si>
  <si>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</si>
  <si>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</si>
  <si>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</si>
  <si>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</si>
  <si>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</si>
  <si>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</si>
  <si>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</si>
  <si>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</si>
  <si>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</si>
  <si>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</si>
  <si>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</si>
  <si>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</si>
  <si>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</si>
  <si>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</si>
  <si>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</si>
  <si>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</si>
  <si>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</si>
  <si>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</si>
  <si>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</si>
  <si>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</si>
  <si>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</si>
  <si>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</si>
  <si>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</si>
  <si>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</si>
  <si>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</si>
  <si>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</si>
  <si>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</si>
  <si>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</si>
  <si>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</si>
  <si>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</si>
  <si>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</si>
  <si>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</si>
  <si>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</si>
  <si>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</si>
  <si>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</si>
  <si>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</si>
  <si>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</si>
  <si>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</si>
  <si>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</si>
  <si>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</si>
  <si>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</si>
  <si>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</si>
  <si>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</si>
  <si>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</si>
  <si>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</si>
  <si>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</si>
  <si>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</si>
  <si>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</si>
  <si>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</si>
  <si>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</si>
  <si>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</si>
  <si>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</si>
  <si>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</si>
  <si>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</si>
  <si>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</si>
  <si>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</si>
  <si>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</si>
  <si>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</si>
  <si>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</si>
  <si>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</si>
  <si>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</si>
  <si>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</si>
  <si>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</si>
  <si>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</si>
  <si>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</si>
  <si>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</si>
  <si>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</si>
  <si>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</si>
  <si>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</si>
  <si>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</si>
  <si>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</si>
  <si>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</si>
  <si>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</si>
  <si>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</si>
  <si>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</si>
  <si>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</si>
  <si>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</si>
  <si>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</si>
  <si>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</si>
  <si>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</si>
  <si>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</si>
  <si>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</si>
  <si>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</si>
  <si>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</si>
  <si>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</si>
  <si>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</si>
  <si>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</si>
  <si>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</si>
  <si>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</si>
  <si>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</si>
  <si>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</si>
  <si>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</si>
  <si>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</si>
  <si>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</si>
  <si>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</si>
  <si>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</si>
  <si>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</si>
  <si>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</si>
  <si>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</si>
  <si>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</si>
  <si>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</si>
  <si>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</si>
  <si>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</si>
  <si>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</si>
  <si>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</si>
  <si>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</si>
  <si>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</si>
  <si>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</si>
  <si>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</si>
  <si>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</si>
  <si>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</si>
  <si>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</si>
  <si>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</si>
  <si>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</si>
  <si>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</si>
  <si>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</si>
  <si>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</si>
  <si>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</si>
  <si>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</si>
  <si>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</si>
  <si>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</si>
  <si>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</si>
  <si>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</si>
  <si>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</si>
  <si>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</si>
  <si>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</si>
  <si>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</si>
  <si>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</si>
  <si>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</si>
  <si>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</si>
  <si>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</si>
  <si>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</si>
  <si>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</si>
  <si>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</si>
  <si>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</si>
  <si>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</si>
  <si>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</si>
  <si>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</si>
  <si>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</si>
  <si>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</si>
  <si>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</si>
  <si>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</si>
  <si>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</si>
  <si>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</si>
  <si>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</si>
  <si>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</si>
  <si>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</si>
  <si>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</si>
  <si>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</si>
  <si>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</si>
  <si>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</si>
  <si>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</si>
  <si>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</si>
  <si>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</si>
  <si>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</si>
  <si>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</si>
  <si>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</si>
  <si>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</si>
  <si>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</si>
  <si>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</si>
  <si>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</si>
  <si>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</si>
  <si>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</si>
  <si>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</si>
  <si>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</si>
  <si>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</si>
  <si>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</si>
  <si>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</si>
  <si>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</si>
  <si>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</si>
  <si>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</si>
  <si>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</si>
  <si>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</si>
  <si>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</si>
  <si>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</si>
  <si>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</si>
  <si>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</si>
  <si>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</si>
  <si>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</si>
  <si>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</si>
  <si>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</si>
  <si>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</si>
  <si>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</si>
  <si>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</si>
  <si>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</si>
  <si>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</si>
  <si>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</si>
  <si>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</si>
  <si>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</si>
  <si>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</si>
  <si>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</si>
  <si>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</si>
  <si>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</si>
  <si>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</si>
  <si>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</si>
  <si>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</si>
  <si>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</si>
  <si>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</si>
  <si>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</si>
  <si>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</si>
  <si>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</si>
  <si>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</si>
  <si>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</si>
  <si>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</si>
  <si>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</si>
  <si>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</si>
  <si>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</si>
  <si>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</si>
  <si>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</si>
  <si>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</si>
  <si>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</si>
  <si>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</si>
  <si>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</si>
  <si>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</si>
  <si>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</si>
  <si>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</si>
  <si>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</si>
  <si>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</si>
  <si>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</si>
  <si>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</si>
  <si>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</si>
  <si>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</si>
  <si>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</si>
  <si>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</si>
  <si>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</si>
  <si>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</si>
  <si>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</si>
  <si>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</si>
  <si>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</si>
  <si>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</si>
  <si>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</si>
  <si>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</si>
  <si>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</si>
  <si>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</si>
  <si>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</si>
  <si>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</si>
  <si>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</si>
  <si>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</si>
  <si>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</si>
  <si>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</si>
  <si>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</si>
  <si>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</si>
  <si>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</si>
  <si>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</si>
  <si>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</si>
  <si>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</si>
  <si>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</si>
  <si>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</si>
  <si>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</si>
  <si>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</si>
  <si>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</si>
  <si>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</si>
  <si>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</si>
  <si>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</si>
  <si>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</si>
  <si>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</si>
  <si>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</si>
  <si>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</si>
  <si>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</si>
  <si>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</si>
  <si>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</si>
  <si>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</si>
  <si>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</si>
  <si>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</si>
  <si>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</si>
  <si>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</si>
  <si>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</si>
  <si>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</si>
  <si>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</si>
  <si>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</si>
  <si>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</si>
  <si>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</si>
  <si>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</si>
  <si>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</si>
  <si>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</si>
  <si>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</si>
  <si>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</si>
  <si>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</si>
  <si>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</si>
  <si>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</si>
  <si>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</si>
  <si>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</si>
  <si>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</si>
  <si>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</si>
  <si>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</si>
  <si>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</si>
  <si>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</si>
  <si>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</si>
  <si>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</si>
  <si>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</si>
  <si>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</si>
  <si>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</si>
  <si>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</si>
  <si>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</si>
  <si>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</si>
  <si>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</si>
  <si>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</si>
  <si>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</si>
  <si>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</si>
  <si>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</si>
  <si>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</si>
  <si>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</si>
  <si>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</si>
  <si>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</si>
  <si>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</si>
  <si>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</si>
  <si>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</si>
  <si>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</si>
  <si>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</si>
  <si>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</si>
  <si>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</si>
  <si>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</si>
  <si>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</si>
  <si>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</si>
  <si>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</si>
  <si>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</si>
  <si>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</si>
  <si>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</si>
  <si>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</si>
  <si>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</si>
  <si>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</si>
  <si>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</si>
  <si>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</si>
  <si>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</si>
  <si>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</si>
  <si>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</si>
  <si>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</si>
  <si>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</si>
  <si>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</si>
  <si>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</si>
  <si>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</si>
  <si>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</si>
  <si>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</si>
  <si>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</si>
  <si>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</si>
  <si>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</si>
  <si>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</si>
  <si>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</si>
  <si>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</si>
  <si>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</si>
  <si>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</si>
  <si>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</si>
  <si>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</si>
  <si>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</si>
  <si>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</si>
  <si>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</si>
  <si>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</si>
  <si>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</si>
  <si>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</si>
  <si>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</si>
  <si>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</si>
  <si>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</si>
  <si>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</si>
  <si>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</si>
  <si>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</si>
  <si>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</si>
  <si>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</si>
  <si>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</si>
  <si>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</si>
  <si>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</si>
  <si>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</si>
  <si>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</si>
  <si>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</si>
  <si>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</si>
  <si>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</si>
  <si>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</si>
  <si>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</si>
  <si>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</si>
  <si>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</si>
  <si>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</si>
  <si>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</si>
  <si>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</si>
  <si>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</si>
  <si>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</si>
  <si>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</si>
  <si>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</si>
  <si>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</si>
  <si>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</si>
  <si>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</si>
  <si>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</si>
  <si>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</si>
  <si>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</si>
  <si>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</si>
  <si>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</si>
  <si>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</si>
  <si>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</si>
  <si>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</si>
  <si>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</si>
  <si>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</si>
  <si>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</si>
  <si>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</si>
  <si>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</si>
  <si>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</si>
  <si>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</si>
  <si>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</si>
  <si>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</si>
  <si>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</si>
  <si>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</si>
  <si>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</si>
  <si>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</si>
  <si>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</si>
  <si>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</si>
  <si>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</si>
  <si>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</si>
  <si>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</si>
  <si>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</si>
  <si>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</si>
  <si>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</si>
  <si>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</si>
  <si>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</si>
  <si>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</si>
  <si>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</si>
  <si>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</si>
  <si>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</si>
  <si>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</si>
  <si>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</si>
  <si>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</si>
  <si>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</si>
  <si>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</si>
  <si>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</si>
  <si>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</si>
  <si>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</si>
  <si>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</si>
  <si>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</si>
  <si>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</si>
  <si>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</si>
  <si>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</si>
  <si>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</si>
  <si>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</si>
  <si>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</si>
  <si>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</si>
  <si>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</si>
  <si>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</si>
  <si>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</si>
  <si>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</si>
  <si>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</si>
  <si>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</si>
  <si>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</si>
  <si>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</si>
  <si>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</si>
  <si>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</si>
  <si>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</si>
  <si>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</si>
  <si>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</si>
  <si>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</si>
  <si>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</si>
  <si>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</si>
  <si>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</si>
  <si>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</si>
  <si>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</si>
  <si>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</si>
  <si>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</si>
  <si>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</si>
  <si>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</si>
  <si>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</si>
  <si>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</si>
  <si>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</si>
  <si>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</si>
  <si>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</si>
  <si>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</si>
  <si>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</si>
  <si>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</si>
  <si>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</si>
  <si>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</si>
  <si>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</si>
  <si>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</si>
  <si>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</si>
  <si>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</si>
  <si>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</si>
  <si>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</si>
  <si>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</si>
  <si>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</si>
  <si>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</si>
  <si>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</si>
  <si>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</si>
  <si>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</si>
  <si>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</si>
  <si>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</si>
  <si>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</si>
  <si>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</si>
  <si>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</si>
  <si>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</si>
  <si>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</si>
  <si>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</si>
  <si>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</si>
  <si>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</si>
  <si>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</si>
  <si>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</si>
  <si>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</si>
  <si>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</si>
  <si>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</si>
  <si>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</si>
  <si>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</si>
  <si>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</si>
  <si>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</si>
  <si>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</si>
  <si>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</si>
  <si>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</si>
  <si>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</si>
  <si>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</si>
  <si>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</si>
  <si>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</si>
  <si>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</si>
  <si>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</si>
  <si>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</si>
  <si>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</si>
  <si>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</si>
  <si>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</si>
  <si>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</si>
  <si>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</si>
  <si>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</si>
  <si>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</si>
  <si>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</si>
  <si>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</si>
  <si>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</si>
  <si>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</si>
  <si>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</si>
  <si>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</si>
  <si>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</si>
  <si>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</si>
  <si>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</si>
  <si>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</si>
  <si>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</si>
  <si>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</si>
  <si>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</si>
  <si>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</si>
  <si>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</si>
  <si>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</si>
  <si>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</si>
  <si>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</si>
  <si>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</si>
  <si>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</si>
  <si>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</si>
  <si>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</si>
  <si>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</si>
  <si>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</si>
  <si>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</si>
  <si>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</si>
  <si>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</si>
  <si>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</si>
  <si>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</si>
  <si>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</si>
  <si>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</si>
  <si>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</si>
  <si>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</si>
  <si>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</si>
  <si>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</si>
  <si>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</si>
  <si>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</si>
  <si>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</si>
  <si>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</si>
  <si>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</si>
  <si>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</si>
  <si>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</si>
  <si>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</si>
  <si>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</si>
  <si>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</si>
  <si>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</si>
  <si>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</si>
  <si>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</si>
  <si>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</si>
  <si>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</si>
  <si>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</si>
  <si>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</si>
  <si>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</si>
  <si>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</si>
  <si>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</si>
  <si>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</si>
  <si>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</si>
  <si>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</si>
  <si>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</si>
  <si>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</si>
  <si>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</si>
  <si>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</si>
  <si>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</si>
  <si>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</si>
  <si>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</si>
  <si>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</si>
  <si>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</si>
  <si>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</si>
  <si>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</si>
  <si>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</si>
  <si>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</si>
  <si>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</si>
  <si>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</si>
  <si>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</si>
  <si>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</si>
  <si>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</si>
  <si>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</si>
  <si>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</si>
  <si>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</si>
  <si>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</si>
  <si>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</si>
  <si>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</si>
  <si>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</si>
  <si>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</si>
  <si>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</si>
  <si>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</si>
  <si>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</si>
  <si>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</si>
  <si>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</si>
  <si>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</si>
  <si>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</si>
  <si>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</si>
  <si>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</si>
  <si>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</si>
  <si>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</si>
  <si>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</si>
  <si>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</si>
  <si>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</si>
  <si>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</si>
  <si>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</si>
  <si>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</si>
  <si>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</si>
  <si>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</si>
  <si>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</si>
  <si>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</si>
  <si>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</si>
  <si>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</si>
  <si>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</si>
  <si>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</si>
  <si>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</si>
  <si>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</si>
  <si>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</si>
  <si>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</si>
  <si>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</si>
  <si>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</si>
  <si>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</si>
  <si>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</si>
  <si>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</si>
  <si>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</si>
  <si>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</si>
  <si>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</si>
  <si>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</si>
  <si>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</si>
  <si>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</si>
  <si>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</si>
  <si>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</si>
  <si>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</si>
  <si>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</si>
  <si>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</si>
  <si>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</si>
  <si>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</si>
  <si>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</si>
  <si>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</si>
  <si>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</si>
  <si>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</si>
  <si>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</si>
  <si>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</si>
  <si>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</si>
  <si>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</si>
  <si>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</si>
  <si>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</si>
  <si>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</si>
  <si>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</si>
  <si>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</si>
  <si>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</si>
  <si>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</si>
  <si>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</si>
  <si>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</si>
  <si>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</si>
  <si>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</si>
  <si>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</si>
  <si>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</si>
  <si>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</si>
  <si>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</si>
  <si>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</si>
  <si>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</si>
  <si>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</si>
  <si>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</si>
  <si>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</si>
  <si>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</si>
  <si>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</si>
  <si>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</si>
  <si>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</si>
  <si>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</si>
  <si>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</si>
  <si>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</si>
  <si>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</si>
  <si>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</si>
  <si>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</si>
  <si>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</si>
  <si>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</si>
  <si>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</si>
  <si>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</si>
  <si>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</si>
  <si>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</si>
  <si>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</si>
  <si>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</si>
  <si>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</si>
  <si>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</si>
  <si>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</si>
  <si>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</si>
  <si>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</si>
  <si>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</si>
  <si>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</si>
  <si>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</si>
  <si>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</si>
  <si>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</si>
  <si>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</si>
  <si>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</si>
  <si>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</si>
  <si>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</si>
  <si>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</si>
  <si>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</si>
  <si>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</si>
  <si>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</si>
  <si>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</si>
  <si>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</si>
  <si>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</si>
  <si>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</si>
  <si>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</si>
  <si>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</si>
  <si>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</si>
  <si>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</si>
  <si>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</si>
  <si>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</si>
  <si>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</si>
  <si>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</si>
  <si>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</si>
  <si>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</si>
  <si>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</si>
  <si>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</si>
  <si>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</si>
  <si>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</si>
  <si>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</si>
  <si>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</si>
  <si>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</si>
  <si>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</si>
  <si>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</si>
  <si>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</si>
  <si>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</si>
  <si>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</si>
  <si>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</si>
  <si>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</si>
  <si>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</si>
  <si>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</si>
  <si>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</si>
  <si>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</si>
  <si>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</si>
  <si>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</si>
  <si>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</si>
  <si>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</si>
  <si>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</si>
  <si>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</si>
  <si>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</si>
  <si>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</si>
  <si>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</si>
  <si>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</si>
  <si>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</si>
  <si>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</si>
  <si>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</si>
  <si>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</si>
  <si>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</si>
  <si>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</si>
  <si>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</si>
  <si>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</si>
  <si>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</si>
  <si>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</si>
  <si>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</si>
  <si>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</si>
  <si>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</si>
  <si>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</si>
  <si>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</si>
  <si>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</si>
  <si>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</si>
  <si>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</si>
  <si>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</si>
  <si>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</si>
  <si>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</si>
  <si>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</si>
  <si>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</si>
  <si>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</si>
  <si>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</si>
  <si>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</si>
  <si>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</si>
  <si>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</si>
  <si>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</si>
  <si>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</si>
  <si>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</si>
  <si>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</si>
  <si>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</si>
  <si>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</si>
  <si>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</si>
  <si>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</si>
  <si>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</si>
  <si>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</si>
  <si>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</si>
  <si>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</si>
  <si>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</si>
  <si>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</si>
  <si>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</si>
  <si>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</si>
  <si>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</si>
  <si>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</si>
  <si>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</si>
  <si>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</si>
  <si>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</si>
  <si>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</si>
  <si>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</si>
  <si>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</si>
  <si>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</si>
  <si>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</si>
  <si>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</si>
  <si>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</si>
  <si>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</si>
  <si>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</si>
  <si>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</si>
  <si>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</si>
  <si>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</si>
  <si>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</si>
  <si>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</si>
  <si>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</si>
  <si>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</si>
  <si>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</si>
  <si>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</si>
  <si>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</si>
  <si>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</si>
  <si>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</si>
  <si>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</si>
  <si>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</si>
  <si>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</si>
  <si>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</si>
  <si>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</si>
  <si>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</si>
  <si>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</si>
  <si>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</si>
  <si>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</si>
  <si>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</si>
  <si>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</si>
  <si>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</si>
  <si>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</si>
  <si>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</si>
  <si>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</si>
  <si>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</si>
  <si>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</si>
  <si>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</si>
  <si>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</si>
  <si>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</si>
  <si>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</si>
  <si>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</si>
  <si>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</si>
  <si>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</si>
  <si>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</si>
  <si>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</si>
  <si>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</si>
  <si>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</si>
  <si>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</si>
  <si>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</si>
  <si>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</si>
  <si>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</si>
  <si>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</si>
  <si>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</si>
  <si>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</si>
  <si>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</si>
  <si>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</si>
  <si>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</si>
  <si>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</si>
  <si>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</si>
  <si>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</si>
  <si>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</si>
  <si>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</si>
  <si>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</si>
  <si>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</si>
  <si>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</si>
  <si>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</si>
  <si>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</si>
  <si>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</si>
  <si>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</si>
  <si>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</si>
  <si>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</si>
  <si>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</si>
  <si>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</si>
  <si>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</si>
  <si>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</si>
  <si>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</si>
  <si>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</si>
  <si>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</si>
  <si>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</si>
  <si>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</si>
  <si>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</si>
  <si>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</si>
  <si>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</si>
  <si>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</si>
  <si>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</si>
  <si>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</si>
  <si>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</si>
  <si>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</si>
  <si>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</si>
  <si>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</si>
  <si>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</si>
  <si>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</si>
  <si>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</si>
  <si>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</si>
  <si>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</si>
  <si>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</si>
  <si>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</si>
  <si>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</si>
  <si>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</si>
  <si>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</si>
  <si>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</si>
  <si>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</si>
  <si>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</si>
  <si>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</si>
  <si>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</si>
  <si>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</si>
  <si>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</si>
  <si>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</si>
  <si>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</si>
  <si>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</si>
  <si>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</si>
  <si>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</si>
  <si>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</si>
  <si>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</si>
  <si>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</si>
  <si>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</si>
  <si>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</si>
  <si>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</si>
  <si>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</si>
  <si>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</si>
  <si>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</si>
  <si>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</si>
  <si>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</si>
  <si>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</si>
  <si>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</si>
  <si>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</si>
  <si>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</si>
  <si>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</si>
  <si>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</si>
  <si>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</si>
  <si>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</si>
  <si>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</si>
  <si>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</si>
  <si>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</si>
  <si>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</si>
  <si>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</si>
  <si>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</si>
  <si>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</si>
  <si>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</si>
  <si>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</si>
  <si>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</si>
  <si>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</si>
  <si>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</si>
  <si>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</si>
  <si>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</si>
  <si>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</si>
  <si>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</si>
  <si>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</si>
  <si>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</si>
  <si>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</si>
  <si>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</si>
  <si>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</si>
  <si>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</si>
  <si>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</si>
  <si>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</si>
  <si>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</si>
  <si>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</si>
  <si>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</si>
  <si>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</si>
  <si>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</si>
  <si>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</si>
  <si>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</si>
  <si>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</si>
  <si>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</si>
  <si>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</si>
  <si>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</si>
  <si>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</si>
  <si>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</si>
  <si>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</si>
  <si>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</si>
  <si>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</si>
  <si>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</si>
  <si>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</si>
  <si>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</si>
  <si>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</si>
  <si>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</si>
  <si>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</si>
  <si>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</si>
  <si>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</si>
  <si>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</si>
  <si>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</si>
  <si>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</si>
  <si>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</si>
  <si>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</si>
  <si>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</si>
  <si>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</si>
  <si>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</si>
  <si>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</si>
  <si>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</si>
  <si>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</si>
  <si>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</si>
  <si>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</si>
  <si>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</si>
  <si>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</si>
  <si>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</si>
  <si>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</si>
  <si>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</si>
  <si>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</si>
  <si>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</si>
  <si>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</si>
  <si>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</si>
  <si>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</si>
  <si>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</si>
  <si>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</si>
  <si>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</si>
  <si>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</si>
  <si>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</si>
  <si>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</si>
  <si>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</si>
  <si>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</si>
  <si>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</si>
  <si>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</si>
  <si>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</si>
  <si>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</si>
  <si>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</si>
  <si>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</si>
  <si>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</si>
  <si>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</si>
  <si>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</si>
  <si>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</si>
  <si>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</si>
  <si>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</si>
  <si>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</si>
  <si>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</si>
  <si>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</si>
  <si>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</si>
  <si>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</si>
  <si>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</si>
  <si>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</si>
  <si>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</si>
  <si>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</si>
  <si>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</si>
  <si>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</si>
  <si>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</si>
  <si>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</si>
  <si>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</si>
  <si>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</si>
  <si>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</si>
  <si>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</si>
  <si>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</si>
  <si>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</si>
  <si>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</si>
  <si>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</si>
  <si>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</si>
  <si>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</si>
  <si>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</si>
  <si>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</si>
  <si>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</si>
  <si>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</si>
  <si>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</si>
  <si>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</si>
  <si>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</si>
  <si>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</si>
  <si>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</si>
  <si>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</si>
  <si>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</si>
  <si>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</si>
  <si>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</si>
  <si>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</si>
  <si>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</si>
  <si>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</si>
  <si>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</si>
  <si>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</si>
  <si>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</si>
  <si>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</si>
  <si>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</si>
  <si>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</si>
  <si>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</si>
  <si>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</si>
  <si>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</si>
  <si>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</si>
  <si>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</si>
  <si>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</si>
  <si>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</si>
  <si>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</si>
  <si>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</si>
  <si>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</si>
  <si>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</si>
  <si>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</si>
  <si>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</si>
  <si>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</si>
  <si>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</si>
  <si>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</si>
  <si>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</si>
  <si>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</si>
  <si>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</si>
  <si>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</si>
  <si>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</si>
  <si>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</si>
  <si>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</si>
  <si>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</si>
  <si>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</si>
  <si>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</si>
  <si>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</si>
  <si>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</si>
  <si>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</si>
  <si>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</si>
  <si>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</si>
  <si>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</si>
  <si>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</si>
  <si>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</si>
  <si>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</si>
  <si>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</si>
  <si>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</si>
  <si>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</si>
  <si>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</si>
  <si>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</si>
  <si>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</si>
  <si>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</si>
  <si>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</si>
  <si>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</si>
  <si>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</si>
  <si>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</si>
  <si>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</si>
  <si>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</si>
  <si>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</si>
  <si>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</si>
  <si>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</si>
  <si>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</si>
  <si>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</si>
  <si>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</si>
  <si>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</si>
  <si>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</si>
  <si>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</si>
  <si>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</si>
  <si>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</si>
  <si>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</si>
  <si>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</si>
  <si>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</si>
  <si>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</si>
  <si>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</si>
  <si>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</si>
  <si>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</si>
  <si>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</si>
  <si>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</si>
  <si>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</si>
  <si>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</si>
  <si>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</si>
  <si>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</si>
  <si>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</si>
  <si>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</si>
  <si>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</si>
  <si>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</si>
  <si>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</si>
  <si>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</si>
  <si>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</si>
  <si>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</si>
  <si>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</si>
  <si>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</si>
  <si>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</si>
  <si>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</si>
  <si>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</si>
  <si>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</si>
  <si>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</si>
  <si>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</si>
  <si>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</si>
  <si>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</si>
  <si>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</si>
  <si>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</si>
  <si>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</si>
  <si>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</si>
  <si>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</si>
  <si>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</si>
  <si>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</si>
  <si>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</si>
  <si>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</si>
  <si>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</si>
  <si>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</si>
  <si>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</si>
  <si>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</si>
  <si>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</si>
  <si>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</si>
  <si>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</si>
  <si>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</si>
  <si>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</si>
  <si>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</si>
  <si>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</si>
  <si>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</si>
  <si>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</si>
  <si>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</si>
  <si>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</si>
  <si>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</si>
  <si>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</si>
  <si>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</si>
  <si>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</si>
  <si>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</si>
  <si>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</si>
  <si>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</si>
  <si>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</si>
  <si>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</si>
  <si>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</si>
  <si>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</si>
  <si>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</si>
  <si>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</si>
  <si>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</si>
  <si>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</si>
  <si>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</si>
  <si>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</si>
  <si>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</si>
  <si>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</si>
  <si>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</si>
  <si>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</si>
  <si>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</si>
  <si>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</si>
  <si>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</si>
  <si>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</si>
  <si>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</si>
  <si>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</si>
  <si>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</si>
  <si>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</si>
  <si>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</si>
  <si>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</si>
  <si>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</si>
  <si>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</si>
  <si>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</si>
  <si>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</si>
  <si>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</si>
  <si>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</si>
  <si>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</si>
  <si>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</si>
  <si>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</si>
  <si>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</si>
  <si>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</si>
  <si>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</si>
  <si>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</si>
  <si>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</si>
  <si>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</si>
  <si>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</si>
  <si>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</si>
  <si>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</si>
  <si>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</si>
  <si>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</si>
  <si>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</si>
  <si>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</si>
  <si>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</si>
  <si>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</si>
  <si>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</si>
  <si>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</si>
  <si>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</si>
  <si>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</si>
  <si>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</si>
  <si>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</si>
  <si>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</si>
  <si>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</si>
  <si>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</si>
  <si>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</si>
  <si>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</si>
  <si>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</si>
  <si>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</si>
  <si>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</si>
  <si>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</si>
  <si>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</si>
  <si>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</si>
  <si>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</si>
  <si>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</si>
  <si>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</si>
  <si>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</si>
  <si>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</si>
  <si>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</si>
  <si>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</si>
  <si>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</si>
  <si>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</si>
  <si>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</si>
  <si>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</si>
  <si>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</si>
  <si>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</si>
  <si>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</si>
  <si>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</si>
  <si>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</si>
  <si>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</si>
  <si>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</si>
  <si>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</si>
  <si>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</si>
  <si>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</si>
  <si>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</si>
  <si>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</si>
  <si>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</si>
  <si>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</si>
  <si>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</si>
  <si>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</si>
  <si>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</si>
  <si>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</si>
  <si>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</si>
  <si>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</si>
  <si>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</si>
  <si>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</si>
  <si>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</si>
  <si>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</si>
  <si>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</si>
  <si>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</si>
  <si>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</si>
  <si>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</si>
  <si>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</si>
  <si>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</si>
  <si>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</si>
  <si>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</si>
  <si>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</si>
  <si>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</si>
  <si>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</si>
  <si>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</si>
  <si>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</si>
  <si>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</si>
  <si>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</si>
  <si>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</si>
  <si>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</si>
  <si>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</si>
  <si>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</si>
  <si>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</si>
  <si>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</si>
  <si>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</si>
  <si>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</si>
  <si>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</si>
  <si>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</si>
  <si>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</si>
  <si>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</si>
  <si>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</si>
  <si>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</si>
  <si>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</si>
  <si>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</si>
  <si>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</si>
  <si>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</si>
  <si>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</si>
  <si>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</si>
  <si>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</si>
  <si>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</si>
  <si>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</si>
  <si>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</si>
  <si>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</si>
  <si>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</si>
  <si>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</si>
  <si>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</si>
  <si>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</si>
  <si>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</si>
  <si>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</si>
  <si>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</si>
  <si>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</si>
  <si>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</si>
  <si>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</si>
  <si>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</si>
  <si>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</si>
  <si>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</si>
  <si>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</si>
  <si>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</si>
  <si>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</si>
  <si>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</si>
  <si>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</si>
  <si>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</si>
  <si>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</si>
  <si>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</si>
  <si>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</si>
  <si>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</si>
  <si>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</si>
  <si>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</si>
  <si>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</si>
  <si>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</si>
  <si>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</si>
  <si>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</si>
  <si>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</si>
  <si>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</si>
  <si>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</si>
  <si>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</si>
  <si>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</si>
  <si>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</si>
  <si>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</si>
  <si>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</si>
  <si>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</si>
  <si>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</si>
  <si>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</si>
  <si>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</si>
  <si>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</si>
  <si>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</si>
  <si>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</si>
  <si>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</si>
  <si>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</si>
  <si>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</si>
  <si>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</si>
  <si>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</si>
  <si>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</si>
  <si>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</si>
  <si>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</si>
  <si>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</si>
  <si>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</si>
  <si>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</si>
  <si>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</si>
  <si>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</si>
  <si>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</si>
  <si>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</si>
  <si>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</si>
  <si>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</si>
  <si>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</si>
  <si>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</si>
  <si>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</si>
  <si>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</si>
  <si>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</si>
  <si>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</si>
  <si>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</si>
  <si>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</si>
  <si>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</si>
  <si>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</si>
  <si>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</si>
  <si>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</si>
  <si>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</si>
  <si>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</si>
  <si>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</si>
  <si>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</si>
  <si>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</si>
  <si>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</si>
  <si>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</si>
  <si>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</si>
  <si>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</si>
  <si>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</si>
  <si>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</si>
  <si>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</si>
  <si>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</si>
  <si>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</si>
  <si>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</si>
  <si>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</si>
  <si>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</si>
  <si>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</si>
  <si>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</si>
  <si>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</si>
  <si>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</si>
  <si>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</si>
  <si>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</si>
  <si>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</si>
  <si>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</si>
  <si>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</si>
  <si>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</si>
  <si>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</si>
  <si>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</si>
  <si>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</si>
  <si>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</si>
  <si>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</si>
  <si>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</si>
  <si>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</si>
  <si>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</si>
  <si>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</si>
  <si>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</si>
  <si>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</si>
  <si>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</si>
  <si>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</si>
  <si>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</si>
  <si>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</si>
  <si>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</si>
  <si>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</si>
  <si>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</si>
  <si>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</si>
  <si>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</si>
  <si>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</si>
  <si>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</si>
  <si>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</si>
  <si>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</si>
  <si>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</si>
  <si>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</si>
  <si>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</si>
  <si>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</si>
  <si>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</si>
  <si>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</si>
  <si>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</si>
  <si>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</si>
  <si>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</si>
  <si>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</si>
  <si>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</si>
  <si>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</si>
  <si>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</si>
  <si>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</si>
  <si>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</si>
  <si>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</si>
  <si>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</si>
  <si>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</si>
  <si>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</si>
  <si>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</si>
  <si>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</si>
  <si>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</si>
  <si>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</si>
  <si>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</si>
  <si>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</si>
  <si>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</si>
  <si>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</si>
  <si>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</si>
  <si>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</si>
  <si>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</si>
  <si>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</si>
  <si>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</si>
  <si>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</si>
  <si>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</si>
  <si>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</si>
  <si>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</si>
  <si>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</si>
  <si>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</si>
  <si>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</si>
  <si>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</si>
  <si>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</si>
  <si>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</si>
  <si>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</si>
  <si>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</si>
  <si>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</si>
  <si>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</si>
  <si>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</si>
  <si>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</si>
  <si>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</si>
  <si>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</si>
  <si>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</si>
  <si>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</si>
  <si>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</si>
  <si>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</si>
  <si>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</si>
  <si>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</si>
  <si>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</si>
  <si>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</si>
  <si>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</si>
  <si>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</si>
  <si>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</si>
  <si>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</si>
  <si>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</si>
  <si>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</si>
  <si>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</si>
  <si>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</si>
  <si>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</si>
  <si>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</si>
  <si>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</si>
  <si>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</si>
  <si>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</si>
  <si>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</si>
  <si>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</si>
  <si>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</si>
  <si>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</si>
  <si>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</si>
  <si>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</si>
  <si>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</si>
  <si>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</si>
  <si>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</si>
  <si>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</si>
  <si>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</si>
  <si>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</si>
  <si>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</si>
  <si>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</si>
  <si>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</si>
  <si>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</si>
  <si>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</si>
  <si>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</si>
  <si>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</si>
  <si>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</si>
  <si>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</si>
  <si>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</si>
  <si>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</si>
  <si>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</si>
  <si>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</si>
  <si>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</si>
  <si>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</si>
  <si>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</si>
  <si>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</si>
  <si>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</si>
  <si>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</si>
  <si>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</si>
  <si>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</si>
  <si>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</si>
  <si>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</si>
  <si>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</si>
  <si>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</si>
  <si>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</si>
  <si>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</si>
  <si>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</si>
  <si>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</si>
  <si>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</si>
  <si>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</si>
  <si>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</si>
  <si>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</si>
  <si>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</si>
  <si>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</si>
  <si>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</si>
  <si>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</si>
  <si>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</si>
  <si>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</si>
  <si>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</si>
  <si>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</si>
  <si>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</si>
  <si>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</si>
  <si>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</si>
  <si>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</si>
  <si>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</si>
  <si>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</si>
  <si>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</si>
  <si>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</si>
  <si>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</si>
  <si>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</si>
  <si>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</si>
  <si>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</si>
  <si>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</si>
  <si>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</si>
  <si>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</si>
  <si>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</si>
  <si>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</si>
  <si>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</si>
  <si>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</si>
  <si>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</si>
  <si>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</si>
  <si>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</si>
  <si>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</si>
  <si>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</si>
  <si>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</si>
  <si>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</si>
  <si>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</si>
  <si>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</si>
  <si>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</si>
  <si>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</si>
  <si>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</si>
  <si>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</si>
  <si>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</si>
  <si>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</si>
  <si>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</si>
  <si>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</si>
  <si>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</si>
  <si>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</si>
  <si>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</si>
  <si>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</si>
  <si>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</si>
  <si>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</si>
  <si>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</si>
  <si>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</si>
  <si>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</si>
  <si>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</si>
  <si>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</si>
  <si>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</si>
  <si>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</si>
  <si>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</si>
  <si>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</si>
  <si>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</si>
  <si>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</si>
  <si>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</si>
  <si>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</si>
  <si>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</si>
  <si>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</si>
  <si>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</si>
  <si>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</si>
  <si>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</si>
  <si>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</si>
  <si>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</si>
  <si>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</si>
  <si>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</si>
  <si>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</si>
  <si>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</si>
  <si>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</si>
  <si>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</si>
  <si>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</si>
  <si>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</si>
  <si>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</si>
  <si>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</si>
  <si>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</si>
  <si>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</si>
  <si>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</si>
  <si>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</si>
  <si>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</si>
  <si>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</si>
  <si>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</si>
  <si>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</si>
  <si>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</si>
  <si>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</si>
  <si>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</si>
  <si>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</si>
  <si>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</si>
  <si>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</si>
  <si>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</si>
  <si>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</si>
  <si>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</si>
  <si>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</si>
  <si>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</si>
  <si>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</si>
  <si>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</si>
  <si>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</si>
  <si>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</si>
  <si>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</si>
  <si>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</si>
  <si>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</si>
  <si>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</si>
  <si>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</si>
  <si>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</si>
  <si>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</si>
  <si>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</si>
  <si>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</si>
  <si>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</si>
  <si>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WINNEBAGO </t>
  </si>
  <si>
    <t>8020 NORTH STREET</t>
  </si>
  <si>
    <t xml:space="preserve">SHIRLAND </t>
  </si>
  <si>
    <t xml:space="preserve">JOHN ULFERTS </t>
  </si>
  <si>
    <t>julferts@shirland134.org</t>
  </si>
  <si>
    <t>815/629-2000</t>
  </si>
  <si>
    <t>815/629-2100</t>
  </si>
  <si>
    <t xml:space="preserve">BENNING GROUP, LLC </t>
  </si>
  <si>
    <t xml:space="preserve">JENNY L. BLOCKER </t>
  </si>
  <si>
    <t>50 W. DOUGLAS STREET, SUITE 801</t>
  </si>
  <si>
    <t xml:space="preserve">FREEPORT </t>
  </si>
  <si>
    <t>IL</t>
  </si>
  <si>
    <t>815/235-3158</t>
  </si>
  <si>
    <t>066-004238</t>
  </si>
  <si>
    <t>jblocker@benninggroup.com</t>
  </si>
  <si>
    <t>LORI FANELLO</t>
  </si>
  <si>
    <t>lfanello@kidsroe.org</t>
  </si>
  <si>
    <t>815/636-3060</t>
  </si>
  <si>
    <t>815/636-3069</t>
  </si>
  <si>
    <t>A)</t>
  </si>
  <si>
    <t>B)</t>
  </si>
  <si>
    <t>B) Special education cooperative - Kinnikinnick #131, Prairie Hill #133, Rockton #140, Hononegah #207, South Beloit #320, Pecatonica #321, Durand #322, and Winnebago #323</t>
  </si>
  <si>
    <t>C)</t>
  </si>
  <si>
    <t xml:space="preserve">Account </t>
  </si>
  <si>
    <t xml:space="preserve">Page </t>
  </si>
  <si>
    <t xml:space="preserve">Fund </t>
  </si>
  <si>
    <t>Line #</t>
  </si>
  <si>
    <t xml:space="preserve">Description </t>
  </si>
  <si>
    <t xml:space="preserve">Amount </t>
  </si>
  <si>
    <t xml:space="preserve">Miscellaneous </t>
  </si>
  <si>
    <t xml:space="preserve">Other - CTE Grants in Aid </t>
  </si>
  <si>
    <t xml:space="preserve">Homeless Supplies </t>
  </si>
  <si>
    <t>A) Food services - joint bid for dairy and bread products with Kinnikinnick #131, Rockton #140, Hononegah #207, and South Beloit #320</t>
  </si>
  <si>
    <t>C) Prairie State Insurance Cooperative - W/C &amp; Liability (140 memebrs), Illinois Schools Employee Benefits Consortium - Health/Life/Dental (500+ members)</t>
  </si>
  <si>
    <t>GSF</t>
  </si>
  <si>
    <t>40-2550-300</t>
  </si>
  <si>
    <t xml:space="preserve">First Student </t>
  </si>
  <si>
    <t>20-2540-300</t>
  </si>
  <si>
    <t>815/235-3157</t>
  </si>
  <si>
    <t>BENNING GROUP, LLC</t>
  </si>
  <si>
    <t>REAP Grant</t>
  </si>
  <si>
    <t>O&amp;M-Oper. &amp; Maint. Plant Services-Purchased Services</t>
  </si>
  <si>
    <t>TR-Pupil Transportation-Purchased Services</t>
  </si>
  <si>
    <t>Shirland CCSD 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</si>
</sst>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40" fillId="0" borderId="0" applyFont="0" applyFill="0" applyBorder="0" applyAlignment="0" applyProtection="0"/>
  </cellStyleXfs>
  <cellXfs count="251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38" fontId="57" fillId="0" borderId="55"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8" fillId="0" borderId="158" xfId="17" applyFont="1" applyBorder="1" applyAlignment="1" applyProtection="1">
      <alignment horizontal="left" vertical="top" wrapText="1"/>
      <protection locked="0"/>
    </xf>
    <xf numFmtId="0" fontId="8" fillId="0" borderId="158"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49" fontId="7" fillId="0" borderId="158" xfId="17" applyNumberFormat="1" applyFon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8"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49" fontId="8" fillId="0" borderId="158" xfId="17" applyNumberFormat="1" applyFont="1" applyBorder="1" applyAlignment="1" applyProtection="1">
      <alignment horizontal="center" vertical="top"/>
      <protection locked="0"/>
    </xf>
    <xf numFmtId="49" fontId="7" fillId="0" borderId="158"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0" fontId="77" fillId="0" borderId="0" xfId="0" applyFont="1" applyAlignment="1">
      <alignment horizontal="left"/>
    </xf>
    <xf numFmtId="181" fontId="59" fillId="0" borderId="166" xfId="19" applyNumberFormat="1" applyFont="1" applyBorder="1"/>
    <xf numFmtId="0" fontId="102" fillId="0" borderId="0" xfId="18" applyFont="1" applyProtection="1">
      <protection locked="0"/>
    </xf>
    <xf numFmtId="0" fontId="102" fillId="0" borderId="0" xfId="18" applyFont="1" applyFill="1" applyBorder="1" applyProtection="1">
      <protection locked="0"/>
    </xf>
    <xf numFmtId="0" fontId="102" fillId="0" borderId="0" xfId="18" applyFont="1" applyAlignment="1" applyProtection="1">
      <alignment horizontal="left" vertical="center" wrapText="1"/>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59" fillId="0" borderId="0" xfId="0" applyFont="1" applyAlignment="1">
      <alignment horizontal="center"/>
    </xf>
    <xf numFmtId="0" fontId="77" fillId="0" borderId="0" xfId="0" applyFont="1" applyAlignment="1">
      <alignment horizontal="center"/>
    </xf>
    <xf numFmtId="166" fontId="64" fillId="0" borderId="0" xfId="0" applyNumberFormat="1" applyFont="1" applyAlignment="1">
      <alignment horizont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9" xfId="12" applyFont="1" applyBorder="1" applyAlignment="1" applyProtection="1">
      <alignment horizontal="center" vertical="center" wrapText="1"/>
    </xf>
    <xf numFmtId="0" fontId="137" fillId="0" borderId="127"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0" fontId="67" fillId="13" borderId="13" xfId="9" applyFont="1" applyFill="1" applyBorder="1" applyAlignment="1">
      <alignment horizontal="center" vertical="center"/>
    </xf>
    <xf numFmtId="0" fontId="59" fillId="13"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3"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4" fillId="0" borderId="96"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155864</xdr:colOff>
          <xdr:row>4</xdr:row>
          <xdr:rowOff>43294</xdr:rowOff>
        </xdr:from>
        <xdr:to>
          <xdr:col>1</xdr:col>
          <xdr:colOff>1067666</xdr:colOff>
          <xdr:row>9</xdr:row>
          <xdr:rowOff>2596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D49" sqref="D4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1" t="s">
        <v>425</v>
      </c>
      <c r="J1" s="2012"/>
      <c r="K1" s="2012"/>
      <c r="L1" s="2012"/>
      <c r="M1" s="2012"/>
      <c r="N1" s="2012"/>
      <c r="O1" s="2012"/>
      <c r="P1" s="2012"/>
      <c r="Q1" s="2012"/>
      <c r="R1" s="2012"/>
      <c r="S1" s="2012"/>
    </row>
    <row r="2" spans="1:28" ht="12" customHeight="1" x14ac:dyDescent="0.2">
      <c r="A2" s="47" t="s">
        <v>1684</v>
      </c>
      <c r="D2" s="48"/>
      <c r="I2" s="2013" t="s">
        <v>1036</v>
      </c>
      <c r="J2" s="2012"/>
      <c r="K2" s="2012"/>
      <c r="L2" s="2012"/>
      <c r="M2" s="2012"/>
      <c r="N2" s="2012"/>
      <c r="O2" s="2012"/>
      <c r="P2" s="2012"/>
      <c r="Q2" s="2012"/>
      <c r="R2" s="2012"/>
      <c r="S2" s="2012"/>
    </row>
    <row r="3" spans="1:28" ht="12" customHeight="1" x14ac:dyDescent="0.2">
      <c r="A3" s="155" t="s">
        <v>1685</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2077</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0"/>
      <c r="V10" s="2020"/>
      <c r="W10" s="2020"/>
      <c r="X10" s="2020"/>
      <c r="Y10" s="2020"/>
      <c r="Z10" s="2020"/>
      <c r="AA10" s="2026"/>
    </row>
    <row r="11" spans="1:28" ht="14.25" customHeight="1" x14ac:dyDescent="0.2">
      <c r="A11" s="2042" t="s">
        <v>1012</v>
      </c>
      <c r="B11" s="2043"/>
      <c r="C11" s="2043"/>
      <c r="D11" s="2043"/>
      <c r="E11" s="2043"/>
      <c r="F11" s="2043"/>
      <c r="G11" s="2043"/>
      <c r="H11" s="2044"/>
      <c r="I11" s="27"/>
      <c r="J11" s="74"/>
      <c r="K11" s="27"/>
      <c r="O11" s="148" t="s">
        <v>2077</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v>4101134004</v>
      </c>
      <c r="B13" s="2047"/>
      <c r="C13" s="2047"/>
      <c r="D13" s="2047"/>
      <c r="E13" s="2047"/>
      <c r="F13" s="2047"/>
      <c r="G13" s="2047"/>
      <c r="H13" s="2048"/>
      <c r="I13" s="31"/>
      <c r="J13" s="30"/>
      <c r="K13" s="28"/>
      <c r="L13" s="30"/>
      <c r="M13" s="30"/>
      <c r="N13" s="30"/>
      <c r="O13" s="30"/>
      <c r="P13" s="30"/>
      <c r="Q13" s="30"/>
      <c r="R13" s="30"/>
      <c r="S13" s="30"/>
      <c r="T13" s="2051" t="s">
        <v>2085</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5" t="s">
        <v>2078</v>
      </c>
      <c r="B15" s="2049"/>
      <c r="C15" s="2049"/>
      <c r="D15" s="2049"/>
      <c r="E15" s="2049"/>
      <c r="F15" s="2049"/>
      <c r="G15" s="2049"/>
      <c r="H15" s="2050"/>
      <c r="T15" s="2055" t="s">
        <v>2086</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2121</v>
      </c>
      <c r="B17" s="2006"/>
      <c r="C17" s="2006"/>
      <c r="D17" s="2006"/>
      <c r="E17" s="2006"/>
      <c r="F17" s="2006"/>
      <c r="G17" s="2006"/>
      <c r="H17" s="2031"/>
      <c r="T17" s="2062" t="s">
        <v>2087</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1"/>
      <c r="K18" s="1981"/>
      <c r="L18" s="1981"/>
      <c r="M18" s="1981"/>
      <c r="N18" s="1981"/>
      <c r="O18" s="1981"/>
      <c r="P18" s="1981"/>
      <c r="Q18" s="1981"/>
      <c r="R18" s="1981"/>
      <c r="S18" s="1982"/>
      <c r="T18" s="85" t="s">
        <v>735</v>
      </c>
      <c r="U18" s="51"/>
      <c r="V18" s="72"/>
      <c r="W18" s="50"/>
      <c r="X18" s="85" t="s">
        <v>284</v>
      </c>
      <c r="Y18" s="81"/>
      <c r="Z18" s="159" t="s">
        <v>698</v>
      </c>
      <c r="AA18" s="46"/>
    </row>
    <row r="19" spans="1:27" ht="13.5" customHeight="1" x14ac:dyDescent="0.2">
      <c r="A19" s="2045" t="s">
        <v>2079</v>
      </c>
      <c r="B19" s="1991"/>
      <c r="C19" s="1991"/>
      <c r="D19" s="1991"/>
      <c r="E19" s="1991"/>
      <c r="F19" s="1991"/>
      <c r="G19" s="1991"/>
      <c r="H19" s="1971"/>
      <c r="I19" s="30"/>
      <c r="J19" s="99"/>
      <c r="K19" s="40"/>
      <c r="L19" s="38"/>
      <c r="M19" s="112" t="s">
        <v>333</v>
      </c>
      <c r="P19" s="27"/>
      <c r="Q19" s="27"/>
      <c r="R19" s="27"/>
      <c r="S19" s="31"/>
      <c r="T19" s="2045" t="s">
        <v>2088</v>
      </c>
      <c r="U19" s="1970"/>
      <c r="V19" s="1970"/>
      <c r="W19" s="1971"/>
      <c r="X19" s="2060" t="s">
        <v>2089</v>
      </c>
      <c r="Y19" s="2061"/>
      <c r="Z19" s="2058">
        <v>61032</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9" t="s">
        <v>2080</v>
      </c>
      <c r="B21" s="1970"/>
      <c r="C21" s="1970"/>
      <c r="D21" s="1970"/>
      <c r="E21" s="1970"/>
      <c r="F21" s="1970"/>
      <c r="G21" s="1970"/>
      <c r="H21" s="1971"/>
      <c r="I21" s="2025" t="s">
        <v>699</v>
      </c>
      <c r="J21" s="2020"/>
      <c r="K21" s="2020"/>
      <c r="L21" s="2020"/>
      <c r="M21" s="2020"/>
      <c r="N21" s="2020"/>
      <c r="O21" s="2020"/>
      <c r="P21" s="2020"/>
      <c r="Q21" s="2020"/>
      <c r="R21" s="2020"/>
      <c r="S21" s="2026"/>
      <c r="T21" s="2069" t="s">
        <v>2116</v>
      </c>
      <c r="U21" s="2070"/>
      <c r="V21" s="2070"/>
      <c r="W21" s="2070"/>
      <c r="X21" s="2075" t="s">
        <v>2090</v>
      </c>
      <c r="Y21" s="2076"/>
      <c r="Z21" s="2076"/>
      <c r="AA21" s="2077"/>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2"/>
      <c r="B23" s="2023"/>
      <c r="C23" s="2023"/>
      <c r="D23" s="2023"/>
      <c r="E23" s="2023"/>
      <c r="F23" s="2023"/>
      <c r="G23" s="2023"/>
      <c r="H23" s="2024"/>
      <c r="T23" s="2005" t="s">
        <v>2091</v>
      </c>
      <c r="U23" s="2068"/>
      <c r="V23" s="2068"/>
      <c r="W23" s="2068"/>
      <c r="X23" s="2072">
        <v>43434</v>
      </c>
      <c r="Y23" s="2073"/>
      <c r="Z23" s="2073"/>
      <c r="AA23" s="2074"/>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69">
        <v>61079</v>
      </c>
      <c r="B25" s="1970"/>
      <c r="C25" s="1970"/>
      <c r="D25" s="1970"/>
      <c r="E25" s="1970"/>
      <c r="F25" s="1970"/>
      <c r="G25" s="1970"/>
      <c r="H25" s="1971"/>
      <c r="I25" s="113"/>
      <c r="J25" s="1994"/>
      <c r="K25" s="1994"/>
      <c r="L25" s="1994"/>
      <c r="M25" s="1994"/>
      <c r="N25" s="1994"/>
      <c r="O25" s="1994"/>
      <c r="P25" s="1994"/>
      <c r="Q25" s="1994"/>
      <c r="R25" s="1994"/>
      <c r="S25" s="1995"/>
      <c r="T25" s="2065" t="s">
        <v>2092</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0" t="s">
        <v>1591</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70"/>
      <c r="R35" s="19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t="s">
        <v>2081</v>
      </c>
      <c r="B38" s="2006"/>
      <c r="C38" s="2006"/>
      <c r="D38" s="2006"/>
      <c r="E38" s="2006"/>
      <c r="F38" s="1970"/>
      <c r="G38" s="1970"/>
      <c r="H38" s="1971"/>
      <c r="I38" s="1998"/>
      <c r="J38" s="1999"/>
      <c r="K38" s="1999"/>
      <c r="L38" s="1999"/>
      <c r="M38" s="1999"/>
      <c r="N38" s="1999"/>
      <c r="O38" s="1999"/>
      <c r="P38" s="2000"/>
      <c r="Q38" s="2000"/>
      <c r="R38" s="2000"/>
      <c r="S38" s="2001"/>
      <c r="T38" s="2055" t="s">
        <v>2093</v>
      </c>
      <c r="U38" s="1999"/>
      <c r="V38" s="1999"/>
      <c r="W38" s="1999"/>
      <c r="X38" s="2000"/>
      <c r="Y38" s="2000"/>
      <c r="Z38" s="2000"/>
      <c r="AA38" s="2001"/>
    </row>
    <row r="39" spans="1:27" ht="12" customHeight="1" x14ac:dyDescent="0.2">
      <c r="A39" s="1975" t="s">
        <v>552</v>
      </c>
      <c r="B39" s="1976"/>
      <c r="C39" s="72"/>
      <c r="D39" s="69"/>
      <c r="E39" s="69"/>
      <c r="F39" s="79"/>
      <c r="G39" s="69"/>
      <c r="H39" s="56"/>
      <c r="I39" s="1975" t="s">
        <v>552</v>
      </c>
      <c r="J39" s="1976"/>
      <c r="K39" s="1976"/>
      <c r="L39" s="1976"/>
      <c r="M39" s="1976"/>
      <c r="N39" s="67"/>
      <c r="O39" s="72"/>
      <c r="P39" s="72"/>
      <c r="Q39" s="78"/>
      <c r="R39" s="72"/>
      <c r="S39" s="56"/>
      <c r="T39" s="72" t="s">
        <v>552</v>
      </c>
      <c r="U39" s="51"/>
      <c r="V39" s="72"/>
      <c r="W39" s="50"/>
      <c r="X39" s="78"/>
      <c r="Y39" s="45"/>
      <c r="Z39" s="45"/>
      <c r="AA39" s="46"/>
    </row>
    <row r="40" spans="1:27" ht="13.5" customHeight="1" x14ac:dyDescent="0.2">
      <c r="A40" s="1983" t="s">
        <v>2082</v>
      </c>
      <c r="B40" s="1984"/>
      <c r="C40" s="1985"/>
      <c r="D40" s="1985"/>
      <c r="E40" s="1985"/>
      <c r="F40" s="1986"/>
      <c r="G40" s="1986"/>
      <c r="H40" s="1987"/>
      <c r="I40" s="2008"/>
      <c r="J40" s="2009"/>
      <c r="K40" s="2009"/>
      <c r="L40" s="2009"/>
      <c r="M40" s="2009"/>
      <c r="N40" s="2009"/>
      <c r="O40" s="2009"/>
      <c r="P40" s="2009"/>
      <c r="Q40" s="2009"/>
      <c r="R40" s="2009"/>
      <c r="S40" s="2010"/>
      <c r="T40" s="2008" t="s">
        <v>2094</v>
      </c>
      <c r="U40" s="2071"/>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t="s">
        <v>2083</v>
      </c>
      <c r="B42" s="1989"/>
      <c r="C42" s="1990"/>
      <c r="D42" s="1988" t="s">
        <v>2084</v>
      </c>
      <c r="E42" s="1989"/>
      <c r="F42" s="1989"/>
      <c r="G42" s="1989"/>
      <c r="H42" s="1990"/>
      <c r="I42" s="1972"/>
      <c r="J42" s="1973"/>
      <c r="K42" s="1973"/>
      <c r="L42" s="1973"/>
      <c r="M42" s="1973"/>
      <c r="N42" s="1973"/>
      <c r="O42" s="1974"/>
      <c r="P42" s="2007"/>
      <c r="Q42" s="1973"/>
      <c r="R42" s="1973"/>
      <c r="S42" s="1974"/>
      <c r="T42" s="1972" t="s">
        <v>2095</v>
      </c>
      <c r="U42" s="1973"/>
      <c r="V42" s="1973"/>
      <c r="W42" s="1974"/>
      <c r="X42" s="2007" t="s">
        <v>2096</v>
      </c>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77"/>
      <c r="J44" s="1978"/>
      <c r="K44" s="1978"/>
      <c r="L44" s="1978"/>
      <c r="M44" s="1978"/>
      <c r="N44" s="1978"/>
      <c r="O44" s="1978"/>
      <c r="P44" s="1978"/>
      <c r="Q44" s="1978"/>
      <c r="R44" s="1978"/>
      <c r="S44" s="1979"/>
      <c r="T44" s="1977"/>
      <c r="U44" s="1996"/>
      <c r="V44" s="1996"/>
      <c r="W44" s="1996"/>
      <c r="X44" s="1996"/>
      <c r="Y44" s="1996"/>
      <c r="Z44" s="1978"/>
      <c r="AA44" s="197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tabSelected="1" defaultGridColor="0" colorId="8" zoomScale="110" zoomScaleNormal="110" workbookViewId="0">
      <selection activeCell="D49" sqref="D4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1" t="s">
        <v>1905</v>
      </c>
      <c r="B2" s="1549" t="s">
        <v>2037</v>
      </c>
      <c r="C2" s="715" t="s">
        <v>1910</v>
      </c>
      <c r="D2" s="715" t="s">
        <v>1911</v>
      </c>
      <c r="E2" s="715" t="s">
        <v>1912</v>
      </c>
      <c r="F2" s="715" t="s">
        <v>1913</v>
      </c>
    </row>
    <row r="3" spans="1:6" ht="12" customHeight="1" x14ac:dyDescent="0.2">
      <c r="A3" s="2212"/>
      <c r="B3" s="1546"/>
      <c r="C3" s="1547"/>
      <c r="D3" s="1548" t="s">
        <v>274</v>
      </c>
      <c r="E3" s="1547"/>
      <c r="F3" s="1548" t="s">
        <v>275</v>
      </c>
    </row>
    <row r="4" spans="1:6" ht="13.7" customHeight="1" x14ac:dyDescent="0.2">
      <c r="A4" s="716" t="s">
        <v>1217</v>
      </c>
      <c r="B4" s="1770">
        <f>'Revenues 9-14'!C5</f>
        <v>930771</v>
      </c>
      <c r="C4" s="1545">
        <v>499293</v>
      </c>
      <c r="D4" s="1773">
        <f>B4-C4</f>
        <v>431478</v>
      </c>
      <c r="E4" s="1545">
        <v>934692</v>
      </c>
      <c r="F4" s="1773">
        <f>E4-C4</f>
        <v>435399</v>
      </c>
    </row>
    <row r="5" spans="1:6" ht="13.7" customHeight="1" x14ac:dyDescent="0.2">
      <c r="A5" s="716" t="s">
        <v>925</v>
      </c>
      <c r="B5" s="1771">
        <f>'Revenues 9-14'!D5</f>
        <v>161668</v>
      </c>
      <c r="C5" s="585">
        <v>89840</v>
      </c>
      <c r="D5" s="1774">
        <f t="shared" ref="D5:D18" si="0">B5-C5</f>
        <v>71828</v>
      </c>
      <c r="E5" s="585">
        <v>168183</v>
      </c>
      <c r="F5" s="1774">
        <f>E5-C5</f>
        <v>78343</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11764</v>
      </c>
      <c r="C7" s="585">
        <v>6540</v>
      </c>
      <c r="D7" s="1774">
        <f t="shared" si="0"/>
        <v>5224</v>
      </c>
      <c r="E7" s="585">
        <v>12242</v>
      </c>
      <c r="F7" s="1774">
        <f t="shared" si="1"/>
        <v>5702</v>
      </c>
    </row>
    <row r="8" spans="1:6" ht="13.7" customHeight="1" x14ac:dyDescent="0.2">
      <c r="A8" s="716" t="s">
        <v>1241</v>
      </c>
      <c r="B8" s="1771">
        <f>'Revenues 9-14'!G5</f>
        <v>14969</v>
      </c>
      <c r="C8" s="585">
        <v>10789</v>
      </c>
      <c r="D8" s="1774">
        <f t="shared" si="0"/>
        <v>4180</v>
      </c>
      <c r="E8" s="585">
        <v>20198</v>
      </c>
      <c r="F8" s="1774">
        <f t="shared" si="1"/>
        <v>9409</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1293</v>
      </c>
      <c r="C10" s="585"/>
      <c r="D10" s="1774">
        <f t="shared" si="0"/>
        <v>1293</v>
      </c>
      <c r="E10" s="585"/>
      <c r="F10" s="1774">
        <f t="shared" si="1"/>
        <v>0</v>
      </c>
    </row>
    <row r="11" spans="1:6" x14ac:dyDescent="0.2">
      <c r="A11" s="716" t="s">
        <v>429</v>
      </c>
      <c r="B11" s="1771">
        <f>'Revenues 9-14'!J5</f>
        <v>25508</v>
      </c>
      <c r="C11" s="585">
        <v>15962</v>
      </c>
      <c r="D11" s="1774">
        <f t="shared" si="0"/>
        <v>9546</v>
      </c>
      <c r="E11" s="585">
        <v>29881</v>
      </c>
      <c r="F11" s="1774">
        <f t="shared" si="1"/>
        <v>13919</v>
      </c>
    </row>
    <row r="12" spans="1:6" ht="13.7" customHeight="1" x14ac:dyDescent="0.2">
      <c r="A12" s="716" t="s">
        <v>159</v>
      </c>
      <c r="B12" s="1771">
        <f>'Revenues 9-14'!K5</f>
        <v>5370</v>
      </c>
      <c r="C12" s="585">
        <v>5370</v>
      </c>
      <c r="D12" s="1774">
        <f t="shared" si="0"/>
        <v>0</v>
      </c>
      <c r="E12" s="585">
        <v>10053</v>
      </c>
      <c r="F12" s="1774">
        <f t="shared" si="1"/>
        <v>4683</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2953</v>
      </c>
      <c r="C14" s="585">
        <v>1647</v>
      </c>
      <c r="D14" s="1774">
        <f t="shared" si="0"/>
        <v>1306</v>
      </c>
      <c r="E14" s="585">
        <v>3084</v>
      </c>
      <c r="F14" s="1774">
        <f t="shared" si="1"/>
        <v>1437</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19764</v>
      </c>
      <c r="C16" s="585">
        <v>15846</v>
      </c>
      <c r="D16" s="1774">
        <f t="shared" si="0"/>
        <v>3918</v>
      </c>
      <c r="E16" s="585">
        <v>29665</v>
      </c>
      <c r="F16" s="1774">
        <f t="shared" si="1"/>
        <v>13819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1174060</v>
      </c>
      <c r="C19" s="1772">
        <f>SUM(C4:C18)</f>
        <v>645287</v>
      </c>
      <c r="D19" s="1772">
        <f>SUM(D4:D18)</f>
        <v>528773</v>
      </c>
      <c r="E19" s="1772">
        <f>SUM(E4:E18)</f>
        <v>1207998</v>
      </c>
      <c r="F19" s="1772">
        <f>SUM(F4:F18)</f>
        <v>562711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tabSelected="1" defaultGridColor="0" topLeftCell="A22" colorId="8" zoomScale="110" zoomScaleNormal="110" workbookViewId="0">
      <selection activeCell="D49" sqref="D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650</v>
      </c>
      <c r="B1" s="2231"/>
      <c r="C1" s="722"/>
    </row>
    <row r="2" spans="1:7" ht="33.75" x14ac:dyDescent="0.2">
      <c r="A2" s="2238" t="s">
        <v>1905</v>
      </c>
      <c r="B2" s="2239"/>
      <c r="C2" s="1908" t="s">
        <v>2038</v>
      </c>
      <c r="D2" s="724" t="s">
        <v>2045</v>
      </c>
      <c r="E2" s="724" t="s">
        <v>2046</v>
      </c>
      <c r="F2" s="1908" t="s">
        <v>2039</v>
      </c>
    </row>
    <row r="3" spans="1:7" ht="15.75" customHeight="1" x14ac:dyDescent="0.2">
      <c r="A3" s="2240" t="s">
        <v>1176</v>
      </c>
      <c r="B3" s="2241"/>
      <c r="C3" s="2234"/>
      <c r="D3" s="2235"/>
      <c r="E3" s="2235"/>
      <c r="F3" s="2236"/>
    </row>
    <row r="4" spans="1:7" ht="12.75" customHeight="1" thickBot="1" x14ac:dyDescent="0.25">
      <c r="A4" s="2228" t="s">
        <v>651</v>
      </c>
      <c r="B4" s="2229"/>
      <c r="C4" s="581"/>
      <c r="D4" s="581"/>
      <c r="E4" s="581"/>
      <c r="F4" s="1776">
        <f>SUM(C4+D4)-E4</f>
        <v>0</v>
      </c>
    </row>
    <row r="5" spans="1:7" ht="15.75" customHeight="1" thickTop="1" x14ac:dyDescent="0.2">
      <c r="A5" s="2232" t="s">
        <v>1172</v>
      </c>
      <c r="B5" s="2227"/>
      <c r="C5" s="2221"/>
      <c r="D5" s="2222"/>
      <c r="E5" s="2222"/>
      <c r="F5" s="222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4" t="s">
        <v>652</v>
      </c>
      <c r="B15" s="2225"/>
      <c r="C15" s="1776">
        <f>SUM(C6:C14)</f>
        <v>0</v>
      </c>
      <c r="D15" s="1776">
        <f>SUM(D6:D14)</f>
        <v>0</v>
      </c>
      <c r="E15" s="1776">
        <f>SUM(E6:E14)</f>
        <v>0</v>
      </c>
      <c r="F15" s="1776">
        <f>SUM(F6:F14)</f>
        <v>0</v>
      </c>
      <c r="G15" s="552"/>
    </row>
    <row r="16" spans="1:7" s="202" customFormat="1" ht="15.75" customHeight="1" thickTop="1" x14ac:dyDescent="0.2">
      <c r="A16" s="2237" t="s">
        <v>1173</v>
      </c>
      <c r="B16" s="2227"/>
      <c r="C16" s="2221"/>
      <c r="D16" s="2222"/>
      <c r="E16" s="2222"/>
      <c r="F16" s="2223"/>
    </row>
    <row r="17" spans="1:11" ht="12.75" customHeight="1" thickBot="1" x14ac:dyDescent="0.25">
      <c r="A17" s="2219" t="s">
        <v>66</v>
      </c>
      <c r="B17" s="2220"/>
      <c r="C17" s="727"/>
      <c r="D17" s="585"/>
      <c r="E17" s="727"/>
      <c r="F17" s="1776">
        <f>SUM(C17+D17)-E17</f>
        <v>0</v>
      </c>
    </row>
    <row r="18" spans="1:11" ht="12.75" customHeight="1" thickTop="1" thickBot="1" x14ac:dyDescent="0.25">
      <c r="A18" s="2219" t="s">
        <v>6</v>
      </c>
      <c r="B18" s="2220"/>
      <c r="C18" s="727"/>
      <c r="D18" s="585"/>
      <c r="E18" s="727"/>
      <c r="F18" s="1776">
        <f>SUM(C18+D18)-E18</f>
        <v>0</v>
      </c>
    </row>
    <row r="19" spans="1:11" ht="12.75" customHeight="1" thickTop="1" thickBot="1" x14ac:dyDescent="0.25">
      <c r="A19" s="2219" t="s">
        <v>406</v>
      </c>
      <c r="B19" s="2220"/>
      <c r="C19" s="727"/>
      <c r="D19" s="585"/>
      <c r="E19" s="727"/>
      <c r="F19" s="1776">
        <f>SUM(C19+D19)-E19</f>
        <v>0</v>
      </c>
    </row>
    <row r="20" spans="1:11" ht="12.75" customHeight="1" thickTop="1" thickBot="1" x14ac:dyDescent="0.25">
      <c r="A20" s="2219" t="s">
        <v>468</v>
      </c>
      <c r="B20" s="2220"/>
      <c r="C20" s="727"/>
      <c r="D20" s="585"/>
      <c r="E20" s="727"/>
      <c r="F20" s="1776">
        <f>SUM(C20+D20)-E20</f>
        <v>0</v>
      </c>
    </row>
    <row r="21" spans="1:11" ht="14.25" thickTop="1" thickBot="1" x14ac:dyDescent="0.25">
      <c r="A21" s="2224" t="s">
        <v>653</v>
      </c>
      <c r="B21" s="2225"/>
      <c r="C21" s="1776">
        <f>SUM(C17:C20)</f>
        <v>0</v>
      </c>
      <c r="D21" s="1776">
        <f>SUM(D17:D20)</f>
        <v>0</v>
      </c>
      <c r="E21" s="1776">
        <f>SUM(E17:E20)</f>
        <v>0</v>
      </c>
      <c r="F21" s="1776">
        <f>SUM(F17:F20)</f>
        <v>0</v>
      </c>
      <c r="G21" s="552"/>
    </row>
    <row r="22" spans="1:11" ht="15.75" customHeight="1" thickTop="1" x14ac:dyDescent="0.2">
      <c r="A22" s="2226" t="s">
        <v>1174</v>
      </c>
      <c r="B22" s="2227"/>
      <c r="C22" s="2221"/>
      <c r="D22" s="2222"/>
      <c r="E22" s="2222"/>
      <c r="F22" s="2223"/>
    </row>
    <row r="23" spans="1:11" ht="13.5" thickBot="1" x14ac:dyDescent="0.25">
      <c r="A23" s="2228" t="s">
        <v>654</v>
      </c>
      <c r="B23" s="2229"/>
      <c r="C23" s="581"/>
      <c r="D23" s="581"/>
      <c r="E23" s="581"/>
      <c r="F23" s="1776">
        <f>SUM(C23+D23)-E23</f>
        <v>0</v>
      </c>
      <c r="G23" s="552"/>
    </row>
    <row r="24" spans="1:11" ht="15.75" customHeight="1" thickTop="1" x14ac:dyDescent="0.2">
      <c r="A24" s="2226" t="s">
        <v>1175</v>
      </c>
      <c r="B24" s="2227"/>
      <c r="C24" s="2221"/>
      <c r="D24" s="2222"/>
      <c r="E24" s="2222"/>
      <c r="F24" s="2223"/>
    </row>
    <row r="25" spans="1:11" ht="13.5" thickBot="1" x14ac:dyDescent="0.25">
      <c r="A25" s="2228" t="s">
        <v>655</v>
      </c>
      <c r="B25" s="2229"/>
      <c r="C25" s="581"/>
      <c r="D25" s="581"/>
      <c r="E25" s="581"/>
      <c r="F25" s="1776">
        <f>SUM(C25+D25)-E25</f>
        <v>0</v>
      </c>
      <c r="G25" s="552"/>
    </row>
    <row r="26" spans="1:11" ht="15.75" customHeight="1" thickTop="1" x14ac:dyDescent="0.2">
      <c r="A26" s="2232" t="s">
        <v>678</v>
      </c>
      <c r="B26" s="2227"/>
      <c r="C26" s="728"/>
      <c r="D26" s="728"/>
      <c r="E26" s="728"/>
      <c r="F26" s="729"/>
    </row>
    <row r="27" spans="1:11" ht="13.5" thickBot="1" x14ac:dyDescent="0.25">
      <c r="A27" s="2224" t="s">
        <v>1130</v>
      </c>
      <c r="B27" s="2225"/>
      <c r="C27" s="585"/>
      <c r="D27" s="585"/>
      <c r="E27" s="585"/>
      <c r="F27" s="1776">
        <f>SUM(C27+D27)-E27</f>
        <v>0</v>
      </c>
      <c r="G27" s="552"/>
    </row>
    <row r="28" spans="1:11" ht="7.5" customHeight="1" thickTop="1" x14ac:dyDescent="0.2">
      <c r="A28" s="594"/>
    </row>
    <row r="29" spans="1:11" ht="23.25" customHeight="1" x14ac:dyDescent="0.2">
      <c r="A29" s="2230" t="s">
        <v>603</v>
      </c>
      <c r="B29" s="2231"/>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3" t="s">
        <v>605</v>
      </c>
      <c r="C52" s="2214"/>
      <c r="D52" s="2214"/>
      <c r="E52" s="750" t="s">
        <v>900</v>
      </c>
      <c r="F52" s="2215"/>
      <c r="G52" s="2216"/>
      <c r="H52" s="737"/>
      <c r="I52" s="737"/>
      <c r="J52" s="747"/>
    </row>
    <row r="53" spans="1:11" ht="11.25" customHeight="1" x14ac:dyDescent="0.2">
      <c r="A53" s="751" t="s">
        <v>969</v>
      </c>
      <c r="B53" s="752" t="s">
        <v>1008</v>
      </c>
      <c r="C53" s="747"/>
      <c r="D53" s="738"/>
      <c r="E53" s="750" t="s">
        <v>518</v>
      </c>
      <c r="F53" s="2217"/>
      <c r="G53" s="2218"/>
      <c r="H53" s="737"/>
      <c r="I53" s="737"/>
      <c r="J53" s="747"/>
    </row>
    <row r="54" spans="1:11" ht="11.25" customHeight="1" x14ac:dyDescent="0.2">
      <c r="A54" s="753" t="s">
        <v>970</v>
      </c>
      <c r="B54" s="748" t="s">
        <v>1009</v>
      </c>
      <c r="C54" s="747"/>
      <c r="D54" s="738"/>
      <c r="E54" s="750" t="s">
        <v>519</v>
      </c>
      <c r="F54" s="2217"/>
      <c r="G54" s="221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tabSelected="1" defaultGridColor="0" colorId="8" zoomScale="110" zoomScaleNormal="110" workbookViewId="0">
      <selection activeCell="D49" sqref="D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911</v>
      </c>
      <c r="B1" s="2243"/>
      <c r="C1" s="2243"/>
      <c r="D1" s="2243"/>
      <c r="E1" s="2243"/>
      <c r="F1" s="2243"/>
      <c r="G1" s="2244"/>
      <c r="H1" s="1551"/>
      <c r="I1" s="761"/>
      <c r="J1" s="433"/>
    </row>
    <row r="2" spans="1:11" ht="26.25" x14ac:dyDescent="0.2">
      <c r="A2" s="2261" t="s">
        <v>1776</v>
      </c>
      <c r="B2" s="2262"/>
      <c r="C2" s="2262"/>
      <c r="D2" s="2262"/>
      <c r="E2" s="2263"/>
      <c r="F2" s="762" t="s">
        <v>960</v>
      </c>
      <c r="G2" s="763" t="s">
        <v>1773</v>
      </c>
      <c r="H2" s="763" t="s">
        <v>430</v>
      </c>
      <c r="I2" s="763" t="s">
        <v>1220</v>
      </c>
      <c r="J2" s="763" t="s">
        <v>1919</v>
      </c>
      <c r="K2" s="763" t="s">
        <v>140</v>
      </c>
    </row>
    <row r="3" spans="1:11" x14ac:dyDescent="0.2">
      <c r="A3" s="2264" t="s">
        <v>1698</v>
      </c>
      <c r="B3" s="2265"/>
      <c r="C3" s="2265"/>
      <c r="D3" s="2265"/>
      <c r="E3" s="2266"/>
      <c r="F3" s="764"/>
      <c r="G3" s="765"/>
      <c r="H3" s="765"/>
      <c r="I3" s="765"/>
      <c r="J3" s="766"/>
      <c r="K3" s="766"/>
    </row>
    <row r="4" spans="1:11" x14ac:dyDescent="0.2">
      <c r="A4" s="2267" t="s">
        <v>387</v>
      </c>
      <c r="B4" s="2268"/>
      <c r="C4" s="2268"/>
      <c r="D4" s="2268"/>
      <c r="E4" s="2214"/>
      <c r="F4" s="767"/>
      <c r="G4" s="768"/>
      <c r="H4" s="769"/>
      <c r="I4" s="768"/>
      <c r="J4" s="770"/>
      <c r="K4" s="770"/>
    </row>
    <row r="5" spans="1:11" x14ac:dyDescent="0.2">
      <c r="A5" s="2245" t="s">
        <v>1129</v>
      </c>
      <c r="B5" s="2246"/>
      <c r="C5" s="2246"/>
      <c r="D5" s="2246"/>
      <c r="E5" s="2247"/>
      <c r="F5" s="771" t="s">
        <v>903</v>
      </c>
      <c r="G5" s="772"/>
      <c r="H5" s="765">
        <v>2953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5" t="s">
        <v>1920</v>
      </c>
      <c r="B10" s="2246"/>
      <c r="C10" s="2246"/>
      <c r="D10" s="2246"/>
      <c r="E10" s="2248"/>
      <c r="F10" s="784" t="s">
        <v>917</v>
      </c>
      <c r="G10" s="783"/>
      <c r="H10" s="785"/>
      <c r="I10" s="765"/>
      <c r="J10" s="766"/>
      <c r="K10" s="766"/>
    </row>
    <row r="11" spans="1:11" x14ac:dyDescent="0.2">
      <c r="A11" s="2245" t="s">
        <v>162</v>
      </c>
      <c r="B11" s="2246"/>
      <c r="C11" s="2246"/>
      <c r="D11" s="2246"/>
      <c r="E11" s="2247"/>
      <c r="F11" s="771" t="s">
        <v>907</v>
      </c>
      <c r="G11" s="772"/>
      <c r="H11" s="765"/>
      <c r="I11" s="765"/>
      <c r="J11" s="766"/>
      <c r="K11" s="774"/>
    </row>
    <row r="12" spans="1:11" ht="13.5" thickBot="1" x14ac:dyDescent="0.25">
      <c r="A12" s="2272" t="s">
        <v>961</v>
      </c>
      <c r="B12" s="2273"/>
      <c r="C12" s="2273"/>
      <c r="D12" s="2273"/>
      <c r="E12" s="2274"/>
      <c r="F12" s="1778"/>
      <c r="G12" s="1779">
        <f>SUM(G5:G11)</f>
        <v>0</v>
      </c>
      <c r="H12" s="1779">
        <f>SUM(H5:H11)</f>
        <v>2953</v>
      </c>
      <c r="I12" s="1779">
        <f>SUM(I5:I11)</f>
        <v>0</v>
      </c>
      <c r="J12" s="1779">
        <f>SUM(J5:J11)</f>
        <v>0</v>
      </c>
      <c r="K12" s="1779">
        <f>SUM(K5:K11)</f>
        <v>0</v>
      </c>
    </row>
    <row r="13" spans="1:11" ht="13.5" thickTop="1" x14ac:dyDescent="0.2">
      <c r="A13" s="2269" t="s">
        <v>388</v>
      </c>
      <c r="B13" s="2270"/>
      <c r="C13" s="2270"/>
      <c r="D13" s="2270"/>
      <c r="E13" s="2271"/>
      <c r="F13" s="786"/>
      <c r="G13" s="787"/>
      <c r="H13" s="788"/>
      <c r="I13" s="789"/>
      <c r="J13" s="789"/>
      <c r="K13" s="789"/>
    </row>
    <row r="14" spans="1:11" x14ac:dyDescent="0.2">
      <c r="A14" s="2252" t="s">
        <v>476</v>
      </c>
      <c r="B14" s="2252"/>
      <c r="C14" s="2252"/>
      <c r="D14" s="2252"/>
      <c r="E14" s="2253"/>
      <c r="F14" s="790" t="s">
        <v>909</v>
      </c>
      <c r="G14" s="783"/>
      <c r="H14" s="765">
        <v>2953</v>
      </c>
      <c r="I14" s="772"/>
      <c r="J14" s="774"/>
      <c r="K14" s="766"/>
    </row>
    <row r="15" spans="1:11" x14ac:dyDescent="0.2">
      <c r="A15" s="2246" t="s">
        <v>4</v>
      </c>
      <c r="B15" s="2246"/>
      <c r="C15" s="2246"/>
      <c r="D15" s="2246"/>
      <c r="E15" s="2247"/>
      <c r="F15" s="790" t="s">
        <v>910</v>
      </c>
      <c r="G15" s="772"/>
      <c r="H15" s="765"/>
      <c r="I15" s="765"/>
      <c r="J15" s="766"/>
      <c r="K15" s="766"/>
    </row>
    <row r="16" spans="1:11" x14ac:dyDescent="0.2">
      <c r="A16" s="2246" t="s">
        <v>316</v>
      </c>
      <c r="B16" s="2246"/>
      <c r="C16" s="2246"/>
      <c r="D16" s="2246"/>
      <c r="E16" s="2247"/>
      <c r="F16" s="790" t="s">
        <v>980</v>
      </c>
      <c r="G16" s="773"/>
      <c r="H16" s="768"/>
      <c r="I16" s="768"/>
      <c r="J16" s="770"/>
      <c r="K16" s="770"/>
    </row>
    <row r="17" spans="1:11" x14ac:dyDescent="0.2">
      <c r="A17" s="2277" t="s">
        <v>992</v>
      </c>
      <c r="B17" s="2277"/>
      <c r="C17" s="2277"/>
      <c r="D17" s="2277"/>
      <c r="E17" s="2278"/>
      <c r="F17" s="791"/>
      <c r="G17" s="792"/>
      <c r="H17" s="793"/>
      <c r="I17" s="793"/>
      <c r="J17" s="794"/>
      <c r="K17" s="795"/>
    </row>
    <row r="18" spans="1:11" x14ac:dyDescent="0.2">
      <c r="A18" s="2256" t="s">
        <v>386</v>
      </c>
      <c r="B18" s="2257"/>
      <c r="C18" s="2257"/>
      <c r="D18" s="2257"/>
      <c r="E18" s="2258"/>
      <c r="F18" s="790" t="s">
        <v>989</v>
      </c>
      <c r="G18" s="783"/>
      <c r="H18" s="783"/>
      <c r="I18" s="783"/>
      <c r="J18" s="766"/>
      <c r="K18" s="796"/>
    </row>
    <row r="19" spans="1:11" ht="21.75" customHeight="1" x14ac:dyDescent="0.2">
      <c r="A19" s="2254" t="s">
        <v>1916</v>
      </c>
      <c r="B19" s="2254"/>
      <c r="C19" s="2254"/>
      <c r="D19" s="2254"/>
      <c r="E19" s="2255"/>
      <c r="F19" s="790" t="s">
        <v>990</v>
      </c>
      <c r="G19" s="783"/>
      <c r="H19" s="783"/>
      <c r="I19" s="783"/>
      <c r="J19" s="766"/>
      <c r="K19" s="796"/>
    </row>
    <row r="20" spans="1:11" x14ac:dyDescent="0.2">
      <c r="A20" s="2256" t="s">
        <v>1921</v>
      </c>
      <c r="B20" s="2257"/>
      <c r="C20" s="2257"/>
      <c r="D20" s="2257"/>
      <c r="E20" s="2258"/>
      <c r="F20" s="790" t="s">
        <v>991</v>
      </c>
      <c r="G20" s="783"/>
      <c r="H20" s="783"/>
      <c r="I20" s="783"/>
      <c r="J20" s="766"/>
      <c r="K20" s="796"/>
    </row>
    <row r="21" spans="1:11" ht="13.5" thickBot="1" x14ac:dyDescent="0.25">
      <c r="A21" s="2275" t="s">
        <v>659</v>
      </c>
      <c r="B21" s="2275"/>
      <c r="C21" s="2275"/>
      <c r="D21" s="2275"/>
      <c r="E21" s="2275"/>
      <c r="F21" s="1780"/>
      <c r="G21" s="793"/>
      <c r="H21" s="797"/>
      <c r="I21" s="797"/>
      <c r="J21" s="1781">
        <f>SUM(J18:J20)</f>
        <v>0</v>
      </c>
      <c r="K21" s="794"/>
    </row>
    <row r="22" spans="1:11" ht="13.5" thickTop="1" x14ac:dyDescent="0.2">
      <c r="A22" s="2246" t="s">
        <v>1922</v>
      </c>
      <c r="B22" s="2246"/>
      <c r="C22" s="2246"/>
      <c r="D22" s="2246"/>
      <c r="E22" s="2247"/>
      <c r="F22" s="790" t="s">
        <v>917</v>
      </c>
      <c r="G22" s="783"/>
      <c r="H22" s="765"/>
      <c r="I22" s="765"/>
      <c r="J22" s="798"/>
      <c r="K22" s="766"/>
    </row>
    <row r="23" spans="1:11" ht="13.5" thickBot="1" x14ac:dyDescent="0.25">
      <c r="A23" s="2276" t="s">
        <v>962</v>
      </c>
      <c r="B23" s="2275"/>
      <c r="C23" s="2275"/>
      <c r="D23" s="2275"/>
      <c r="E23" s="2275"/>
      <c r="F23" s="1782"/>
      <c r="G23" s="1779">
        <f>SUM(G14:G16,G21,G22)</f>
        <v>0</v>
      </c>
      <c r="H23" s="1779">
        <f>SUM(H14:H16,H21,H22)</f>
        <v>2953</v>
      </c>
      <c r="I23" s="1779">
        <f>SUM(I14:I16,I21,I22)</f>
        <v>0</v>
      </c>
      <c r="J23" s="1779">
        <f>SUM(J14:J16,J21,J22)</f>
        <v>0</v>
      </c>
      <c r="K23" s="1779">
        <f>SUM(K14:K16,K21,K22)</f>
        <v>0</v>
      </c>
    </row>
    <row r="24" spans="1:11" ht="14.25" thickTop="1" thickBot="1" x14ac:dyDescent="0.25">
      <c r="A24" s="2276" t="s">
        <v>2026</v>
      </c>
      <c r="B24" s="2275"/>
      <c r="C24" s="2275"/>
      <c r="D24" s="2275"/>
      <c r="E24" s="2275"/>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9"/>
      <c r="I31" s="2250"/>
      <c r="J31" s="2250"/>
      <c r="K31" s="2250"/>
    </row>
    <row r="32" spans="1:11" x14ac:dyDescent="0.2">
      <c r="A32" s="810"/>
      <c r="B32" s="237"/>
      <c r="C32" s="237"/>
      <c r="D32" s="237"/>
      <c r="E32" s="806"/>
      <c r="F32" s="812" t="s">
        <v>561</v>
      </c>
      <c r="G32" s="765"/>
      <c r="H32" s="2251"/>
      <c r="I32" s="2250"/>
      <c r="J32" s="2250"/>
      <c r="K32" s="2250"/>
    </row>
    <row r="33" spans="1:11" ht="1.5" customHeight="1" x14ac:dyDescent="0.2">
      <c r="A33" s="813" t="s">
        <v>1231</v>
      </c>
      <c r="B33" s="364"/>
      <c r="C33" s="364"/>
      <c r="D33" s="364"/>
      <c r="E33" s="364"/>
      <c r="F33" s="364"/>
      <c r="G33" s="814"/>
      <c r="H33" s="2251"/>
      <c r="I33" s="2250"/>
      <c r="J33" s="2250"/>
      <c r="K33" s="225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59"/>
      <c r="C41" s="2259"/>
      <c r="D41" s="2259"/>
      <c r="E41" s="2259"/>
      <c r="F41" s="226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tabSelected="1" defaultGridColor="0" colorId="8" zoomScale="110" zoomScaleNormal="110" workbookViewId="0">
      <selection activeCell="D49" sqref="D4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2035</v>
      </c>
      <c r="B1" s="2282"/>
      <c r="C1" s="2283"/>
      <c r="D1" s="827"/>
      <c r="E1" s="828"/>
      <c r="F1" s="828"/>
      <c r="G1" s="829"/>
      <c r="H1" s="830"/>
      <c r="I1" s="831"/>
      <c r="J1" s="2279"/>
      <c r="K1" s="2280"/>
      <c r="L1" s="228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19481</v>
      </c>
      <c r="D5" s="842"/>
      <c r="E5" s="842"/>
      <c r="F5" s="1781">
        <f>(C5+D5)-E5</f>
        <v>19481</v>
      </c>
      <c r="G5" s="838"/>
      <c r="H5" s="843"/>
      <c r="I5" s="843"/>
      <c r="J5" s="843"/>
      <c r="K5" s="794"/>
      <c r="L5" s="1790">
        <f>F5-K5</f>
        <v>19481</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1054053</v>
      </c>
      <c r="D8" s="845"/>
      <c r="E8" s="845"/>
      <c r="F8" s="1781">
        <f>(C8+D8)-E8</f>
        <v>1054053</v>
      </c>
      <c r="G8" s="844">
        <v>50</v>
      </c>
      <c r="H8" s="766">
        <v>790781</v>
      </c>
      <c r="I8" s="766">
        <v>21081</v>
      </c>
      <c r="J8" s="766"/>
      <c r="K8" s="1790">
        <f>(H8+I8)-J8</f>
        <v>811862</v>
      </c>
      <c r="L8" s="1790">
        <f>F8-K8</f>
        <v>242191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12044</v>
      </c>
      <c r="D10" s="847"/>
      <c r="E10" s="847"/>
      <c r="F10" s="1785">
        <f>(C10+D10)-E10</f>
        <v>12044</v>
      </c>
      <c r="G10" s="844">
        <v>20</v>
      </c>
      <c r="H10" s="848">
        <v>12044</v>
      </c>
      <c r="I10" s="848"/>
      <c r="J10" s="848"/>
      <c r="K10" s="1790">
        <f>(H10+I10)-J10</f>
        <v>12044</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512289</v>
      </c>
      <c r="D12" s="845">
        <v>10336</v>
      </c>
      <c r="E12" s="845"/>
      <c r="F12" s="1781">
        <f>(C12+D12)-E12</f>
        <v>522625</v>
      </c>
      <c r="G12" s="844">
        <v>10</v>
      </c>
      <c r="H12" s="766">
        <v>481023</v>
      </c>
      <c r="I12" s="766">
        <v>3454</v>
      </c>
      <c r="J12" s="766"/>
      <c r="K12" s="1790">
        <f>(H12+I12)-J12</f>
        <v>484477</v>
      </c>
      <c r="L12" s="1790">
        <f>F12-K12</f>
        <v>38148</v>
      </c>
    </row>
    <row r="13" spans="1:14" ht="14.25" thickTop="1" thickBot="1" x14ac:dyDescent="0.25">
      <c r="A13" s="849" t="s">
        <v>1184</v>
      </c>
      <c r="B13" s="841">
        <v>252</v>
      </c>
      <c r="C13" s="845">
        <v>38983</v>
      </c>
      <c r="D13" s="845"/>
      <c r="E13" s="845"/>
      <c r="F13" s="1781">
        <f>(C13+D13)-E13</f>
        <v>38983</v>
      </c>
      <c r="G13" s="844">
        <v>5</v>
      </c>
      <c r="H13" s="766">
        <v>38983</v>
      </c>
      <c r="I13" s="766"/>
      <c r="J13" s="766"/>
      <c r="K13" s="1790">
        <f>(H13+I13)-J13</f>
        <v>38983</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1636850</v>
      </c>
      <c r="D16" s="1781">
        <f>SUM(D3,D5:D6,D8:D10,D12:D15)</f>
        <v>10336</v>
      </c>
      <c r="E16" s="1781">
        <f>SUM(E3,E5:E6,E8:E10,E12:E15)</f>
        <v>0</v>
      </c>
      <c r="F16" s="1781">
        <f>SUM(F3,F5:F6,F8:F10,F12:F15)</f>
        <v>1647186</v>
      </c>
      <c r="G16" s="844"/>
      <c r="H16" s="1781">
        <f>SUM(H3,H6,H8:H10,H12:H14,)</f>
        <v>1322831</v>
      </c>
      <c r="I16" s="1781">
        <f>SUM(I3,I6,I8:I10,I12:I14,)</f>
        <v>24535</v>
      </c>
      <c r="J16" s="1781">
        <f>SUM(J3,J6,J8:J10,J12:J14,)</f>
        <v>0</v>
      </c>
      <c r="K16" s="1781">
        <f>(H16+I16)-J16</f>
        <v>1347366</v>
      </c>
      <c r="L16" s="1781">
        <f>F16-K16</f>
        <v>299820</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24535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tabSelected="1" defaultGridColor="0" colorId="8" zoomScale="110" zoomScaleNormal="110" workbookViewId="0">
      <pane ySplit="5" topLeftCell="A73" activePane="bottomLeft" state="frozen"/>
      <selection activeCell="D49" sqref="D49"/>
      <selection pane="bottomLeft" activeCell="D49" sqref="D4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7" t="s">
        <v>1699</v>
      </c>
      <c r="B1" s="2288"/>
      <c r="C1" s="2288"/>
      <c r="D1" s="2288"/>
      <c r="E1" s="2288"/>
      <c r="F1" s="2289"/>
      <c r="G1" s="856"/>
    </row>
    <row r="2" spans="1:7" ht="15" customHeight="1" thickBot="1" x14ac:dyDescent="0.25">
      <c r="A2" s="2290" t="s">
        <v>498</v>
      </c>
      <c r="B2" s="2291"/>
      <c r="C2" s="2291"/>
      <c r="D2" s="2291"/>
      <c r="E2" s="2291"/>
      <c r="F2" s="229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3"/>
      <c r="B5" s="2294"/>
      <c r="C5" s="2294"/>
      <c r="D5" s="2294"/>
      <c r="E5" s="2294"/>
      <c r="F5" s="2294"/>
    </row>
    <row r="6" spans="1:7" ht="13.5" customHeight="1" thickBot="1" x14ac:dyDescent="0.25">
      <c r="A6" s="2284" t="s">
        <v>1166</v>
      </c>
      <c r="B6" s="2285"/>
      <c r="C6" s="2285"/>
      <c r="D6" s="2285"/>
      <c r="E6" s="2285"/>
      <c r="F6" s="228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1295973</v>
      </c>
      <c r="G8" s="866"/>
    </row>
    <row r="9" spans="1:7" x14ac:dyDescent="0.2">
      <c r="A9" s="870" t="s">
        <v>480</v>
      </c>
      <c r="B9" s="871" t="s">
        <v>1989</v>
      </c>
      <c r="C9" s="872"/>
      <c r="D9" s="870" t="s">
        <v>522</v>
      </c>
      <c r="E9" s="869"/>
      <c r="F9" s="1934">
        <f>'Expenditures 15-22'!K151</f>
        <v>125930</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88094</v>
      </c>
      <c r="G11" s="873"/>
    </row>
    <row r="12" spans="1:7" x14ac:dyDescent="0.2">
      <c r="A12" s="870" t="s">
        <v>482</v>
      </c>
      <c r="B12" s="871" t="s">
        <v>1992</v>
      </c>
      <c r="C12" s="872"/>
      <c r="D12" s="870" t="s">
        <v>522</v>
      </c>
      <c r="E12" s="869"/>
      <c r="F12" s="1934">
        <f>'Expenditures 15-22'!K295</f>
        <v>34775</v>
      </c>
      <c r="G12" s="873"/>
    </row>
    <row r="13" spans="1:7" x14ac:dyDescent="0.2">
      <c r="A13" s="870" t="s">
        <v>108</v>
      </c>
      <c r="B13" s="871" t="s">
        <v>1993</v>
      </c>
      <c r="C13" s="872"/>
      <c r="D13" s="870" t="s">
        <v>522</v>
      </c>
      <c r="E13" s="869"/>
      <c r="F13" s="1934">
        <f>'Expenditures 15-22'!K342</f>
        <v>21241</v>
      </c>
      <c r="G13" s="874"/>
    </row>
    <row r="14" spans="1:7" ht="12" customHeight="1" thickBot="1" x14ac:dyDescent="0.25">
      <c r="A14" s="1791"/>
      <c r="B14" s="1792"/>
      <c r="C14" s="1793"/>
      <c r="D14" s="1794" t="s">
        <v>522</v>
      </c>
      <c r="E14" s="1795" t="s">
        <v>1015</v>
      </c>
      <c r="F14" s="1796">
        <f>SUM(F8:F13)</f>
        <v>1566013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532</v>
      </c>
      <c r="G52" s="866"/>
    </row>
    <row r="53" spans="1:7" x14ac:dyDescent="0.2">
      <c r="A53" s="870" t="s">
        <v>479</v>
      </c>
      <c r="B53" s="870" t="s">
        <v>1551</v>
      </c>
      <c r="C53" s="890">
        <f>'Expenditures 15-22'!B102</f>
        <v>4000</v>
      </c>
      <c r="D53" s="889" t="str">
        <f>'Expenditures 15-22'!A102</f>
        <v>Total Payments to Other Govt Units</v>
      </c>
      <c r="E53" s="869"/>
      <c r="F53" s="1938">
        <f>'Expenditures 15-22'!K102</f>
        <v>187145</v>
      </c>
      <c r="G53" s="866"/>
    </row>
    <row r="54" spans="1:7" x14ac:dyDescent="0.2">
      <c r="A54" s="870" t="s">
        <v>479</v>
      </c>
      <c r="B54" s="870" t="s">
        <v>1552</v>
      </c>
      <c r="C54" s="890" t="s">
        <v>1039</v>
      </c>
      <c r="D54" s="886" t="s">
        <v>1157</v>
      </c>
      <c r="E54" s="869"/>
      <c r="F54" s="1938">
        <f>'Expenditures 15-22'!G114</f>
        <v>5359</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4977</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27822</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225835</v>
      </c>
      <c r="G76" s="866"/>
    </row>
    <row r="77" spans="1:8" s="894" customFormat="1" ht="12" customHeight="1" thickTop="1" thickBot="1" x14ac:dyDescent="0.25">
      <c r="A77" s="1800"/>
      <c r="B77" s="1797"/>
      <c r="C77" s="1793"/>
      <c r="D77" s="1798" t="s">
        <v>2012</v>
      </c>
      <c r="E77" s="1795"/>
      <c r="F77" s="1801">
        <f>(F14-F76)</f>
        <v>1340178</v>
      </c>
      <c r="G77" s="870"/>
    </row>
    <row r="78" spans="1:8" s="894" customFormat="1" ht="12" customHeight="1" thickTop="1" x14ac:dyDescent="0.2">
      <c r="A78" s="1802"/>
      <c r="B78" s="1797"/>
      <c r="C78" s="1793"/>
      <c r="D78" s="1798" t="s">
        <v>2059</v>
      </c>
      <c r="E78" s="1795"/>
      <c r="F78" s="899">
        <v>103.35</v>
      </c>
      <c r="G78" s="900"/>
      <c r="H78" s="870"/>
    </row>
    <row r="79" spans="1:8" s="894" customFormat="1" ht="12" customHeight="1" thickBot="1" x14ac:dyDescent="0.25">
      <c r="A79" s="1803"/>
      <c r="B79" s="1797"/>
      <c r="C79" s="1793"/>
      <c r="D79" s="1798" t="s">
        <v>2013</v>
      </c>
      <c r="E79" s="1795" t="s">
        <v>1015</v>
      </c>
      <c r="F79" s="1804">
        <f>IF(F78&gt;0,F77/F78," Complete Line 78")</f>
        <v>12967.373004354136</v>
      </c>
      <c r="G79" s="870"/>
    </row>
    <row r="80" spans="1:8" s="894" customFormat="1" ht="8.25" customHeight="1" thickTop="1" x14ac:dyDescent="0.2">
      <c r="A80" s="901"/>
      <c r="B80" s="870"/>
      <c r="C80" s="872"/>
      <c r="D80" s="902"/>
      <c r="E80" s="869"/>
      <c r="F80" s="903"/>
      <c r="G80" s="870"/>
    </row>
    <row r="81" spans="1:7" s="894" customFormat="1" ht="12" thickBot="1" x14ac:dyDescent="0.25">
      <c r="A81" s="2284" t="s">
        <v>1167</v>
      </c>
      <c r="B81" s="2285"/>
      <c r="C81" s="2285"/>
      <c r="D81" s="2285"/>
      <c r="E81" s="2285"/>
      <c r="F81" s="228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19823</v>
      </c>
      <c r="G94" s="913"/>
    </row>
    <row r="95" spans="1:7" x14ac:dyDescent="0.2">
      <c r="A95" s="909" t="s">
        <v>142</v>
      </c>
      <c r="B95" s="909" t="s">
        <v>177</v>
      </c>
      <c r="C95" s="911">
        <v>1700</v>
      </c>
      <c r="D95" s="919" t="str">
        <f>'Revenues 9-14'!A82</f>
        <v>Total District/School Activity Income</v>
      </c>
      <c r="E95" s="907"/>
      <c r="F95" s="1810">
        <f>SUM('Revenues 9-14'!C82,'Revenues 9-14'!D82)</f>
        <v>13728</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98994</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4226</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162</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62320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428</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18459</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13896</v>
      </c>
      <c r="G129" s="931"/>
    </row>
    <row r="130" spans="1:7" x14ac:dyDescent="0.2">
      <c r="A130" s="928" t="s">
        <v>689</v>
      </c>
      <c r="B130" s="928" t="s">
        <v>804</v>
      </c>
      <c r="C130" s="933">
        <v>4300</v>
      </c>
      <c r="D130" s="934" t="str">
        <f>'Revenues 9-14'!A211</f>
        <v>Total Title I</v>
      </c>
      <c r="E130" s="907"/>
      <c r="F130" s="1810">
        <f>SUM('Revenues 9-14'!C211,'Revenues 9-14'!D211,'Revenues 9-14'!F211,'Revenues 9-14'!G211)</f>
        <v>74977</v>
      </c>
      <c r="G130" s="931"/>
    </row>
    <row r="131" spans="1:7" x14ac:dyDescent="0.2">
      <c r="A131" s="928" t="s">
        <v>689</v>
      </c>
      <c r="B131" s="928" t="s">
        <v>805</v>
      </c>
      <c r="C131" s="933">
        <v>4400</v>
      </c>
      <c r="D131" s="934" t="str">
        <f>'Revenues 9-14'!A216</f>
        <v>Total Title IV</v>
      </c>
      <c r="E131" s="907"/>
      <c r="F131" s="1810">
        <f>SUM('Revenues 9-14'!C216,'Revenues 9-14'!D216,'Revenues 9-14'!F216,'Revenues 9-14'!G216)</f>
        <v>6597</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27419</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3285</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612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6432</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351358</v>
      </c>
    </row>
    <row r="179" spans="1:7" ht="12" customHeight="1" x14ac:dyDescent="0.2">
      <c r="A179" s="1791"/>
      <c r="B179" s="1805"/>
      <c r="C179" s="1806"/>
      <c r="D179" s="1807" t="s">
        <v>2015</v>
      </c>
      <c r="E179" s="1808"/>
      <c r="F179" s="1810">
        <f>'PCTC-OEPP 27-28'!F77-F178</f>
        <v>988820</v>
      </c>
    </row>
    <row r="180" spans="1:7" ht="12" customHeight="1" x14ac:dyDescent="0.2">
      <c r="A180" s="1791"/>
      <c r="B180" s="1805"/>
      <c r="C180" s="1806"/>
      <c r="D180" s="1807" t="s">
        <v>1924</v>
      </c>
      <c r="E180" s="1808"/>
      <c r="F180" s="1810">
        <f>'Cap Outlay Deprec 26'!I18</f>
        <v>24535</v>
      </c>
    </row>
    <row r="181" spans="1:7" ht="12" customHeight="1" x14ac:dyDescent="0.2">
      <c r="A181" s="1791"/>
      <c r="B181" s="1805"/>
      <c r="C181" s="1806"/>
      <c r="D181" s="1807" t="s">
        <v>2016</v>
      </c>
      <c r="E181" s="1808"/>
      <c r="F181" s="1810">
        <f>F179+F180</f>
        <v>1013355</v>
      </c>
    </row>
    <row r="182" spans="1:7" ht="12" customHeight="1" x14ac:dyDescent="0.2">
      <c r="A182" s="1791"/>
      <c r="B182" s="1811"/>
      <c r="C182" s="1806"/>
      <c r="D182" s="1807" t="str">
        <f>D78</f>
        <v>9 Month ADA from District Average Daily Attendance/Prior General State Aid Inquiry 2017-2018</v>
      </c>
      <c r="E182" s="1808"/>
      <c r="F182" s="1812">
        <f>'PCTC-OEPP 27-28'!F78</f>
        <v>103.35</v>
      </c>
      <c r="G182" s="931"/>
    </row>
    <row r="183" spans="1:7" ht="12" customHeight="1" thickBot="1" x14ac:dyDescent="0.25">
      <c r="A183" s="1791"/>
      <c r="B183" s="1811"/>
      <c r="C183" s="1806"/>
      <c r="D183" s="1807" t="s">
        <v>2017</v>
      </c>
      <c r="E183" s="1808" t="s">
        <v>1626</v>
      </c>
      <c r="F183" s="1813">
        <f>F181/F182</f>
        <v>9805.079825834544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abSelected="1" workbookViewId="0">
      <pane ySplit="16" topLeftCell="A17" activePane="bottomLeft" state="frozen"/>
      <selection activeCell="D49" sqref="D49"/>
      <selection pane="bottomLeft" activeCell="D49" sqref="D4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8" t="s">
        <v>1925</v>
      </c>
      <c r="B4" s="2299"/>
      <c r="C4" s="2299"/>
      <c r="D4" s="2299"/>
      <c r="E4" s="2299"/>
      <c r="F4" s="2299"/>
      <c r="G4" s="2300"/>
    </row>
    <row r="5" spans="1:7" x14ac:dyDescent="0.25">
      <c r="A5" s="2301"/>
      <c r="B5" s="2302"/>
      <c r="C5" s="2302"/>
      <c r="D5" s="2302"/>
      <c r="E5" s="2302"/>
      <c r="F5" s="2302"/>
      <c r="G5" s="2303"/>
    </row>
    <row r="6" spans="1:7" ht="18.75" x14ac:dyDescent="0.25">
      <c r="A6" s="1555" t="s">
        <v>1926</v>
      </c>
      <c r="B6" s="1556"/>
      <c r="C6" s="1556"/>
      <c r="D6" s="1556"/>
      <c r="E6" s="1556"/>
      <c r="F6" s="1556"/>
      <c r="G6" s="1557"/>
    </row>
    <row r="7" spans="1:7" ht="30.75" customHeight="1" x14ac:dyDescent="0.25">
      <c r="A7" s="2304" t="s">
        <v>2075</v>
      </c>
      <c r="B7" s="2305"/>
      <c r="C7" s="2305"/>
      <c r="D7" s="2305"/>
      <c r="E7" s="2305"/>
      <c r="F7" s="2305"/>
      <c r="G7" s="2306"/>
    </row>
    <row r="8" spans="1:7" ht="15.75" customHeight="1" x14ac:dyDescent="0.25">
      <c r="A8" s="2307" t="s">
        <v>2024</v>
      </c>
      <c r="B8" s="2308"/>
      <c r="C8" s="2308"/>
      <c r="D8" s="2308"/>
      <c r="E8" s="2308"/>
      <c r="F8" s="2308"/>
      <c r="G8" s="2309"/>
    </row>
    <row r="9" spans="1:7" ht="35.25" customHeight="1" x14ac:dyDescent="0.25">
      <c r="A9" s="2304" t="s">
        <v>2023</v>
      </c>
      <c r="B9" s="2305"/>
      <c r="C9" s="2305"/>
      <c r="D9" s="2305"/>
      <c r="E9" s="2305"/>
      <c r="F9" s="2305"/>
      <c r="G9" s="2306"/>
    </row>
    <row r="10" spans="1:7" ht="15" customHeight="1" x14ac:dyDescent="0.25">
      <c r="A10" s="1558" t="s">
        <v>1927</v>
      </c>
      <c r="B10" s="1559"/>
      <c r="C10" s="1559"/>
      <c r="D10" s="1559"/>
      <c r="E10" s="1559"/>
      <c r="F10" s="1559"/>
      <c r="G10" s="1560"/>
    </row>
    <row r="11" spans="1:7" ht="17.25" customHeight="1" x14ac:dyDescent="0.25">
      <c r="A11" s="2304" t="s">
        <v>1941</v>
      </c>
      <c r="B11" s="2305"/>
      <c r="C11" s="2305"/>
      <c r="D11" s="2305"/>
      <c r="E11" s="2305"/>
      <c r="F11" s="2305"/>
      <c r="G11" s="2306"/>
    </row>
    <row r="12" spans="1:7" ht="15" customHeight="1" x14ac:dyDescent="0.25">
      <c r="A12" s="1558" t="s">
        <v>1932</v>
      </c>
      <c r="B12" s="1559"/>
      <c r="C12" s="1559"/>
      <c r="D12" s="1559"/>
      <c r="E12" s="1559"/>
      <c r="F12" s="1559"/>
      <c r="G12" s="1560"/>
    </row>
    <row r="13" spans="1:7" ht="32.25" customHeight="1" x14ac:dyDescent="0.25">
      <c r="A13" s="2295" t="s">
        <v>1933</v>
      </c>
      <c r="B13" s="2296"/>
      <c r="C13" s="2296"/>
      <c r="D13" s="2296"/>
      <c r="E13" s="2296"/>
      <c r="F13" s="2296"/>
      <c r="G13" s="2297"/>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8" t="s">
        <v>2119</v>
      </c>
      <c r="B17" s="1966" t="s">
        <v>2115</v>
      </c>
      <c r="C17" s="1967" t="s">
        <v>2112</v>
      </c>
      <c r="D17" s="1866">
        <v>36106</v>
      </c>
      <c r="E17" s="1561">
        <f t="shared" ref="E17:E141" si="1">IF(D17&lt;=25000,D17,IF(D17&gt;25000,25000,0))</f>
        <v>25000</v>
      </c>
      <c r="F17" s="1814">
        <f t="shared" si="0"/>
        <v>25000</v>
      </c>
      <c r="G17" s="1815">
        <f>IF(F17=0,0,D17-F17)</f>
        <v>11106</v>
      </c>
      <c r="H17" s="1668"/>
    </row>
    <row r="18" spans="1:8" x14ac:dyDescent="0.25">
      <c r="A18" s="1968" t="s">
        <v>2120</v>
      </c>
      <c r="B18" s="1966" t="s">
        <v>2113</v>
      </c>
      <c r="C18" s="1967" t="s">
        <v>2114</v>
      </c>
      <c r="D18" s="1866">
        <v>60272</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35272</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960"/>
      <c r="B29" s="1961"/>
      <c r="C29" s="1962"/>
      <c r="D29" s="1866"/>
      <c r="E29" s="1561">
        <f t="shared" si="2"/>
        <v>0</v>
      </c>
      <c r="F29" s="1814">
        <f t="shared" si="3"/>
        <v>0</v>
      </c>
      <c r="G29" s="1815">
        <f t="shared" si="4"/>
        <v>0</v>
      </c>
    </row>
    <row r="30" spans="1:8" x14ac:dyDescent="0.25">
      <c r="A30" s="1960"/>
      <c r="B30" s="1961"/>
      <c r="C30" s="1962"/>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v>0</v>
      </c>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96378</v>
      </c>
      <c r="E141" s="1562">
        <f t="shared" si="1"/>
        <v>25000</v>
      </c>
      <c r="F141" s="1816">
        <f>SUM(F17:F140)</f>
        <v>50000</v>
      </c>
      <c r="G141" s="1817">
        <f>SUM(G17:G140)</f>
        <v>46378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tabSelected="1" defaultGridColor="0" colorId="8" zoomScale="110" zoomScaleNormal="110" workbookViewId="0">
      <selection activeCell="D49" sqref="D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0" t="s">
        <v>1778</v>
      </c>
      <c r="B5" s="2311"/>
      <c r="C5" s="2311"/>
      <c r="D5" s="2311"/>
      <c r="E5" s="2311"/>
      <c r="F5" s="2311"/>
      <c r="G5" s="2312"/>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13896</v>
      </c>
      <c r="F10" s="975"/>
      <c r="G10" s="976"/>
      <c r="H10" s="162"/>
      <c r="I10" s="162"/>
    </row>
    <row r="11" spans="1:9" s="669" customFormat="1" ht="22.5" customHeight="1" x14ac:dyDescent="0.2">
      <c r="A11" s="2315" t="s">
        <v>1945</v>
      </c>
      <c r="B11" s="2316"/>
      <c r="C11" s="2316"/>
      <c r="D11" s="2317"/>
      <c r="E11" s="978">
        <v>4360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300</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719904</v>
      </c>
      <c r="F19" s="1821"/>
      <c r="G19" s="1823">
        <f>'Expenditures 15-22'!K33-SUM('Expenditures 15-22'!G33,'Expenditures 15-22'!I33)+'Expenditures 15-22'!D229</f>
        <v>719904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4583</v>
      </c>
      <c r="F21" s="1824"/>
      <c r="G21" s="1827">
        <f>'Expenditures 15-22'!K42-SUM('Expenditures 15-22'!G42,'Expenditures 15-22'!I42)+'Expenditures 15-22'!K120-SUM('Expenditures 15-22'!G120,'Expenditures 15-22'!I120)+'Expenditures 15-22'!K180-SUM('Expenditures 15-22'!G180,'Expenditures 15-22'!I180)+'Expenditures 15-22'!D238</f>
        <v>4583</v>
      </c>
      <c r="H21" s="988"/>
      <c r="I21" s="162"/>
    </row>
    <row r="22" spans="1:9" s="669" customFormat="1" ht="12" customHeight="1" x14ac:dyDescent="0.2">
      <c r="A22" s="995" t="s">
        <v>585</v>
      </c>
      <c r="B22" s="996"/>
      <c r="C22" s="994">
        <v>2200</v>
      </c>
      <c r="D22" s="1824"/>
      <c r="E22" s="1826">
        <f>'Expenditures 15-22'!K47-SUM('Expenditures 15-22'!G47,'Expenditures 15-22'!I47)+'Expenditures 15-22'!D243</f>
        <v>72261</v>
      </c>
      <c r="F22" s="1824"/>
      <c r="G22" s="1827">
        <f>'Expenditures 15-22'!K47-SUM('Expenditures 15-22'!G47,'Expenditures 15-22'!I47)+'Expenditures 15-22'!D243</f>
        <v>72261</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108743</v>
      </c>
      <c r="F23" s="1824"/>
      <c r="G23" s="1826">
        <f>'Expenditures 15-22'!K53-SUM('Expenditures 15-22'!G53,'Expenditures 15-22'!I53)+'Expenditures 15-22'!D257+'Expenditures 15-22'!K330-SUM('Expenditures 15-22'!G330,'Expenditures 15-22'!I330)</f>
        <v>108743</v>
      </c>
      <c r="H23" s="988"/>
      <c r="I23" s="162"/>
    </row>
    <row r="24" spans="1:9" s="669" customFormat="1" ht="12" customHeight="1" x14ac:dyDescent="0.2">
      <c r="A24" s="995" t="s">
        <v>587</v>
      </c>
      <c r="B24" s="996"/>
      <c r="C24" s="994">
        <v>2400</v>
      </c>
      <c r="D24" s="1824"/>
      <c r="E24" s="1826">
        <f>'Expenditures 15-22'!K57-SUM('Expenditures 15-22'!G57,'Expenditures 15-22'!I57)+'Expenditures 15-22'!D261</f>
        <v>132234</v>
      </c>
      <c r="F24" s="1824"/>
      <c r="G24" s="1827">
        <f>'Expenditures 15-22'!K57-SUM('Expenditures 15-22'!G57,'Expenditures 15-22'!I57)+'Expenditures 15-22'!D261</f>
        <v>132234</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50655</v>
      </c>
      <c r="E26" s="1826">
        <f>'Expenditures 15-22'!K122-SUM('Expenditures 15-22'!G122,'Expenditures 15-22'!I122)+E7</f>
        <v>0</v>
      </c>
      <c r="F26" s="1826">
        <f>'Expenditures 15-22'!K59-SUM('Expenditures 15-22'!G59,'Expenditures 15-22'!I59)+'Expenditures 15-22'!D263-E7</f>
        <v>50655</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22442</v>
      </c>
      <c r="E27" s="1826">
        <f>E8</f>
        <v>0</v>
      </c>
      <c r="F27" s="1826">
        <f>'Expenditures 15-22'!K60-SUM('Expenditures 15-22'!G60,'Expenditures 15-22'!I60)+'Expenditures 15-22'!D264-E8</f>
        <v>22442</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123831</v>
      </c>
      <c r="F28" s="1828">
        <f>'Expenditures 15-22'!K61-SUM('Expenditures 15-22'!G61,'Expenditures 15-22'!I61)+'Expenditures 15-22'!K124-SUM('Expenditures 15-22'!G124,'Expenditures 15-22'!I124)+'Expenditures 15-22'!D266-E9</f>
        <v>123831</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60272</v>
      </c>
      <c r="F29" s="1824"/>
      <c r="G29" s="1827">
        <f>'Expenditures 15-22'!K62-SUM('Expenditures 15-22'!G62,'Expenditures 15-22'!I62)+'Expenditures 15-22'!K125-SUM('Expenditures 15-22'!G125,'Expenditures 15-22'!I125)+'Expenditures 15-22'!K182-SUM('Expenditures 15-22'!G182,'Expenditures 15-22'!I182)+'Expenditures 15-22'!D267</f>
        <v>60272</v>
      </c>
      <c r="H29" s="986"/>
    </row>
    <row r="30" spans="1:9" ht="12" customHeight="1" x14ac:dyDescent="0.2">
      <c r="A30" s="995" t="s">
        <v>102</v>
      </c>
      <c r="B30" s="998"/>
      <c r="C30" s="994">
        <v>2560</v>
      </c>
      <c r="D30" s="1824"/>
      <c r="E30" s="1826">
        <f>'Expenditures 15-22'!K63-SUM('Expenditures 15-22'!G63,'Expenditures 15-22'!I63)+'Expenditures 15-22'!D268-E10</f>
        <v>30925</v>
      </c>
      <c r="F30" s="1824"/>
      <c r="G30" s="1826">
        <f>'Expenditures 15-22'!K63-SUM('Expenditures 15-22'!G63,'Expenditures 15-22'!I63)+'Expenditures 15-22'!D268-E10</f>
        <v>30925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72</v>
      </c>
      <c r="E36" s="1826">
        <f>E13</f>
        <v>300</v>
      </c>
      <c r="F36" s="1826">
        <f>'Expenditures 15-22'!K70-SUM('Expenditures 15-22'!G70,'Expenditures 15-22'!I70)+'Expenditures 15-22'!D275-E13</f>
        <v>72</v>
      </c>
      <c r="G36" s="1826">
        <f>E13</f>
        <v>300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60</v>
      </c>
      <c r="F38" s="1824"/>
      <c r="G38" s="1826">
        <f>'Expenditures 15-22'!K73-SUM('Expenditures 15-22'!G73,'Expenditures 15-22'!I73)+'Expenditures 15-22'!K128-SUM('Expenditures 15-22'!G128,'Expenditures 15-22'!I128)+'Expenditures 15-22'!K183-SUM('Expenditures 15-22'!G183,'Expenditures 15-22'!I183)+'Expenditures 15-22'!D278</f>
        <v>60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532</v>
      </c>
      <c r="F39" s="1824"/>
      <c r="G39" s="1826">
        <f>'Expenditures 15-22'!K75-SUM('Expenditures 15-22'!G75,'Expenditures 15-22'!I75)+'Expenditures 15-22'!K130-SUM('Expenditures 15-22'!G130,'Expenditures 15-22'!I130)+'Expenditures 15-22'!K185-SUM('Expenditures 15-22'!G185,'Expenditures 15-22'!I185)+'Expenditures 15-22'!D280</f>
        <v>532</v>
      </c>
    </row>
    <row r="40" spans="1:7" ht="12" customHeight="1" x14ac:dyDescent="0.2">
      <c r="A40" s="991" t="s">
        <v>1930</v>
      </c>
      <c r="B40" s="992"/>
      <c r="C40" s="994"/>
      <c r="D40" s="1824"/>
      <c r="E40" s="1828">
        <f>-'Contracts Paid in CY 29'!G141</f>
        <v>-46378</v>
      </c>
      <c r="F40" s="1824"/>
      <c r="G40" s="1828">
        <f>-'Contracts Paid in CY 29'!G141</f>
        <v>-46378</v>
      </c>
    </row>
    <row r="41" spans="1:7" ht="12" customHeight="1" x14ac:dyDescent="0.2">
      <c r="A41" s="999" t="s">
        <v>158</v>
      </c>
      <c r="B41" s="1000"/>
      <c r="C41" s="1001"/>
      <c r="D41" s="1828">
        <f>SUM(D19:D39)</f>
        <v>73169</v>
      </c>
      <c r="E41" s="1828">
        <f>SUM(E19:E40)</f>
        <v>1207267</v>
      </c>
      <c r="F41" s="1828">
        <f>SUM(F19:F39)</f>
        <v>197000</v>
      </c>
      <c r="G41" s="1828">
        <f>SUM(G19:G40)</f>
        <v>1083436</v>
      </c>
    </row>
    <row r="42" spans="1:7" x14ac:dyDescent="0.2">
      <c r="A42" s="988"/>
      <c r="B42" s="162"/>
      <c r="C42" s="1002"/>
      <c r="D42" s="2313" t="s">
        <v>543</v>
      </c>
      <c r="E42" s="2314"/>
      <c r="F42" s="1003" t="s">
        <v>544</v>
      </c>
      <c r="G42" s="1004"/>
    </row>
    <row r="43" spans="1:7" ht="12" customHeight="1" x14ac:dyDescent="0.2">
      <c r="A43" s="988"/>
      <c r="B43" s="162"/>
      <c r="C43" s="1002"/>
      <c r="D43" s="1829" t="s">
        <v>493</v>
      </c>
      <c r="E43" s="1830">
        <f>D41</f>
        <v>73169</v>
      </c>
      <c r="F43" s="1829" t="s">
        <v>495</v>
      </c>
      <c r="G43" s="1830">
        <f>F41</f>
        <v>197000</v>
      </c>
    </row>
    <row r="44" spans="1:7" ht="12" customHeight="1" x14ac:dyDescent="0.2">
      <c r="A44" s="988"/>
      <c r="B44" s="162"/>
      <c r="C44" s="1002"/>
      <c r="D44" s="1829" t="s">
        <v>494</v>
      </c>
      <c r="E44" s="1830">
        <f>E41</f>
        <v>1207267</v>
      </c>
      <c r="F44" s="1829" t="s">
        <v>494</v>
      </c>
      <c r="G44" s="1830">
        <f>G41</f>
        <v>1083436</v>
      </c>
    </row>
    <row r="45" spans="1:7" ht="12" customHeight="1" x14ac:dyDescent="0.2">
      <c r="A45" s="988"/>
      <c r="B45" s="162"/>
      <c r="C45" s="162"/>
      <c r="D45" s="1831" t="s">
        <v>1063</v>
      </c>
      <c r="E45" s="1832">
        <f>(E43/E44)</f>
        <v>6.060713992844996E-2</v>
      </c>
      <c r="F45" s="1831" t="s">
        <v>1063</v>
      </c>
      <c r="G45" s="1832">
        <f>(G43/G44)</f>
        <v>0.18182892205907872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tabSelected="1" zoomScale="110" zoomScaleNormal="110" workbookViewId="0">
      <pane ySplit="4" topLeftCell="A5" activePane="bottomLeft" state="frozen"/>
      <selection activeCell="D49" sqref="D49"/>
      <selection pane="bottomLeft" activeCell="D49" sqref="D4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7109375" style="1902" bestFit="1" customWidth="1"/>
    <col min="9" max="10" width="3" style="1902" bestFit="1" customWidth="1"/>
    <col min="11" max="11" width="9" style="1902" customWidth="1"/>
    <col min="12" max="16384" width="9.140625" style="1871"/>
  </cols>
  <sheetData>
    <row r="1" spans="1:10" x14ac:dyDescent="0.2">
      <c r="A1" s="2330" t="s">
        <v>1446</v>
      </c>
      <c r="B1" s="2330"/>
      <c r="C1" s="2330"/>
      <c r="D1" s="2330"/>
      <c r="E1" s="2330"/>
      <c r="F1" s="233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1" t="s">
        <v>1627</v>
      </c>
      <c r="B5" s="2332"/>
      <c r="C5" s="2333"/>
      <c r="D5" s="2333"/>
      <c r="E5" s="2333"/>
      <c r="F5" s="2333"/>
    </row>
    <row r="6" spans="1:10" ht="12" customHeight="1" x14ac:dyDescent="0.25">
      <c r="A6" s="1874"/>
      <c r="B6" s="1875"/>
      <c r="C6" s="2334" t="str">
        <f>COVER!A17</f>
        <v>Shirland CCSD 134</v>
      </c>
      <c r="D6" s="2334"/>
      <c r="E6" s="2334"/>
      <c r="F6" s="1876"/>
    </row>
    <row r="7" spans="1:10" ht="11.25" customHeight="1" thickBot="1" x14ac:dyDescent="0.3">
      <c r="A7" s="1874"/>
      <c r="B7" s="1875"/>
      <c r="C7" s="2335">
        <f>COVER!A13</f>
        <v>4101134004</v>
      </c>
      <c r="D7" s="2335"/>
      <c r="E7" s="233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2097</v>
      </c>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2077</v>
      </c>
      <c r="D19" s="1889" t="s">
        <v>2077</v>
      </c>
      <c r="E19" s="1892" t="s">
        <v>2077</v>
      </c>
      <c r="F19" s="1891" t="s">
        <v>2100</v>
      </c>
      <c r="H19" s="1902">
        <f t="shared" si="0"/>
        <v>5</v>
      </c>
      <c r="I19" s="1902">
        <f t="shared" si="1"/>
        <v>5</v>
      </c>
      <c r="J19" s="1902">
        <f t="shared" si="2"/>
        <v>5</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2098</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15</v>
      </c>
      <c r="I34" s="1902">
        <f>SUM(I11:I32)</f>
        <v>15</v>
      </c>
      <c r="J34" s="1902">
        <f>SUM(J11:J32)</f>
        <v>15</v>
      </c>
      <c r="K34" s="1902">
        <f>SUM(H34:J34)</f>
        <v>45</v>
      </c>
    </row>
    <row r="35" spans="1:11" ht="12" customHeight="1" x14ac:dyDescent="0.2">
      <c r="A35" s="1895" t="s">
        <v>1459</v>
      </c>
      <c r="B35" s="1896"/>
      <c r="C35" s="2336"/>
      <c r="D35" s="2336"/>
      <c r="E35" s="2336"/>
      <c r="F35" s="2337"/>
    </row>
    <row r="36" spans="1:11" ht="12" customHeight="1" x14ac:dyDescent="0.2">
      <c r="A36" s="1959"/>
      <c r="B36" s="1959"/>
      <c r="C36" s="1957"/>
      <c r="D36" s="1957"/>
      <c r="E36" s="1958"/>
      <c r="F36" s="1957"/>
    </row>
    <row r="37" spans="1:11" ht="12" customHeight="1" x14ac:dyDescent="0.2">
      <c r="A37" s="1959"/>
      <c r="B37" s="1959"/>
      <c r="C37" s="1957"/>
      <c r="D37" s="1957"/>
      <c r="E37" s="1958"/>
      <c r="F37" s="1957"/>
    </row>
    <row r="38" spans="1:11" ht="12" customHeight="1" x14ac:dyDescent="0.2">
      <c r="A38" s="2324"/>
      <c r="B38" s="2325"/>
      <c r="C38" s="2325"/>
      <c r="D38" s="2325"/>
      <c r="E38" s="2325"/>
      <c r="F38" s="2326"/>
    </row>
    <row r="39" spans="1:11" ht="4.5" hidden="1" customHeight="1" x14ac:dyDescent="0.2">
      <c r="A39" s="1897"/>
      <c r="B39" s="1897"/>
      <c r="C39" s="1897"/>
      <c r="D39" s="1897"/>
      <c r="E39" s="1897"/>
      <c r="F39" s="1897"/>
    </row>
    <row r="40" spans="1:11" s="1894" customFormat="1" ht="12" customHeight="1" x14ac:dyDescent="0.25">
      <c r="A40" s="1898" t="s">
        <v>1458</v>
      </c>
      <c r="B40" s="1899"/>
      <c r="C40" s="2327"/>
      <c r="D40" s="2327"/>
      <c r="E40" s="2327"/>
      <c r="F40" s="2328"/>
      <c r="H40" s="1903"/>
      <c r="I40" s="1903"/>
      <c r="J40" s="1903"/>
      <c r="K40" s="1903"/>
    </row>
    <row r="41" spans="1:11" s="1894" customFormat="1" ht="12" customHeight="1" x14ac:dyDescent="0.25">
      <c r="A41" s="2329" t="s">
        <v>2110</v>
      </c>
      <c r="B41" s="2322"/>
      <c r="C41" s="2322"/>
      <c r="D41" s="2322"/>
      <c r="E41" s="2322"/>
      <c r="F41" s="2323"/>
      <c r="H41" s="1903"/>
      <c r="I41" s="1903"/>
      <c r="J41" s="1903"/>
      <c r="K41" s="1903"/>
    </row>
    <row r="42" spans="1:11" s="1894" customFormat="1" ht="12" customHeight="1" x14ac:dyDescent="0.25">
      <c r="A42" s="2321" t="s">
        <v>2099</v>
      </c>
      <c r="B42" s="2322"/>
      <c r="C42" s="2322"/>
      <c r="D42" s="2322"/>
      <c r="E42" s="2322"/>
      <c r="F42" s="2323"/>
      <c r="H42" s="1903"/>
      <c r="I42" s="1903"/>
      <c r="J42" s="1903"/>
      <c r="K42" s="1903"/>
    </row>
    <row r="43" spans="1:11" s="1894" customFormat="1" ht="15" customHeight="1" x14ac:dyDescent="0.25">
      <c r="A43" s="2329" t="s">
        <v>2111</v>
      </c>
      <c r="B43" s="2322"/>
      <c r="C43" s="2322"/>
      <c r="D43" s="2322"/>
      <c r="E43" s="2322"/>
      <c r="F43" s="2323"/>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1">
    <mergeCell ref="A1:F1"/>
    <mergeCell ref="A5:F5"/>
    <mergeCell ref="C6:E6"/>
    <mergeCell ref="C7:E7"/>
    <mergeCell ref="C35:F35"/>
    <mergeCell ref="A44:F44"/>
    <mergeCell ref="A42:F42"/>
    <mergeCell ref="A38:F38"/>
    <mergeCell ref="C40:F40"/>
    <mergeCell ref="A43:F43"/>
    <mergeCell ref="A41:F41"/>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tabSelected="1" defaultGridColor="0" colorId="8" zoomScale="110" zoomScaleNormal="110" workbookViewId="0">
      <selection activeCell="D49" sqref="D4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3" t="str">
        <f>COVER!A17</f>
        <v>Shirland CCSD 134</v>
      </c>
      <c r="J6" s="2344"/>
      <c r="Q6" s="1685"/>
    </row>
    <row r="7" spans="1:17" x14ac:dyDescent="0.2">
      <c r="A7" s="2345" t="s">
        <v>924</v>
      </c>
      <c r="B7" s="2346"/>
      <c r="C7" s="2346"/>
      <c r="D7" s="2346"/>
      <c r="E7" s="2347"/>
      <c r="F7" s="1018"/>
      <c r="G7" s="1010"/>
      <c r="H7" s="1017" t="s">
        <v>390</v>
      </c>
      <c r="I7" s="2348">
        <f>COVER!A13</f>
        <v>4101134004</v>
      </c>
      <c r="J7" s="234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50749</v>
      </c>
      <c r="F12" s="1040"/>
      <c r="G12" s="1833">
        <f t="shared" ref="G12:G18" si="0">SUM(E12:F12)</f>
        <v>50749</v>
      </c>
      <c r="H12" s="1041">
        <v>52910</v>
      </c>
      <c r="I12" s="1040"/>
      <c r="J12" s="1833">
        <f t="shared" ref="J12:J18" si="1">SUM(H12:I12)</f>
        <v>52910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44316</v>
      </c>
      <c r="F15" s="1833">
        <f>'Expenditures 15-22'!K122</f>
        <v>0</v>
      </c>
      <c r="G15" s="1833">
        <f t="shared" si="0"/>
        <v>44316</v>
      </c>
      <c r="H15" s="1041">
        <v>46295</v>
      </c>
      <c r="I15" s="1041"/>
      <c r="J15" s="1833">
        <f t="shared" si="1"/>
        <v>46295</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2" t="s">
        <v>7</v>
      </c>
      <c r="C18" s="2353"/>
      <c r="D18" s="235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95065</v>
      </c>
      <c r="F19" s="1835">
        <f t="shared" si="2"/>
        <v>0</v>
      </c>
      <c r="G19" s="1835">
        <f t="shared" si="2"/>
        <v>95065</v>
      </c>
      <c r="H19" s="1835">
        <f t="shared" si="2"/>
        <v>99205</v>
      </c>
      <c r="I19" s="1835">
        <f t="shared" si="2"/>
        <v>0</v>
      </c>
      <c r="J19" s="1835">
        <f t="shared" si="2"/>
        <v>99205</v>
      </c>
    </row>
    <row r="20" spans="1:10" ht="13.5" thickTop="1" x14ac:dyDescent="0.2">
      <c r="A20" s="1036">
        <v>9</v>
      </c>
      <c r="B20" s="2355" t="s">
        <v>1703</v>
      </c>
      <c r="C20" s="2355"/>
      <c r="D20" s="2356"/>
      <c r="E20" s="1047"/>
      <c r="F20" s="1047"/>
      <c r="G20" s="1047"/>
      <c r="H20" s="1047"/>
      <c r="I20" s="1047"/>
      <c r="J20" s="1836">
        <f>IF(AND(G19&gt;0,J19&gt;0),(((J19-G19)/G19)),"Enter Budget Data")</f>
        <v>4.3549150581181299E-2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1944</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abSelected="1" zoomScale="110" zoomScaleNormal="110" workbookViewId="0">
      <selection activeCell="D49" sqref="D49"/>
    </sheetView>
  </sheetViews>
  <sheetFormatPr defaultRowHeight="12.75" x14ac:dyDescent="0.2"/>
  <cols>
    <col min="1" max="1" width="3" style="329" customWidth="1"/>
    <col min="2" max="2" width="10.7109375" style="1963" customWidth="1"/>
    <col min="3" max="3" width="5.140625" style="1963" bestFit="1" customWidth="1"/>
    <col min="4" max="5" width="9.140625" style="1963"/>
    <col min="6" max="6" width="27.140625" style="329" customWidth="1"/>
    <col min="7" max="7" width="8.5703125" style="329" bestFit="1" customWidth="1"/>
    <col min="8" max="16384" width="9.140625" style="329"/>
  </cols>
  <sheetData>
    <row r="2" spans="1:7" x14ac:dyDescent="0.2">
      <c r="A2" s="389" t="s">
        <v>276</v>
      </c>
    </row>
    <row r="3" spans="1:7" x14ac:dyDescent="0.2">
      <c r="A3" s="329" t="s">
        <v>277</v>
      </c>
    </row>
    <row r="5" spans="1:7" x14ac:dyDescent="0.2">
      <c r="A5" s="1069"/>
      <c r="B5" s="1964" t="s">
        <v>2101</v>
      </c>
      <c r="C5" s="1964" t="s">
        <v>2102</v>
      </c>
      <c r="D5" s="1964" t="s">
        <v>2103</v>
      </c>
      <c r="E5" s="1964" t="s">
        <v>2104</v>
      </c>
      <c r="F5" s="1955" t="s">
        <v>2105</v>
      </c>
      <c r="G5" s="1955" t="s">
        <v>2106</v>
      </c>
    </row>
    <row r="6" spans="1:7" x14ac:dyDescent="0.2">
      <c r="A6" s="1069"/>
    </row>
    <row r="7" spans="1:7" ht="13.5" thickBot="1" x14ac:dyDescent="0.25">
      <c r="A7" s="1069"/>
      <c r="B7" s="1963">
        <v>1999</v>
      </c>
      <c r="C7" s="1963">
        <v>11</v>
      </c>
      <c r="D7" s="1963">
        <v>10</v>
      </c>
      <c r="E7" s="1963">
        <v>107</v>
      </c>
      <c r="F7" s="329" t="s">
        <v>2107</v>
      </c>
      <c r="G7" s="1956">
        <v>20</v>
      </c>
    </row>
    <row r="8" spans="1:7" ht="13.5" thickTop="1" x14ac:dyDescent="0.2">
      <c r="A8" s="1069"/>
    </row>
    <row r="9" spans="1:7" ht="13.5" thickBot="1" x14ac:dyDescent="0.25">
      <c r="A9" s="1070"/>
      <c r="B9" s="1963">
        <v>1999</v>
      </c>
      <c r="C9" s="1963">
        <v>11</v>
      </c>
      <c r="D9" s="1963">
        <v>20</v>
      </c>
      <c r="E9" s="1963">
        <v>107</v>
      </c>
      <c r="F9" s="329" t="s">
        <v>2107</v>
      </c>
      <c r="G9" s="1956">
        <v>92</v>
      </c>
    </row>
    <row r="10" spans="1:7" ht="13.5" thickTop="1" x14ac:dyDescent="0.2">
      <c r="A10" s="1070"/>
    </row>
    <row r="11" spans="1:7" ht="13.5" thickBot="1" x14ac:dyDescent="0.25">
      <c r="A11" s="1070"/>
      <c r="B11" s="1963">
        <v>3299</v>
      </c>
      <c r="C11" s="1963">
        <v>11</v>
      </c>
      <c r="D11" s="1963">
        <v>10</v>
      </c>
      <c r="E11" s="1963">
        <v>139</v>
      </c>
      <c r="F11" s="329" t="s">
        <v>2108</v>
      </c>
      <c r="G11" s="1956">
        <v>4226</v>
      </c>
    </row>
    <row r="12" spans="1:7" ht="13.5" thickTop="1" x14ac:dyDescent="0.2">
      <c r="A12" s="1070"/>
    </row>
    <row r="13" spans="1:7" ht="13.5" thickBot="1" x14ac:dyDescent="0.25">
      <c r="A13" s="1070"/>
      <c r="B13" s="1963">
        <v>3999</v>
      </c>
      <c r="C13" s="1963">
        <v>12</v>
      </c>
      <c r="D13" s="1963">
        <v>10</v>
      </c>
      <c r="E13" s="1963">
        <v>171</v>
      </c>
      <c r="F13" s="329" t="s">
        <v>2107</v>
      </c>
      <c r="G13" s="1956">
        <v>428</v>
      </c>
    </row>
    <row r="14" spans="1:7" ht="13.5" thickTop="1" x14ac:dyDescent="0.2">
      <c r="A14" s="1070"/>
    </row>
    <row r="15" spans="1:7" ht="13.5" thickBot="1" x14ac:dyDescent="0.25">
      <c r="A15" s="1070"/>
      <c r="B15" s="1963">
        <v>4090</v>
      </c>
      <c r="C15" s="1963">
        <v>12</v>
      </c>
      <c r="D15" s="1963">
        <v>10</v>
      </c>
      <c r="E15" s="1963">
        <v>183</v>
      </c>
      <c r="F15" s="329" t="s">
        <v>2118</v>
      </c>
      <c r="G15" s="1956">
        <v>18459</v>
      </c>
    </row>
    <row r="16" spans="1:7" ht="13.5" thickTop="1" x14ac:dyDescent="0.2">
      <c r="A16" s="1070"/>
    </row>
    <row r="17" spans="1:7" ht="13.5" thickBot="1" x14ac:dyDescent="0.25">
      <c r="A17" s="1070"/>
      <c r="B17" s="1963">
        <v>2900</v>
      </c>
      <c r="C17" s="1963">
        <v>16</v>
      </c>
      <c r="D17" s="1963">
        <v>10</v>
      </c>
      <c r="E17" s="1963">
        <v>73</v>
      </c>
      <c r="F17" s="329" t="s">
        <v>2109</v>
      </c>
      <c r="G17" s="1956">
        <v>60</v>
      </c>
    </row>
    <row r="18" spans="1:7" ht="13.5" thickTop="1" x14ac:dyDescent="0.2">
      <c r="A18" s="1070"/>
    </row>
    <row r="19" spans="1:7" x14ac:dyDescent="0.2">
      <c r="A19" s="1070"/>
    </row>
    <row r="20" spans="1:7" x14ac:dyDescent="0.2">
      <c r="A20" s="1070"/>
    </row>
    <row r="21" spans="1:7" x14ac:dyDescent="0.2">
      <c r="A21" s="1070"/>
    </row>
    <row r="22" spans="1:7" x14ac:dyDescent="0.2">
      <c r="A22" s="1070"/>
    </row>
    <row r="23" spans="1:7" x14ac:dyDescent="0.2">
      <c r="A23" s="1070"/>
    </row>
    <row r="24" spans="1:7" x14ac:dyDescent="0.2">
      <c r="A24" s="1070"/>
    </row>
    <row r="25" spans="1:7" x14ac:dyDescent="0.2">
      <c r="A25" s="1070"/>
    </row>
    <row r="26" spans="1:7" x14ac:dyDescent="0.2">
      <c r="A26" s="1070"/>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Shirland CCSD 134</v>
      </c>
    </row>
    <row r="64" spans="1:2" x14ac:dyDescent="0.2">
      <c r="B64" s="1965">
        <f>COVER!A13</f>
        <v>4101134004</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1" t="s">
        <v>1125</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715</v>
      </c>
      <c r="B40" s="2078"/>
      <c r="C40" s="2078"/>
      <c r="D40" s="2078"/>
      <c r="E40" s="2078"/>
    </row>
    <row r="41" spans="1:5" x14ac:dyDescent="0.2">
      <c r="A41" s="2079" t="s">
        <v>1706</v>
      </c>
      <c r="B41" s="2079"/>
      <c r="C41" s="2079"/>
      <c r="D41" s="2079"/>
      <c r="E41" s="2079"/>
    </row>
    <row r="42" spans="1:5" ht="12.75" customHeight="1" x14ac:dyDescent="0.2">
      <c r="A42" s="2080" t="s">
        <v>1080</v>
      </c>
      <c r="B42" s="2080"/>
      <c r="C42" s="2080"/>
      <c r="D42" s="2080"/>
      <c r="E42" s="208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12" sqref="G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2" t="s">
        <v>1784</v>
      </c>
      <c r="B18" s="236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1</xdr:col>
                <xdr:colOff>152400</xdr:colOff>
                <xdr:row>4</xdr:row>
                <xdr:rowOff>47625</xdr:rowOff>
              </from>
              <to>
                <xdr:col>1</xdr:col>
                <xdr:colOff>1066800</xdr:colOff>
                <xdr:row>9</xdr:row>
                <xdr:rowOff>0</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M22" sqref="M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4"/>
      <c r="H2" s="1074"/>
    </row>
    <row r="3" spans="1:8" ht="57" customHeight="1" x14ac:dyDescent="0.2">
      <c r="A3" s="2376" t="s">
        <v>1786</v>
      </c>
      <c r="B3" s="2377"/>
      <c r="C3" s="2377"/>
      <c r="D3" s="2377"/>
      <c r="E3" s="2377"/>
      <c r="F3" s="2378"/>
      <c r="G3" s="1074"/>
      <c r="H3" s="1074"/>
    </row>
    <row r="4" spans="1:8" ht="14.25" customHeight="1" x14ac:dyDescent="0.2">
      <c r="A4" s="2382" t="s">
        <v>2056</v>
      </c>
      <c r="B4" s="2383"/>
      <c r="C4" s="2383"/>
      <c r="D4" s="2383"/>
      <c r="E4" s="2383"/>
      <c r="F4" s="2384"/>
      <c r="G4" s="1074"/>
      <c r="H4" s="1074"/>
    </row>
    <row r="5" spans="1:8" ht="14.25" customHeight="1" x14ac:dyDescent="0.2">
      <c r="A5" s="2385" t="s">
        <v>2057</v>
      </c>
      <c r="B5" s="2386"/>
      <c r="C5" s="2386"/>
      <c r="D5" s="2386"/>
      <c r="E5" s="2386"/>
      <c r="F5" s="2387"/>
      <c r="G5" s="1074"/>
      <c r="H5" s="1074"/>
    </row>
    <row r="6" spans="1:8" s="1075" customFormat="1" ht="41.25" customHeight="1" x14ac:dyDescent="0.2">
      <c r="A6" s="2379" t="s">
        <v>1792</v>
      </c>
      <c r="B6" s="2380"/>
      <c r="C6" s="2380"/>
      <c r="D6" s="2380"/>
      <c r="E6" s="2380"/>
      <c r="F6" s="2381"/>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1360591</v>
      </c>
      <c r="C8" s="1837">
        <f>'Acct Summary 7-8'!D8</f>
        <v>162973</v>
      </c>
      <c r="D8" s="1837">
        <f>'Acct Summary 7-8'!F8</f>
        <v>77037</v>
      </c>
      <c r="E8" s="1837">
        <f>'Acct Summary 7-8'!I8</f>
        <v>1338</v>
      </c>
      <c r="F8" s="1837">
        <f>SUM(B8:E8)</f>
        <v>1601939</v>
      </c>
    </row>
    <row r="9" spans="1:8" s="1079" customFormat="1" ht="14.25" customHeight="1" thickBot="1" x14ac:dyDescent="0.25">
      <c r="A9" s="1078" t="s">
        <v>1436</v>
      </c>
      <c r="B9" s="1838">
        <f>'Acct Summary 7-8'!C17</f>
        <v>1295973</v>
      </c>
      <c r="C9" s="1838">
        <f>'Acct Summary 7-8'!D17</f>
        <v>125930</v>
      </c>
      <c r="D9" s="1838">
        <f>'Acct Summary 7-8'!F17</f>
        <v>88094</v>
      </c>
      <c r="E9" s="1837"/>
      <c r="F9" s="1837">
        <f>SUM(B9:E9)</f>
        <v>1509997</v>
      </c>
    </row>
    <row r="10" spans="1:8" s="1079" customFormat="1" ht="14.25" thickTop="1" thickBot="1" x14ac:dyDescent="0.25">
      <c r="A10" s="1080" t="s">
        <v>1437</v>
      </c>
      <c r="B10" s="1839">
        <f>(B8-B9)</f>
        <v>64618</v>
      </c>
      <c r="C10" s="1839">
        <f>(C8-C9)</f>
        <v>37043</v>
      </c>
      <c r="D10" s="1839">
        <f>(D8-D9)</f>
        <v>-11057</v>
      </c>
      <c r="E10" s="1838">
        <f>(E8-E9)</f>
        <v>1338</v>
      </c>
      <c r="F10" s="1840">
        <f>SUM(F8-F9)</f>
        <v>91942</v>
      </c>
    </row>
    <row r="11" spans="1:8" s="1079" customFormat="1" ht="14.25" thickTop="1" thickBot="1" x14ac:dyDescent="0.25">
      <c r="A11" s="1081" t="s">
        <v>1785</v>
      </c>
      <c r="B11" s="1841">
        <f>'Acct Summary 7-8'!C81</f>
        <v>959240</v>
      </c>
      <c r="C11" s="1841">
        <f>'Acct Summary 7-8'!D81</f>
        <v>340549</v>
      </c>
      <c r="D11" s="1841">
        <f>'Acct Summary 7-8'!F81</f>
        <v>186054</v>
      </c>
      <c r="E11" s="1841">
        <f>'Acct Summary 7-8'!I81</f>
        <v>4151</v>
      </c>
      <c r="F11" s="1842">
        <f>SUM(B11:E11)</f>
        <v>1489994</v>
      </c>
    </row>
    <row r="12" spans="1:8" ht="16.5" customHeight="1" thickTop="1" x14ac:dyDescent="0.2">
      <c r="A12" s="1082"/>
      <c r="B12" s="1083"/>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4"/>
      <c r="B13" s="1085"/>
      <c r="C13" s="2367"/>
      <c r="D13" s="2368"/>
      <c r="E13" s="2368"/>
      <c r="F13" s="2369"/>
      <c r="H13" s="1074"/>
    </row>
    <row r="14" spans="1:8" ht="19.5" customHeight="1" x14ac:dyDescent="0.2">
      <c r="A14" s="1084"/>
      <c r="B14" s="1085"/>
      <c r="C14" s="2367"/>
      <c r="D14" s="2368"/>
      <c r="E14" s="2368"/>
      <c r="F14" s="2369"/>
      <c r="H14" s="1074"/>
    </row>
    <row r="15" spans="1:8" ht="17.25" customHeight="1" x14ac:dyDescent="0.2">
      <c r="A15" s="1084"/>
      <c r="B15" s="1085"/>
      <c r="C15" s="2370"/>
      <c r="D15" s="2371"/>
      <c r="E15" s="2371"/>
      <c r="F15" s="2372"/>
      <c r="H15" s="1074"/>
    </row>
    <row r="16" spans="1:8" s="310" customFormat="1" ht="51.75" hidden="1" customHeight="1" x14ac:dyDescent="0.2">
      <c r="A16" s="2366" t="s">
        <v>1787</v>
      </c>
      <c r="B16" s="2366"/>
      <c r="C16" s="2366"/>
      <c r="D16" s="2366"/>
      <c r="E16" s="2366"/>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83" sqref="D8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8" t="s">
        <v>686</v>
      </c>
      <c r="B3" s="2389"/>
      <c r="C3" s="2389"/>
      <c r="D3" s="2390"/>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9" t="s">
        <v>1584</v>
      </c>
      <c r="D7" s="2400"/>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1" t="s">
        <v>1065</v>
      </c>
      <c r="B15" s="2392"/>
      <c r="C15" s="2392"/>
      <c r="D15" s="2393"/>
    </row>
    <row r="16" spans="1:4" s="669" customFormat="1" ht="24" customHeight="1" x14ac:dyDescent="0.2">
      <c r="A16" s="2394" t="s">
        <v>684</v>
      </c>
      <c r="B16" s="2395"/>
      <c r="C16" s="2395"/>
      <c r="D16" s="2396"/>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3" t="s">
        <v>332</v>
      </c>
      <c r="D21" s="2404"/>
    </row>
    <row r="22" spans="1:10" ht="12.75" x14ac:dyDescent="0.2">
      <c r="A22" s="1139"/>
      <c r="B22" s="1140">
        <v>2</v>
      </c>
      <c r="C22" s="2401" t="s">
        <v>1605</v>
      </c>
      <c r="D22" s="2402"/>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5" t="s">
        <v>557</v>
      </c>
      <c r="D43" s="2406"/>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7" t="s">
        <v>817</v>
      </c>
      <c r="D56" s="2398"/>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7" t="s">
        <v>1797</v>
      </c>
      <c r="D70" s="2398"/>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4101134004</v>
      </c>
    </row>
    <row r="3" spans="1:2" x14ac:dyDescent="0.2">
      <c r="A3" t="s">
        <v>1013</v>
      </c>
      <c r="B3" s="138" t="str">
        <f>COVER!A15</f>
        <v xml:space="preserve">WINNEBAGO </v>
      </c>
    </row>
    <row r="4" spans="1:2" x14ac:dyDescent="0.2">
      <c r="A4" t="s">
        <v>1064</v>
      </c>
      <c r="B4" s="138" t="str">
        <f>COVER!A17</f>
        <v>Shirland CCSD 134</v>
      </c>
    </row>
    <row r="5" spans="1:2" x14ac:dyDescent="0.2">
      <c r="A5" t="s">
        <v>728</v>
      </c>
      <c r="B5" s="138" t="str">
        <f>COVER!A38</f>
        <v xml:space="preserve">JOHN ULFERTS </v>
      </c>
    </row>
    <row r="6" spans="1:2" x14ac:dyDescent="0.2">
      <c r="A6" t="s">
        <v>733</v>
      </c>
      <c r="B6" s="138">
        <f>COVER!P35</f>
        <v>0</v>
      </c>
    </row>
    <row r="7" spans="1:2" x14ac:dyDescent="0.2">
      <c r="A7" t="s">
        <v>729</v>
      </c>
      <c r="B7" s="138">
        <f>COVER!I38</f>
        <v>0</v>
      </c>
    </row>
    <row r="8" spans="1:2" x14ac:dyDescent="0.2">
      <c r="A8" t="s">
        <v>730</v>
      </c>
      <c r="B8" s="138" t="str">
        <f>COVER!T38</f>
        <v>LORI FANELLO</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 xml:space="preserve">FREEPORT </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35612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959550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310</v>
      </c>
      <c r="C91" s="2" t="s">
        <v>594</v>
      </c>
      <c r="D91" s="2" t="str">
        <f t="shared" si="0"/>
        <v>Error?</v>
      </c>
    </row>
    <row r="92" spans="1:4" x14ac:dyDescent="0.2">
      <c r="A92" s="5">
        <v>31</v>
      </c>
      <c r="B92" s="138">
        <f>'Assets-Liab 5-6'!C39</f>
        <v>959240</v>
      </c>
      <c r="D92" s="2" t="str">
        <f t="shared" si="0"/>
        <v>Error?</v>
      </c>
    </row>
    <row r="93" spans="1:4" x14ac:dyDescent="0.2">
      <c r="A93" s="5">
        <v>32</v>
      </c>
      <c r="B93" s="138">
        <f>'Assets-Liab 5-6'!C41</f>
        <v>959550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340549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340549</v>
      </c>
      <c r="D123" s="2" t="str">
        <f t="shared" si="0"/>
        <v>Error?</v>
      </c>
    </row>
    <row r="124" spans="1:4" x14ac:dyDescent="0.2">
      <c r="A124" s="5">
        <v>63</v>
      </c>
      <c r="B124" s="138">
        <f>'Assets-Liab 5-6'!D41</f>
        <v>340549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68</v>
      </c>
      <c r="D140" s="2" t="str">
        <f t="shared" si="1"/>
        <v>Error?</v>
      </c>
    </row>
    <row r="141" spans="1:4" x14ac:dyDescent="0.2">
      <c r="A141" s="5">
        <v>80</v>
      </c>
      <c r="B141" s="138">
        <f>'Assets-Liab 5-6'!E41</f>
        <v>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186054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186054</v>
      </c>
      <c r="D170" s="2" t="str">
        <f t="shared" si="1"/>
        <v>Error?</v>
      </c>
    </row>
    <row r="171" spans="1:4" x14ac:dyDescent="0.2">
      <c r="A171" s="5">
        <v>110</v>
      </c>
      <c r="B171" s="138">
        <f>'Assets-Liab 5-6'!F41</f>
        <v>186054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37353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26913</v>
      </c>
      <c r="D189" s="2" t="str">
        <f t="shared" si="1"/>
        <v>Error?</v>
      </c>
    </row>
    <row r="190" spans="1:4" x14ac:dyDescent="0.2">
      <c r="A190" s="5">
        <v>129</v>
      </c>
      <c r="B190" s="138">
        <f>'Assets-Liab 5-6'!G41</f>
        <v>37353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19481</v>
      </c>
      <c r="D273" s="2" t="str">
        <f t="shared" si="3"/>
        <v>Error?</v>
      </c>
    </row>
    <row r="274" spans="1:4" x14ac:dyDescent="0.2">
      <c r="A274" s="5">
        <v>213</v>
      </c>
      <c r="B274" s="138">
        <f>'Assets-Liab 5-6'!M17</f>
        <v>1054053</v>
      </c>
      <c r="D274" s="2" t="str">
        <f t="shared" si="3"/>
        <v>Error?</v>
      </c>
    </row>
    <row r="275" spans="1:4" x14ac:dyDescent="0.2">
      <c r="A275" s="5">
        <v>214</v>
      </c>
      <c r="B275" s="138">
        <f>'Assets-Liab 5-6'!M18</f>
        <v>12044</v>
      </c>
      <c r="D275" s="2" t="str">
        <f t="shared" si="3"/>
        <v>Error?</v>
      </c>
    </row>
    <row r="276" spans="1:4" x14ac:dyDescent="0.2">
      <c r="A276" s="5">
        <v>215</v>
      </c>
      <c r="B276" s="138">
        <f>'Assets-Liab 5-6'!M19</f>
        <v>561608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1647186</v>
      </c>
      <c r="C279" s="2" t="s">
        <v>594</v>
      </c>
      <c r="D279" s="2" t="str">
        <f t="shared" si="3"/>
        <v>Error?</v>
      </c>
    </row>
    <row r="280" spans="1:4" x14ac:dyDescent="0.2">
      <c r="A280" s="5">
        <v>219</v>
      </c>
      <c r="B280" s="138">
        <f>'Assets-Liab 5-6'!M40</f>
        <v>1647186</v>
      </c>
      <c r="D280" s="2" t="str">
        <f t="shared" si="3"/>
        <v>Error?</v>
      </c>
    </row>
    <row r="281" spans="1:4" x14ac:dyDescent="0.2">
      <c r="A281" s="5">
        <v>220</v>
      </c>
      <c r="B281" s="138">
        <f>'Assets-Liab 5-6'!M41</f>
        <v>1647186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427124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524642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3111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3111</v>
      </c>
      <c r="C727" s="2" t="s">
        <v>594</v>
      </c>
      <c r="D727" s="2" t="str">
        <f t="shared" si="10"/>
        <v>Error?</v>
      </c>
    </row>
    <row r="728" spans="1:4" x14ac:dyDescent="0.2">
      <c r="A728" s="5">
        <v>667</v>
      </c>
      <c r="B728" s="138">
        <f>'Expenditures 15-22'!C44</f>
        <v>765</v>
      </c>
      <c r="D728" s="2" t="str">
        <f t="shared" si="10"/>
        <v>Error?</v>
      </c>
    </row>
    <row r="729" spans="1:4" x14ac:dyDescent="0.2">
      <c r="A729" s="5">
        <v>668</v>
      </c>
      <c r="B729" s="138">
        <f>'Expenditures 15-22'!C45</f>
        <v>12312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13077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44100</v>
      </c>
      <c r="D733" s="2" t="str">
        <f t="shared" si="10"/>
        <v>Error?</v>
      </c>
    </row>
    <row r="734" spans="1:4" x14ac:dyDescent="0.2">
      <c r="A734" s="5">
        <v>673</v>
      </c>
      <c r="B734" s="138">
        <f>'Expenditures 15-22'!C53</f>
        <v>44100</v>
      </c>
      <c r="C734" s="2" t="s">
        <v>594</v>
      </c>
      <c r="D734" s="2" t="str">
        <f t="shared" si="10"/>
        <v>Error?</v>
      </c>
    </row>
    <row r="735" spans="1:4" x14ac:dyDescent="0.2">
      <c r="A735" s="5">
        <v>674</v>
      </c>
      <c r="B735" s="138">
        <f>'Expenditures 15-22'!C55</f>
        <v>105868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105868</v>
      </c>
      <c r="C737" s="2" t="s">
        <v>594</v>
      </c>
      <c r="D737" s="2" t="str">
        <f t="shared" si="10"/>
        <v>Error?</v>
      </c>
    </row>
    <row r="738" spans="1:4" x14ac:dyDescent="0.2">
      <c r="A738" s="5">
        <v>677</v>
      </c>
      <c r="B738" s="138">
        <f>'Expenditures 15-22'!C59</f>
        <v>36706</v>
      </c>
      <c r="D738" s="2" t="str">
        <f t="shared" si="10"/>
        <v>Error?</v>
      </c>
    </row>
    <row r="739" spans="1:4" x14ac:dyDescent="0.2">
      <c r="A739" s="5">
        <v>678</v>
      </c>
      <c r="B739" s="138">
        <f>'Expenditures 15-22'!C60</f>
        <v>18879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20469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76054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300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300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242510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767152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128940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150113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262</v>
      </c>
      <c r="D786" s="2" t="str">
        <f t="shared" si="11"/>
        <v>Error?</v>
      </c>
    </row>
    <row r="787" spans="1:4" x14ac:dyDescent="0.2">
      <c r="A787" s="5">
        <v>726</v>
      </c>
      <c r="B787" s="138">
        <f>'Expenditures 15-22'!D45</f>
        <v>11993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12255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5641</v>
      </c>
      <c r="D791" s="2" t="str">
        <f t="shared" si="11"/>
        <v>Error?</v>
      </c>
    </row>
    <row r="792" spans="1:4" x14ac:dyDescent="0.2">
      <c r="A792" s="5">
        <v>731</v>
      </c>
      <c r="B792" s="138">
        <f>'Expenditures 15-22'!D53</f>
        <v>5641</v>
      </c>
      <c r="C792" s="2" t="s">
        <v>594</v>
      </c>
      <c r="D792" s="2" t="str">
        <f t="shared" si="11"/>
        <v>Error?</v>
      </c>
    </row>
    <row r="793" spans="1:4" x14ac:dyDescent="0.2">
      <c r="A793" s="5">
        <v>732</v>
      </c>
      <c r="B793" s="138">
        <f>'Expenditures 15-22'!D55</f>
        <v>18959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18959</v>
      </c>
      <c r="C795" s="2" t="s">
        <v>594</v>
      </c>
      <c r="D795" s="2" t="str">
        <f t="shared" si="11"/>
        <v>Error?</v>
      </c>
    </row>
    <row r="796" spans="1:4" x14ac:dyDescent="0.2">
      <c r="A796" s="5">
        <v>735</v>
      </c>
      <c r="B796" s="138">
        <f>'Expenditures 15-22'!D59</f>
        <v>7371</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7371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44294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194407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5143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6848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700</v>
      </c>
      <c r="C843" s="2" t="s">
        <v>594</v>
      </c>
      <c r="D843" s="2" t="str">
        <f t="shared" si="12"/>
        <v>Error?</v>
      </c>
    </row>
    <row r="844" spans="1:4" x14ac:dyDescent="0.2">
      <c r="A844" s="5">
        <v>783</v>
      </c>
      <c r="B844" s="138">
        <f>'Expenditures 15-22'!E44</f>
        <v>4680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8066</v>
      </c>
      <c r="D846" s="2" t="str">
        <f t="shared" si="12"/>
        <v>Error?</v>
      </c>
    </row>
    <row r="847" spans="1:4" x14ac:dyDescent="0.2">
      <c r="A847" s="5">
        <v>786</v>
      </c>
      <c r="B847" s="138">
        <f>'Expenditures 15-22'!E47</f>
        <v>12746</v>
      </c>
      <c r="C847" s="2" t="s">
        <v>594</v>
      </c>
      <c r="D847" s="2" t="str">
        <f t="shared" si="12"/>
        <v>Error?</v>
      </c>
    </row>
    <row r="848" spans="1:4" x14ac:dyDescent="0.2">
      <c r="A848" s="5">
        <v>787</v>
      </c>
      <c r="B848" s="138">
        <f>'Expenditures 15-22'!E49</f>
        <v>34801</v>
      </c>
      <c r="D848" s="2" t="str">
        <f t="shared" si="12"/>
        <v>Error?</v>
      </c>
    </row>
    <row r="849" spans="1:4" x14ac:dyDescent="0.2">
      <c r="A849" s="5">
        <v>788</v>
      </c>
      <c r="B849" s="138">
        <f>'Expenditures 15-22'!E50</f>
        <v>1008</v>
      </c>
      <c r="D849" s="2" t="str">
        <f t="shared" si="12"/>
        <v>Error?</v>
      </c>
    </row>
    <row r="850" spans="1:4" x14ac:dyDescent="0.2">
      <c r="A850" s="5">
        <v>789</v>
      </c>
      <c r="B850" s="138">
        <f>'Expenditures 15-22'!E53</f>
        <v>35809</v>
      </c>
      <c r="C850" s="2" t="s">
        <v>594</v>
      </c>
      <c r="D850" s="2" t="str">
        <f t="shared" si="12"/>
        <v>Error?</v>
      </c>
    </row>
    <row r="851" spans="1:4" x14ac:dyDescent="0.2">
      <c r="A851" s="5">
        <v>790</v>
      </c>
      <c r="B851" s="138">
        <f>'Expenditures 15-22'!E55</f>
        <v>1322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51568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237473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22201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27389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3798</v>
      </c>
      <c r="D903" s="2" t="str">
        <f t="shared" si="13"/>
        <v>Error?</v>
      </c>
    </row>
    <row r="904" spans="1:4" x14ac:dyDescent="0.2">
      <c r="A904" s="5">
        <v>843</v>
      </c>
      <c r="B904" s="138">
        <f>'Expenditures 15-22'!F46</f>
        <v>28248</v>
      </c>
      <c r="D904" s="2" t="str">
        <f t="shared" si="13"/>
        <v>Error?</v>
      </c>
    </row>
    <row r="905" spans="1:4" x14ac:dyDescent="0.2">
      <c r="A905" s="5">
        <v>844</v>
      </c>
      <c r="B905" s="138">
        <f>'Expenditures 15-22'!F47</f>
        <v>32046</v>
      </c>
      <c r="C905" s="2" t="s">
        <v>594</v>
      </c>
      <c r="D905" s="2" t="str">
        <f t="shared" si="13"/>
        <v>Error?</v>
      </c>
    </row>
    <row r="906" spans="1:4" x14ac:dyDescent="0.2">
      <c r="A906" s="5">
        <v>845</v>
      </c>
      <c r="B906" s="138">
        <f>'Expenditures 15-22'!F49</f>
        <v>998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998</v>
      </c>
      <c r="C908" s="2" t="s">
        <v>594</v>
      </c>
      <c r="D908" s="2" t="str">
        <f t="shared" si="13"/>
        <v>Error?</v>
      </c>
    </row>
    <row r="909" spans="1:4" x14ac:dyDescent="0.2">
      <c r="A909" s="5">
        <v>848</v>
      </c>
      <c r="B909" s="138">
        <f>'Expenditures 15-22'!F55</f>
        <v>1549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1549</v>
      </c>
      <c r="C911" s="2" t="s">
        <v>594</v>
      </c>
      <c r="D911" s="2" t="str">
        <f t="shared" si="13"/>
        <v>Error?</v>
      </c>
    </row>
    <row r="912" spans="1:4" x14ac:dyDescent="0.2">
      <c r="A912" s="5">
        <v>851</v>
      </c>
      <c r="B912" s="138">
        <f>'Expenditures 15-22'!F59</f>
        <v>239</v>
      </c>
      <c r="D912" s="2" t="str">
        <f t="shared" si="13"/>
        <v>Error?</v>
      </c>
    </row>
    <row r="913" spans="1:4" x14ac:dyDescent="0.2">
      <c r="A913" s="5">
        <v>852</v>
      </c>
      <c r="B913" s="138">
        <f>'Expenditures 15-22'!F60</f>
        <v>304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19638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20181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60</v>
      </c>
      <c r="D928" s="2" t="str">
        <f t="shared" si="13"/>
        <v>Error?</v>
      </c>
    </row>
    <row r="929" spans="1:4" x14ac:dyDescent="0.2">
      <c r="A929" s="5">
        <v>868</v>
      </c>
      <c r="B929" s="138">
        <f>'Expenditures 15-22'!F74</f>
        <v>55069</v>
      </c>
      <c r="C929" s="2" t="s">
        <v>594</v>
      </c>
      <c r="D929" s="2" t="str">
        <f t="shared" si="13"/>
        <v>Error?</v>
      </c>
    </row>
    <row r="930" spans="1:4" x14ac:dyDescent="0.2">
      <c r="A930" s="5">
        <v>869</v>
      </c>
      <c r="B930" s="138">
        <f>'Expenditures 15-22'!F75</f>
        <v>532</v>
      </c>
      <c r="D930" s="2" t="str">
        <f t="shared" si="13"/>
        <v>Error?</v>
      </c>
    </row>
    <row r="931" spans="1:4" x14ac:dyDescent="0.2">
      <c r="A931" s="5">
        <v>870</v>
      </c>
      <c r="B931" s="138">
        <f>'Expenditures 15-22'!F114</f>
        <v>82990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959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959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4400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4400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5359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315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189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8088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8592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583408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2850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708992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4046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4046</v>
      </c>
      <c r="C1115" s="2" t="s">
        <v>594</v>
      </c>
      <c r="D1115" s="2" t="str">
        <f t="shared" si="16"/>
        <v>Error?</v>
      </c>
    </row>
    <row r="1116" spans="1:4" x14ac:dyDescent="0.2">
      <c r="A1116" s="5">
        <v>1055</v>
      </c>
      <c r="B1116" s="138">
        <f>'Expenditures 15-22'!K44</f>
        <v>5707</v>
      </c>
      <c r="C1116" s="2" t="s">
        <v>594</v>
      </c>
      <c r="D1116" s="2" t="str">
        <f t="shared" si="16"/>
        <v>Error?</v>
      </c>
    </row>
    <row r="1117" spans="1:4" x14ac:dyDescent="0.2">
      <c r="A1117" s="5">
        <v>1056</v>
      </c>
      <c r="B1117" s="138">
        <f>'Expenditures 15-22'!K45</f>
        <v>29062</v>
      </c>
      <c r="C1117" s="2" t="s">
        <v>594</v>
      </c>
      <c r="D1117" s="2" t="str">
        <f t="shared" si="16"/>
        <v>Error?</v>
      </c>
    </row>
    <row r="1118" spans="1:4" x14ac:dyDescent="0.2">
      <c r="A1118" s="5">
        <v>1057</v>
      </c>
      <c r="B1118" s="138">
        <f>'Expenditures 15-22'!K46</f>
        <v>36314</v>
      </c>
      <c r="C1118" s="2" t="s">
        <v>594</v>
      </c>
      <c r="D1118" s="2" t="str">
        <f t="shared" si="16"/>
        <v>Error?</v>
      </c>
    </row>
    <row r="1119" spans="1:4" x14ac:dyDescent="0.2">
      <c r="A1119" s="5">
        <v>1058</v>
      </c>
      <c r="B1119" s="138">
        <f>'Expenditures 15-22'!K47</f>
        <v>71083</v>
      </c>
      <c r="C1119" s="2" t="s">
        <v>594</v>
      </c>
      <c r="D1119" s="2" t="str">
        <f t="shared" si="16"/>
        <v>Error?</v>
      </c>
    </row>
    <row r="1120" spans="1:4" x14ac:dyDescent="0.2">
      <c r="A1120" s="5">
        <v>1059</v>
      </c>
      <c r="B1120" s="138">
        <f>'Expenditures 15-22'!K49</f>
        <v>36114</v>
      </c>
      <c r="C1120" s="2" t="s">
        <v>594</v>
      </c>
      <c r="D1120" s="2" t="str">
        <f t="shared" si="16"/>
        <v>Error?</v>
      </c>
    </row>
    <row r="1121" spans="1:4" x14ac:dyDescent="0.2">
      <c r="A1121" s="5">
        <v>1060</v>
      </c>
      <c r="B1121" s="138">
        <f>'Expenditures 15-22'!K50</f>
        <v>50749</v>
      </c>
      <c r="C1121" s="2" t="s">
        <v>594</v>
      </c>
      <c r="D1121" s="2" t="str">
        <f t="shared" si="16"/>
        <v>Error?</v>
      </c>
    </row>
    <row r="1122" spans="1:4" x14ac:dyDescent="0.2">
      <c r="A1122" s="5">
        <v>1061</v>
      </c>
      <c r="B1122" s="138">
        <f>'Expenditures 15-22'!K53</f>
        <v>86863</v>
      </c>
      <c r="C1122" s="2" t="s">
        <v>594</v>
      </c>
      <c r="D1122" s="2" t="str">
        <f t="shared" si="16"/>
        <v>Error?</v>
      </c>
    </row>
    <row r="1123" spans="1:4" x14ac:dyDescent="0.2">
      <c r="A1123" s="5">
        <v>1062</v>
      </c>
      <c r="B1123" s="138">
        <f>'Expenditures 15-22'!K55</f>
        <v>127698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127698</v>
      </c>
      <c r="C1125" s="2" t="s">
        <v>594</v>
      </c>
      <c r="D1125" s="2" t="str">
        <f t="shared" si="16"/>
        <v>Error?</v>
      </c>
    </row>
    <row r="1126" spans="1:4" x14ac:dyDescent="0.2">
      <c r="A1126" s="5">
        <v>1065</v>
      </c>
      <c r="B1126" s="138">
        <f>'Expenditures 15-22'!K59</f>
        <v>44316</v>
      </c>
      <c r="C1126" s="2" t="s">
        <v>594</v>
      </c>
      <c r="D1126" s="2" t="str">
        <f t="shared" si="16"/>
        <v>Error?</v>
      </c>
    </row>
    <row r="1127" spans="1:4" x14ac:dyDescent="0.2">
      <c r="A1127" s="5">
        <v>1066</v>
      </c>
      <c r="B1127" s="138">
        <f>'Expenditures 15-22'!K60</f>
        <v>19183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45687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109186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368</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368</v>
      </c>
      <c r="C1141" s="2" t="s">
        <v>594</v>
      </c>
      <c r="D1141" s="2" t="str">
        <f t="shared" si="16"/>
        <v>Error?</v>
      </c>
    </row>
    <row r="1142" spans="1:4" x14ac:dyDescent="0.2">
      <c r="A1142" s="5">
        <v>1081</v>
      </c>
      <c r="B1142" s="138">
        <f>'Expenditures 15-22'!K73</f>
        <v>60</v>
      </c>
      <c r="C1142" s="2" t="s">
        <v>594</v>
      </c>
      <c r="D1142" s="2" t="str">
        <f t="shared" si="16"/>
        <v>Error?</v>
      </c>
    </row>
    <row r="1143" spans="1:4" x14ac:dyDescent="0.2">
      <c r="A1143" s="5">
        <v>1082</v>
      </c>
      <c r="B1143" s="138">
        <f>'Expenditures 15-22'!K74</f>
        <v>399304</v>
      </c>
      <c r="C1143" s="2" t="s">
        <v>594</v>
      </c>
      <c r="D1143" s="2" t="str">
        <f t="shared" si="16"/>
        <v>Error?</v>
      </c>
    </row>
    <row r="1144" spans="1:4" x14ac:dyDescent="0.2">
      <c r="A1144" s="5">
        <v>1083</v>
      </c>
      <c r="B1144" s="138">
        <f>'Expenditures 15-22'!K75</f>
        <v>532</v>
      </c>
      <c r="C1144" s="2" t="s">
        <v>594</v>
      </c>
      <c r="D1144" s="2" t="str">
        <f t="shared" si="16"/>
        <v>Error?</v>
      </c>
    </row>
    <row r="1145" spans="1:4" x14ac:dyDescent="0.2">
      <c r="A1145" s="5">
        <v>1084</v>
      </c>
      <c r="B1145" s="138">
        <f>'Expenditures 15-22'!K102</f>
        <v>187145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1295973</v>
      </c>
      <c r="C1152" s="2" t="s">
        <v>594</v>
      </c>
      <c r="D1152" s="2" t="str">
        <f t="shared" si="17"/>
        <v>Error?</v>
      </c>
    </row>
    <row r="1153" spans="1:4" x14ac:dyDescent="0.2">
      <c r="A1153" s="5">
        <v>1092</v>
      </c>
      <c r="B1153" s="138">
        <f>'Expenditures 15-22'!K115</f>
        <v>64618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16720</v>
      </c>
      <c r="D1221" s="2" t="str">
        <f t="shared" si="18"/>
        <v>Error?</v>
      </c>
    </row>
    <row r="1222" spans="1:4" x14ac:dyDescent="0.2">
      <c r="A1222" s="10">
        <v>1161</v>
      </c>
      <c r="D1222" s="2" t="str">
        <f t="shared" si="18"/>
        <v>OK</v>
      </c>
    </row>
    <row r="1223" spans="1:4" x14ac:dyDescent="0.2">
      <c r="A1223" s="5">
        <v>1162</v>
      </c>
      <c r="B1223" s="138">
        <f>'Expenditures 15-22'!C127</f>
        <v>16720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16720</v>
      </c>
      <c r="C1225" s="2" t="s">
        <v>594</v>
      </c>
      <c r="D1225" s="2" t="str">
        <f t="shared" si="18"/>
        <v>Error?</v>
      </c>
    </row>
    <row r="1226" spans="1:4" x14ac:dyDescent="0.2">
      <c r="A1226" s="5">
        <v>1165</v>
      </c>
      <c r="B1226" s="138">
        <f>'Expenditures 15-22'!C151</f>
        <v>16720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97317</v>
      </c>
      <c r="D1237" s="2" t="str">
        <f t="shared" si="18"/>
        <v>Error?</v>
      </c>
    </row>
    <row r="1238" spans="1:4" x14ac:dyDescent="0.2">
      <c r="A1238" s="10">
        <v>1177</v>
      </c>
      <c r="D1238" s="2" t="str">
        <f t="shared" si="18"/>
        <v>OK</v>
      </c>
    </row>
    <row r="1239" spans="1:4" x14ac:dyDescent="0.2">
      <c r="A1239" s="5">
        <v>1178</v>
      </c>
      <c r="B1239" s="138">
        <f>'Expenditures 15-22'!E127</f>
        <v>97317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97317</v>
      </c>
      <c r="C1241" s="2" t="s">
        <v>594</v>
      </c>
      <c r="D1241" s="2" t="str">
        <f t="shared" si="18"/>
        <v>Error?</v>
      </c>
    </row>
    <row r="1242" spans="1:4" x14ac:dyDescent="0.2">
      <c r="A1242" s="5">
        <v>1181</v>
      </c>
      <c r="B1242" s="138">
        <f>'Expenditures 15-22'!E151</f>
        <v>97317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6609</v>
      </c>
      <c r="D1245" s="2" t="str">
        <f t="shared" si="18"/>
        <v>Error?</v>
      </c>
    </row>
    <row r="1246" spans="1:4" x14ac:dyDescent="0.2">
      <c r="A1246" s="10">
        <v>1185</v>
      </c>
      <c r="D1246" s="2" t="str">
        <f t="shared" si="18"/>
        <v>OK</v>
      </c>
    </row>
    <row r="1247" spans="1:4" x14ac:dyDescent="0.2">
      <c r="A1247" s="5">
        <v>1186</v>
      </c>
      <c r="B1247" s="138">
        <f>'Expenditures 15-22'!F127</f>
        <v>6609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6609</v>
      </c>
      <c r="C1249" s="2" t="s">
        <v>594</v>
      </c>
      <c r="D1249" s="2" t="str">
        <f t="shared" si="18"/>
        <v>Error?</v>
      </c>
    </row>
    <row r="1250" spans="1:4" x14ac:dyDescent="0.2">
      <c r="A1250" s="5">
        <v>1189</v>
      </c>
      <c r="B1250" s="138">
        <f>'Expenditures 15-22'!F151</f>
        <v>6609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4977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4977</v>
      </c>
      <c r="C1258" s="2" t="s">
        <v>594</v>
      </c>
      <c r="D1258" s="2" t="str">
        <f t="shared" si="18"/>
        <v>Error?</v>
      </c>
    </row>
    <row r="1259" spans="1:4" x14ac:dyDescent="0.2">
      <c r="A1259" s="5">
        <v>1198</v>
      </c>
      <c r="B1259" s="138">
        <f>'Expenditures 15-22'!G151</f>
        <v>4977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307</v>
      </c>
      <c r="D1262" s="2" t="str">
        <f t="shared" si="18"/>
        <v>Error?</v>
      </c>
    </row>
    <row r="1263" spans="1:4" x14ac:dyDescent="0.2">
      <c r="A1263" s="10">
        <v>1202</v>
      </c>
      <c r="D1263" s="2" t="str">
        <f t="shared" si="18"/>
        <v>OK</v>
      </c>
    </row>
    <row r="1264" spans="1:4" x14ac:dyDescent="0.2">
      <c r="A1264" s="5">
        <v>1203</v>
      </c>
      <c r="B1264" s="138">
        <f>'Expenditures 15-22'!H127</f>
        <v>307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307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307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125930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125930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125930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125930</v>
      </c>
      <c r="C1288" s="2" t="s">
        <v>594</v>
      </c>
      <c r="D1288" s="2" t="str">
        <f t="shared" si="19"/>
        <v>Error?</v>
      </c>
    </row>
    <row r="1289" spans="1:4" x14ac:dyDescent="0.2">
      <c r="A1289" s="5">
        <v>1228</v>
      </c>
      <c r="B1289" s="138">
        <f>'Expenditures 15-22'!K152</f>
        <v>37043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68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60272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60272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60272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27822</v>
      </c>
      <c r="C1376" s="2" t="s">
        <v>594</v>
      </c>
      <c r="D1376" s="2" t="str">
        <f t="shared" si="20"/>
        <v>Error?</v>
      </c>
    </row>
    <row r="1377" spans="1:4" x14ac:dyDescent="0.2">
      <c r="A1377" s="5">
        <v>1316</v>
      </c>
      <c r="B1377" s="138">
        <f>'Expenditures 15-22'!K182</f>
        <v>60272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60272</v>
      </c>
      <c r="C1381" s="2" t="s">
        <v>594</v>
      </c>
      <c r="D1381" s="2" t="str">
        <f t="shared" si="20"/>
        <v>Error?</v>
      </c>
    </row>
    <row r="1382" spans="1:4" x14ac:dyDescent="0.2">
      <c r="A1382" s="5">
        <v>1321</v>
      </c>
      <c r="B1382" s="138">
        <f>'Expenditures 15-22'!K196</f>
        <v>27822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88094</v>
      </c>
      <c r="C1388" s="2" t="s">
        <v>594</v>
      </c>
      <c r="D1388" s="2" t="str">
        <f t="shared" si="20"/>
        <v>Error?</v>
      </c>
    </row>
    <row r="1389" spans="1:4" x14ac:dyDescent="0.2">
      <c r="A1389" s="5">
        <v>1328</v>
      </c>
      <c r="B1389" s="138">
        <f>'Expenditures 15-22'!K211</f>
        <v>-11057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10912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537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537</v>
      </c>
      <c r="C1417" s="2" t="s">
        <v>594</v>
      </c>
      <c r="D1417" s="2" t="str">
        <f t="shared" si="21"/>
        <v>Error?</v>
      </c>
    </row>
    <row r="1418" spans="1:4" x14ac:dyDescent="0.2">
      <c r="A1418" s="5">
        <v>1357</v>
      </c>
      <c r="B1418" s="138">
        <f>'Expenditures 15-22'!D240</f>
        <v>12</v>
      </c>
      <c r="D1418" s="2" t="str">
        <f t="shared" si="21"/>
        <v>Error?</v>
      </c>
    </row>
    <row r="1419" spans="1:4" x14ac:dyDescent="0.2">
      <c r="A1419" s="5">
        <v>1358</v>
      </c>
      <c r="B1419" s="138">
        <f>'Expenditures 15-22'!D241</f>
        <v>2125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2137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639</v>
      </c>
      <c r="D1423" s="2" t="str">
        <f t="shared" si="21"/>
        <v>Error?</v>
      </c>
    </row>
    <row r="1424" spans="1:4" x14ac:dyDescent="0.2">
      <c r="A1424" s="5">
        <v>1363</v>
      </c>
      <c r="B1424" s="138">
        <f>'Expenditures 15-22'!D257</f>
        <v>639</v>
      </c>
      <c r="C1424" s="2" t="s">
        <v>594</v>
      </c>
      <c r="D1424" s="2" t="str">
        <f t="shared" si="21"/>
        <v>Error?</v>
      </c>
    </row>
    <row r="1425" spans="1:4" x14ac:dyDescent="0.2">
      <c r="A1425" s="5">
        <v>1364</v>
      </c>
      <c r="B1425" s="138">
        <f>'Expenditures 15-22'!D259</f>
        <v>4536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4536</v>
      </c>
      <c r="C1427" s="2" t="s">
        <v>594</v>
      </c>
      <c r="D1427" s="2" t="str">
        <f t="shared" si="21"/>
        <v>Error?</v>
      </c>
    </row>
    <row r="1428" spans="1:4" x14ac:dyDescent="0.2">
      <c r="A1428" s="5">
        <v>1367</v>
      </c>
      <c r="B1428" s="138">
        <f>'Expenditures 15-22'!D263</f>
        <v>6339</v>
      </c>
      <c r="D1428" s="2" t="str">
        <f t="shared" si="21"/>
        <v>Error?</v>
      </c>
    </row>
    <row r="1429" spans="1:4" x14ac:dyDescent="0.2">
      <c r="A1429" s="5">
        <v>1368</v>
      </c>
      <c r="B1429" s="138">
        <f>'Expenditures 15-22'!D264</f>
        <v>3259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2878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3534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16010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23863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34775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10912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537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537</v>
      </c>
      <c r="C1481" s="2" t="s">
        <v>594</v>
      </c>
      <c r="D1481" s="2" t="str">
        <f t="shared" si="22"/>
        <v>Error?</v>
      </c>
    </row>
    <row r="1482" spans="1:4" x14ac:dyDescent="0.2">
      <c r="A1482" s="5">
        <v>1421</v>
      </c>
      <c r="B1482" s="138">
        <f>'Expenditures 15-22'!K240</f>
        <v>12</v>
      </c>
      <c r="C1482" s="2" t="s">
        <v>594</v>
      </c>
      <c r="D1482" s="2" t="str">
        <f t="shared" si="22"/>
        <v>Error?</v>
      </c>
    </row>
    <row r="1483" spans="1:4" x14ac:dyDescent="0.2">
      <c r="A1483" s="5">
        <v>1422</v>
      </c>
      <c r="B1483" s="138">
        <f>'Expenditures 15-22'!K241</f>
        <v>2125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2137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639</v>
      </c>
      <c r="C1487" s="2" t="s">
        <v>594</v>
      </c>
      <c r="D1487" s="2" t="str">
        <f t="shared" si="22"/>
        <v>Error?</v>
      </c>
    </row>
    <row r="1488" spans="1:4" x14ac:dyDescent="0.2">
      <c r="A1488" s="5">
        <v>1427</v>
      </c>
      <c r="B1488" s="138">
        <f>'Expenditures 15-22'!K257</f>
        <v>639</v>
      </c>
      <c r="C1488" s="2" t="s">
        <v>594</v>
      </c>
      <c r="D1488" s="2" t="str">
        <f t="shared" si="22"/>
        <v>Error?</v>
      </c>
    </row>
    <row r="1489" spans="1:4" x14ac:dyDescent="0.2">
      <c r="A1489" s="5">
        <v>1428</v>
      </c>
      <c r="B1489" s="138">
        <f>'Expenditures 15-22'!K259</f>
        <v>4536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4536</v>
      </c>
      <c r="C1491" s="2" t="s">
        <v>594</v>
      </c>
      <c r="D1491" s="2" t="str">
        <f t="shared" si="22"/>
        <v>Error?</v>
      </c>
    </row>
    <row r="1492" spans="1:4" x14ac:dyDescent="0.2">
      <c r="A1492" s="5">
        <v>1431</v>
      </c>
      <c r="B1492" s="138">
        <f>'Expenditures 15-22'!K263</f>
        <v>6339</v>
      </c>
      <c r="C1492" s="2" t="s">
        <v>594</v>
      </c>
      <c r="D1492" s="2" t="str">
        <f t="shared" si="22"/>
        <v>Error?</v>
      </c>
    </row>
    <row r="1493" spans="1:4" x14ac:dyDescent="0.2">
      <c r="A1493" s="5">
        <v>1432</v>
      </c>
      <c r="B1493" s="138">
        <f>'Expenditures 15-22'!K264</f>
        <v>3259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2878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3534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16010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4</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23863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34775</v>
      </c>
      <c r="C1517" s="2" t="s">
        <v>594</v>
      </c>
      <c r="D1517" s="2" t="str">
        <f t="shared" si="22"/>
        <v>Error?</v>
      </c>
    </row>
    <row r="1518" spans="1:4" x14ac:dyDescent="0.2">
      <c r="A1518" s="5">
        <v>1457</v>
      </c>
      <c r="B1518" s="138">
        <f>'Expenditures 15-22'!K296</f>
        <v>4773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894622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959240</v>
      </c>
      <c r="C1630" s="2" t="s">
        <v>594</v>
      </c>
      <c r="D1630" s="2" t="str">
        <f t="shared" si="24"/>
        <v>Error?</v>
      </c>
    </row>
    <row r="1631" spans="1:4" x14ac:dyDescent="0.2">
      <c r="A1631" s="5">
        <v>1570</v>
      </c>
      <c r="B1631" s="138">
        <f>'Acct Summary 7-8'!D79</f>
        <v>103506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340549</v>
      </c>
      <c r="C1644" s="2" t="s">
        <v>594</v>
      </c>
      <c r="D1644" s="2" t="str">
        <f t="shared" si="24"/>
        <v>Error?</v>
      </c>
    </row>
    <row r="1645" spans="1:4" x14ac:dyDescent="0.2">
      <c r="A1645" s="5">
        <v>1584</v>
      </c>
      <c r="B1645" s="138">
        <f>'Acct Summary 7-8'!E79</f>
        <v>23139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v>
      </c>
      <c r="C1658" s="2" t="s">
        <v>594</v>
      </c>
      <c r="D1658" s="2" t="str">
        <f t="shared" si="24"/>
        <v>Error?</v>
      </c>
    </row>
    <row r="1659" spans="1:4" x14ac:dyDescent="0.2">
      <c r="A1659" s="5">
        <v>1598</v>
      </c>
      <c r="B1659" s="138">
        <f>'Acct Summary 7-8'!F79</f>
        <v>397111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186054</v>
      </c>
      <c r="C1672" s="2" t="s">
        <v>594</v>
      </c>
      <c r="D1672" s="2" t="str">
        <f t="shared" si="25"/>
        <v>Error?</v>
      </c>
    </row>
    <row r="1673" spans="1:4" x14ac:dyDescent="0.2">
      <c r="A1673" s="5">
        <v>1612</v>
      </c>
      <c r="B1673" s="138">
        <f>'Acct Summary 7-8'!G79</f>
        <v>32580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37353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930771</v>
      </c>
      <c r="C1744" s="2" t="s">
        <v>594</v>
      </c>
      <c r="D1744" s="2" t="str">
        <f t="shared" si="26"/>
        <v>Error?</v>
      </c>
    </row>
    <row r="1745" spans="1:5" x14ac:dyDescent="0.2">
      <c r="A1745" s="5">
        <v>1684</v>
      </c>
      <c r="B1745" s="138">
        <f>'Tax Sched 23'!B5</f>
        <v>161668</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11764</v>
      </c>
      <c r="C1747" s="2" t="s">
        <v>594</v>
      </c>
      <c r="D1747" s="2" t="str">
        <f t="shared" si="26"/>
        <v>Error?</v>
      </c>
    </row>
    <row r="1748" spans="1:5" x14ac:dyDescent="0.2">
      <c r="A1748" s="5">
        <v>1687</v>
      </c>
      <c r="B1748" s="138">
        <f>'Tax Sched 23'!B8</f>
        <v>14969</v>
      </c>
      <c r="C1748" s="2" t="s">
        <v>594</v>
      </c>
      <c r="D1748" s="2" t="str">
        <f t="shared" si="26"/>
        <v>Error?</v>
      </c>
    </row>
    <row r="1749" spans="1:5" x14ac:dyDescent="0.2">
      <c r="A1749" s="5">
        <v>1688</v>
      </c>
      <c r="B1749" s="138">
        <f>'Tax Sched 23'!B10</f>
        <v>1293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25508</v>
      </c>
      <c r="C1752" s="2" t="s">
        <v>594</v>
      </c>
      <c r="D1752" s="2" t="str">
        <f t="shared" si="26"/>
        <v>Error?</v>
      </c>
    </row>
    <row r="1753" spans="1:5" x14ac:dyDescent="0.2">
      <c r="A1753" s="5">
        <v>1692</v>
      </c>
      <c r="B1753" s="138">
        <f>'Tax Sched 23'!B12</f>
        <v>5370</v>
      </c>
      <c r="C1753" s="2" t="s">
        <v>594</v>
      </c>
      <c r="D1753" s="2" t="str">
        <f t="shared" si="26"/>
        <v>Error?</v>
      </c>
    </row>
    <row r="1754" spans="1:5" x14ac:dyDescent="0.2">
      <c r="A1754" s="5">
        <v>1693</v>
      </c>
      <c r="B1754" s="138">
        <f>'Tax Sched 23'!B14</f>
        <v>2953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1174060</v>
      </c>
      <c r="C1759" s="2" t="s">
        <v>594</v>
      </c>
      <c r="D1759" s="2" t="str">
        <f t="shared" si="26"/>
        <v>Error?</v>
      </c>
    </row>
    <row r="1760" spans="1:5" x14ac:dyDescent="0.2">
      <c r="A1760" s="5">
        <v>1699</v>
      </c>
      <c r="B1760" s="138">
        <f>'Tax Sched 23'!D4</f>
        <v>431478</v>
      </c>
      <c r="C1760" s="2" t="s">
        <v>594</v>
      </c>
      <c r="D1760" s="2" t="str">
        <f t="shared" si="26"/>
        <v>Error?</v>
      </c>
    </row>
    <row r="1761" spans="1:5" x14ac:dyDescent="0.2">
      <c r="A1761" s="5">
        <v>1700</v>
      </c>
      <c r="B1761" s="138">
        <f>'Tax Sched 23'!D5</f>
        <v>71828</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5224</v>
      </c>
      <c r="C1763" s="2" t="s">
        <v>594</v>
      </c>
      <c r="D1763" s="2" t="str">
        <f t="shared" si="26"/>
        <v>Error?</v>
      </c>
    </row>
    <row r="1764" spans="1:5" x14ac:dyDescent="0.2">
      <c r="A1764" s="5">
        <v>1703</v>
      </c>
      <c r="B1764" s="138">
        <f>'Tax Sched 23'!D8</f>
        <v>4180</v>
      </c>
      <c r="C1764" s="2" t="s">
        <v>594</v>
      </c>
      <c r="D1764" s="2" t="str">
        <f t="shared" si="26"/>
        <v>Error?</v>
      </c>
    </row>
    <row r="1765" spans="1:5" x14ac:dyDescent="0.2">
      <c r="A1765" s="5">
        <v>1704</v>
      </c>
      <c r="B1765" s="138">
        <f>'Tax Sched 23'!D10</f>
        <v>1293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9546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1306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528773</v>
      </c>
      <c r="C1775" s="2" t="s">
        <v>594</v>
      </c>
      <c r="D1775" s="2" t="str">
        <f t="shared" si="26"/>
        <v>Error?</v>
      </c>
    </row>
    <row r="1776" spans="1:5" x14ac:dyDescent="0.2">
      <c r="A1776" s="5">
        <v>1715</v>
      </c>
      <c r="B1776" s="138">
        <f>'Tax Sched 23'!C4</f>
        <v>499293</v>
      </c>
      <c r="D1776" s="2" t="str">
        <f t="shared" si="26"/>
        <v>Error?</v>
      </c>
    </row>
    <row r="1777" spans="1:4" x14ac:dyDescent="0.2">
      <c r="A1777" s="5">
        <v>1716</v>
      </c>
      <c r="B1777" s="138">
        <f>'Tax Sched 23'!C5</f>
        <v>89840</v>
      </c>
      <c r="D1777" s="2" t="str">
        <f t="shared" si="26"/>
        <v>Error?</v>
      </c>
    </row>
    <row r="1778" spans="1:4" x14ac:dyDescent="0.2">
      <c r="A1778" s="5">
        <v>1717</v>
      </c>
      <c r="B1778" s="138">
        <f>'Tax Sched 23'!C6</f>
        <v>0</v>
      </c>
      <c r="D1778" s="2" t="str">
        <f t="shared" si="26"/>
        <v>Error?</v>
      </c>
    </row>
    <row r="1779" spans="1:4" x14ac:dyDescent="0.2">
      <c r="A1779" s="5">
        <v>1718</v>
      </c>
      <c r="B1779" s="138">
        <f>'Tax Sched 23'!C7</f>
        <v>6540</v>
      </c>
      <c r="D1779" s="2" t="str">
        <f t="shared" si="26"/>
        <v>Error?</v>
      </c>
    </row>
    <row r="1780" spans="1:4" x14ac:dyDescent="0.2">
      <c r="A1780" s="5">
        <v>1719</v>
      </c>
      <c r="B1780" s="138">
        <f>'Tax Sched 23'!C8</f>
        <v>10789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15962</v>
      </c>
      <c r="D1784" s="2" t="str">
        <f t="shared" si="26"/>
        <v>Error?</v>
      </c>
    </row>
    <row r="1785" spans="1:4" x14ac:dyDescent="0.2">
      <c r="A1785" s="5">
        <v>1724</v>
      </c>
      <c r="B1785" s="138">
        <f>'Tax Sched 23'!C12</f>
        <v>5370</v>
      </c>
      <c r="D1785" s="2" t="str">
        <f t="shared" si="26"/>
        <v>Error?</v>
      </c>
    </row>
    <row r="1786" spans="1:4" x14ac:dyDescent="0.2">
      <c r="A1786" s="5">
        <v>1725</v>
      </c>
      <c r="B1786" s="138">
        <f>'Tax Sched 23'!C14</f>
        <v>1647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645287</v>
      </c>
      <c r="C1791" s="2" t="s">
        <v>594</v>
      </c>
      <c r="D1791" s="2" t="str">
        <f t="shared" ref="D1791:D1854" si="27">IF(ISBLANK(B1791),"OK",IF(A1791-B1791=0,"OK","Error?"))</f>
        <v>Error?</v>
      </c>
    </row>
    <row r="1792" spans="1:4" x14ac:dyDescent="0.2">
      <c r="A1792" s="5">
        <v>1731</v>
      </c>
      <c r="B1792" s="138">
        <f>'Tax Sched 23'!F4</f>
        <v>435399</v>
      </c>
      <c r="C1792" s="2" t="s">
        <v>594</v>
      </c>
      <c r="D1792" s="2" t="str">
        <f t="shared" si="27"/>
        <v>Error?</v>
      </c>
    </row>
    <row r="1793" spans="1:4" x14ac:dyDescent="0.2">
      <c r="A1793" s="5">
        <v>1732</v>
      </c>
      <c r="B1793" s="138">
        <f>'Tax Sched 23'!F5</f>
        <v>78343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5702</v>
      </c>
      <c r="C1795" s="2" t="s">
        <v>594</v>
      </c>
      <c r="D1795" s="2" t="str">
        <f t="shared" si="27"/>
        <v>Error?</v>
      </c>
    </row>
    <row r="1796" spans="1:4" x14ac:dyDescent="0.2">
      <c r="A1796" s="5">
        <v>1735</v>
      </c>
      <c r="B1796" s="138">
        <f>'Tax Sched 23'!F8</f>
        <v>9409</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13919</v>
      </c>
      <c r="C1800" s="2" t="s">
        <v>594</v>
      </c>
      <c r="D1800" s="2" t="str">
        <f t="shared" si="27"/>
        <v>Error?</v>
      </c>
    </row>
    <row r="1801" spans="1:4" x14ac:dyDescent="0.2">
      <c r="A1801" s="5">
        <v>1740</v>
      </c>
      <c r="B1801" s="138">
        <f>'Tax Sched 23'!F12</f>
        <v>4683</v>
      </c>
      <c r="C1801" s="2" t="s">
        <v>594</v>
      </c>
      <c r="D1801" s="2" t="str">
        <f t="shared" si="27"/>
        <v>Error?</v>
      </c>
    </row>
    <row r="1802" spans="1:4" x14ac:dyDescent="0.2">
      <c r="A1802" s="5">
        <v>1741</v>
      </c>
      <c r="B1802" s="138">
        <f>'Tax Sched 23'!F14</f>
        <v>1437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562711</v>
      </c>
      <c r="C1807" s="2" t="s">
        <v>594</v>
      </c>
      <c r="D1807" s="2" t="str">
        <f t="shared" si="27"/>
        <v>Error?</v>
      </c>
    </row>
    <row r="1808" spans="1:4" x14ac:dyDescent="0.2">
      <c r="A1808" s="5">
        <v>1747</v>
      </c>
      <c r="B1808" s="138">
        <f>'Tax Sched 23'!E4</f>
        <v>934692</v>
      </c>
      <c r="D1808" s="2" t="str">
        <f t="shared" si="27"/>
        <v>Error?</v>
      </c>
    </row>
    <row r="1809" spans="1:4" x14ac:dyDescent="0.2">
      <c r="A1809" s="5">
        <v>1748</v>
      </c>
      <c r="B1809" s="138">
        <f>'Tax Sched 23'!E5</f>
        <v>168183</v>
      </c>
      <c r="D1809" s="2" t="str">
        <f t="shared" si="27"/>
        <v>Error?</v>
      </c>
    </row>
    <row r="1810" spans="1:4" x14ac:dyDescent="0.2">
      <c r="A1810" s="5">
        <v>1749</v>
      </c>
      <c r="B1810" s="138">
        <f>'Tax Sched 23'!E6</f>
        <v>0</v>
      </c>
      <c r="D1810" s="2" t="str">
        <f t="shared" si="27"/>
        <v>Error?</v>
      </c>
    </row>
    <row r="1811" spans="1:4" x14ac:dyDescent="0.2">
      <c r="A1811" s="5">
        <v>1750</v>
      </c>
      <c r="B1811" s="138">
        <f>'Tax Sched 23'!E7</f>
        <v>12242</v>
      </c>
      <c r="D1811" s="2" t="str">
        <f t="shared" si="27"/>
        <v>Error?</v>
      </c>
    </row>
    <row r="1812" spans="1:4" x14ac:dyDescent="0.2">
      <c r="A1812" s="5">
        <v>1751</v>
      </c>
      <c r="B1812" s="138">
        <f>'Tax Sched 23'!E8</f>
        <v>20198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29881</v>
      </c>
      <c r="D1816" s="2" t="str">
        <f t="shared" si="27"/>
        <v>Error?</v>
      </c>
    </row>
    <row r="1817" spans="1:4" x14ac:dyDescent="0.2">
      <c r="A1817" s="5">
        <v>1756</v>
      </c>
      <c r="B1817" s="138">
        <f>'Tax Sched 23'!E12</f>
        <v>10053</v>
      </c>
      <c r="D1817" s="2" t="str">
        <f t="shared" si="27"/>
        <v>Error?</v>
      </c>
    </row>
    <row r="1818" spans="1:4" x14ac:dyDescent="0.2">
      <c r="A1818" s="5">
        <v>1757</v>
      </c>
      <c r="B1818" s="138">
        <f>'Tax Sched 23'!E14</f>
        <v>3084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1207998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2953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2953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19481</v>
      </c>
      <c r="D2008" s="2" t="str">
        <f t="shared" si="30"/>
        <v>Error?</v>
      </c>
    </row>
    <row r="2009" spans="1:4" x14ac:dyDescent="0.2">
      <c r="A2009" s="5">
        <v>1948</v>
      </c>
      <c r="B2009" s="138">
        <f>'Cap Outlay Deprec 26'!C8</f>
        <v>1054053</v>
      </c>
      <c r="D2009" s="2" t="str">
        <f t="shared" si="30"/>
        <v>Error?</v>
      </c>
    </row>
    <row r="2010" spans="1:4" x14ac:dyDescent="0.2">
      <c r="A2010" s="5">
        <v>1949</v>
      </c>
      <c r="B2010" s="138">
        <f>'Cap Outlay Deprec 26'!C10</f>
        <v>12044</v>
      </c>
      <c r="D2010" s="2" t="str">
        <f t="shared" si="30"/>
        <v>Error?</v>
      </c>
    </row>
    <row r="2011" spans="1:4" x14ac:dyDescent="0.2">
      <c r="A2011" s="5">
        <v>1950</v>
      </c>
      <c r="B2011" s="138">
        <f>'Cap Outlay Deprec 26'!C12</f>
        <v>512289</v>
      </c>
      <c r="D2011" s="2" t="str">
        <f t="shared" si="30"/>
        <v>Error?</v>
      </c>
    </row>
    <row r="2012" spans="1:4" x14ac:dyDescent="0.2">
      <c r="A2012" s="5">
        <v>1951</v>
      </c>
      <c r="B2012" s="138">
        <f>'Cap Outlay Deprec 26'!C13</f>
        <v>38983</v>
      </c>
      <c r="D2012" s="2" t="str">
        <f t="shared" si="30"/>
        <v>Error?</v>
      </c>
    </row>
    <row r="2013" spans="1:4" x14ac:dyDescent="0.2">
      <c r="A2013" s="5">
        <v>1952</v>
      </c>
      <c r="B2013" s="138">
        <f>'Cap Outlay Deprec 26'!C16</f>
        <v>1636850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10336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10336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19481</v>
      </c>
      <c r="C2026" s="2" t="s">
        <v>594</v>
      </c>
      <c r="D2026" s="2" t="str">
        <f t="shared" si="30"/>
        <v>Error?</v>
      </c>
    </row>
    <row r="2027" spans="1:4" x14ac:dyDescent="0.2">
      <c r="A2027" s="5">
        <v>1966</v>
      </c>
      <c r="B2027" s="138">
        <f>'Cap Outlay Deprec 26'!F8</f>
        <v>1054053</v>
      </c>
      <c r="C2027" s="2" t="s">
        <v>594</v>
      </c>
      <c r="D2027" s="2" t="str">
        <f t="shared" si="30"/>
        <v>Error?</v>
      </c>
    </row>
    <row r="2028" spans="1:4" x14ac:dyDescent="0.2">
      <c r="A2028" s="5">
        <v>1967</v>
      </c>
      <c r="B2028" s="138">
        <f>'Cap Outlay Deprec 26'!F10</f>
        <v>12044</v>
      </c>
      <c r="C2028" s="2" t="s">
        <v>594</v>
      </c>
      <c r="D2028" s="2" t="str">
        <f t="shared" si="30"/>
        <v>Error?</v>
      </c>
    </row>
    <row r="2029" spans="1:4" x14ac:dyDescent="0.2">
      <c r="A2029" s="5">
        <v>1968</v>
      </c>
      <c r="B2029" s="138">
        <f>'Cap Outlay Deprec 26'!F12</f>
        <v>522625</v>
      </c>
      <c r="C2029" s="2" t="s">
        <v>594</v>
      </c>
      <c r="D2029" s="2" t="str">
        <f t="shared" si="30"/>
        <v>Error?</v>
      </c>
    </row>
    <row r="2030" spans="1:4" x14ac:dyDescent="0.2">
      <c r="A2030" s="5">
        <v>1969</v>
      </c>
      <c r="B2030" s="138">
        <f>'Cap Outlay Deprec 26'!F13</f>
        <v>38983</v>
      </c>
      <c r="C2030" s="2" t="s">
        <v>594</v>
      </c>
      <c r="D2030" s="2" t="str">
        <f t="shared" si="30"/>
        <v>Error?</v>
      </c>
    </row>
    <row r="2031" spans="1:4" x14ac:dyDescent="0.2">
      <c r="A2031" s="5">
        <v>1970</v>
      </c>
      <c r="B2031" s="138">
        <f>'Cap Outlay Deprec 26'!F16</f>
        <v>1647186</v>
      </c>
      <c r="C2031" s="2" t="s">
        <v>594</v>
      </c>
      <c r="D2031" s="2" t="str">
        <f t="shared" si="30"/>
        <v>Error?</v>
      </c>
    </row>
    <row r="2032" spans="1:4" x14ac:dyDescent="0.2">
      <c r="A2032" s="10">
        <v>1971</v>
      </c>
      <c r="D2032" s="2" t="str">
        <f t="shared" si="30"/>
        <v>OK</v>
      </c>
    </row>
    <row r="2033" spans="1:4" x14ac:dyDescent="0.2">
      <c r="A2033" s="5">
        <v>1972</v>
      </c>
      <c r="B2033" s="138">
        <f>'Cap Outlay Deprec 26'!H8</f>
        <v>790781</v>
      </c>
      <c r="D2033" s="2" t="str">
        <f t="shared" si="30"/>
        <v>Error?</v>
      </c>
    </row>
    <row r="2034" spans="1:4" x14ac:dyDescent="0.2">
      <c r="A2034" s="5">
        <v>1973</v>
      </c>
      <c r="B2034" s="138">
        <f>'Cap Outlay Deprec 26'!H10</f>
        <v>12044</v>
      </c>
      <c r="D2034" s="2" t="str">
        <f t="shared" si="30"/>
        <v>Error?</v>
      </c>
    </row>
    <row r="2035" spans="1:4" x14ac:dyDescent="0.2">
      <c r="A2035" s="5">
        <v>1974</v>
      </c>
      <c r="B2035" s="138">
        <f>'Cap Outlay Deprec 26'!H12</f>
        <v>481023</v>
      </c>
      <c r="D2035" s="2" t="str">
        <f t="shared" si="30"/>
        <v>Error?</v>
      </c>
    </row>
    <row r="2036" spans="1:4" x14ac:dyDescent="0.2">
      <c r="A2036" s="5">
        <v>1975</v>
      </c>
      <c r="B2036" s="138">
        <f>'Cap Outlay Deprec 26'!H13</f>
        <v>38983</v>
      </c>
      <c r="D2036" s="2" t="str">
        <f t="shared" si="30"/>
        <v>Error?</v>
      </c>
    </row>
    <row r="2037" spans="1:4" x14ac:dyDescent="0.2">
      <c r="A2037" s="5">
        <v>1976</v>
      </c>
      <c r="B2037" s="138">
        <f>'Cap Outlay Deprec 26'!H16</f>
        <v>1322831</v>
      </c>
      <c r="C2037" s="2" t="s">
        <v>594</v>
      </c>
      <c r="D2037" s="2" t="str">
        <f t="shared" si="30"/>
        <v>Error?</v>
      </c>
    </row>
    <row r="2038" spans="1:4" x14ac:dyDescent="0.2">
      <c r="A2038" s="10">
        <v>1977</v>
      </c>
      <c r="D2038" s="2" t="str">
        <f t="shared" si="30"/>
        <v>OK</v>
      </c>
    </row>
    <row r="2039" spans="1:4" x14ac:dyDescent="0.2">
      <c r="A2039" s="5">
        <v>1978</v>
      </c>
      <c r="B2039" s="138">
        <f>'Cap Outlay Deprec 26'!I8</f>
        <v>21081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24535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811862</v>
      </c>
      <c r="C2051" s="2" t="s">
        <v>594</v>
      </c>
      <c r="D2051" s="2" t="str">
        <f t="shared" si="31"/>
        <v>Error?</v>
      </c>
    </row>
    <row r="2052" spans="1:4" x14ac:dyDescent="0.2">
      <c r="A2052" s="5">
        <v>1991</v>
      </c>
      <c r="B2052" s="138">
        <f>'Cap Outlay Deprec 26'!K10</f>
        <v>12044</v>
      </c>
      <c r="C2052" s="2" t="s">
        <v>594</v>
      </c>
      <c r="D2052" s="2" t="str">
        <f t="shared" si="31"/>
        <v>Error?</v>
      </c>
    </row>
    <row r="2053" spans="1:4" x14ac:dyDescent="0.2">
      <c r="A2053" s="5">
        <v>1992</v>
      </c>
      <c r="B2053" s="138">
        <f>'Cap Outlay Deprec 26'!K12</f>
        <v>484477</v>
      </c>
      <c r="C2053" s="2" t="s">
        <v>594</v>
      </c>
      <c r="D2053" s="2" t="str">
        <f t="shared" si="31"/>
        <v>Error?</v>
      </c>
    </row>
    <row r="2054" spans="1:4" x14ac:dyDescent="0.2">
      <c r="A2054" s="5">
        <v>1993</v>
      </c>
      <c r="B2054" s="138">
        <f>'Cap Outlay Deprec 26'!K13</f>
        <v>38983</v>
      </c>
      <c r="C2054" s="2" t="s">
        <v>594</v>
      </c>
      <c r="D2054" s="2" t="str">
        <f t="shared" si="31"/>
        <v>Error?</v>
      </c>
    </row>
    <row r="2055" spans="1:4" x14ac:dyDescent="0.2">
      <c r="A2055" s="5">
        <v>1994</v>
      </c>
      <c r="B2055" s="138">
        <f>'Cap Outlay Deprec 26'!K16</f>
        <v>1347366</v>
      </c>
      <c r="C2055" s="2" t="s">
        <v>594</v>
      </c>
      <c r="D2055" s="2" t="str">
        <f t="shared" si="31"/>
        <v>Error?</v>
      </c>
    </row>
    <row r="2056" spans="1:4" x14ac:dyDescent="0.2">
      <c r="A2056" s="5">
        <v>1995</v>
      </c>
      <c r="B2056" s="138">
        <f>'Cap Outlay Deprec 26'!L5</f>
        <v>19481</v>
      </c>
      <c r="C2056" s="2" t="s">
        <v>594</v>
      </c>
      <c r="D2056" s="2" t="str">
        <f t="shared" si="31"/>
        <v>Error?</v>
      </c>
    </row>
    <row r="2057" spans="1:4" x14ac:dyDescent="0.2">
      <c r="A2057" s="5">
        <v>1996</v>
      </c>
      <c r="B2057" s="138">
        <f>'Cap Outlay Deprec 26'!L8</f>
        <v>242191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38148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299820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179057</v>
      </c>
      <c r="C2088" s="2" t="s">
        <v>594</v>
      </c>
      <c r="D2088" s="2" t="str">
        <f t="shared" si="31"/>
        <v>Error?</v>
      </c>
    </row>
    <row r="2089" spans="1:4" x14ac:dyDescent="0.2">
      <c r="A2089" s="5">
        <v>2028</v>
      </c>
      <c r="B2089" s="138">
        <f>'Expenditures 15-22'!K92</f>
        <v>8088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10440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993988</v>
      </c>
      <c r="C2551" s="2" t="s">
        <v>594</v>
      </c>
      <c r="D2551" s="2" t="str">
        <f t="shared" si="38"/>
        <v>Error?</v>
      </c>
    </row>
    <row r="2552" spans="1:4" x14ac:dyDescent="0.2">
      <c r="A2552" s="10">
        <v>2491</v>
      </c>
      <c r="D2552" s="2" t="str">
        <f t="shared" si="38"/>
        <v>OK</v>
      </c>
    </row>
    <row r="2553" spans="1:4" x14ac:dyDescent="0.2">
      <c r="A2553" s="5">
        <v>2492</v>
      </c>
      <c r="B2553" s="138">
        <f>'Acct Summary 7-8'!C6</f>
        <v>214440</v>
      </c>
      <c r="C2553" s="2" t="s">
        <v>594</v>
      </c>
      <c r="D2553" s="2" t="str">
        <f t="shared" si="38"/>
        <v>Error?</v>
      </c>
    </row>
    <row r="2554" spans="1:4" x14ac:dyDescent="0.2">
      <c r="A2554" s="5">
        <v>2493</v>
      </c>
      <c r="B2554" s="138">
        <f>'Acct Summary 7-8'!C7</f>
        <v>152163</v>
      </c>
      <c r="C2554" s="2" t="s">
        <v>594</v>
      </c>
      <c r="D2554" s="2" t="str">
        <f t="shared" si="38"/>
        <v>Error?</v>
      </c>
    </row>
    <row r="2555" spans="1:4" x14ac:dyDescent="0.2">
      <c r="A2555" s="5">
        <v>2494</v>
      </c>
      <c r="B2555" s="138">
        <f>'Acct Summary 7-8'!C8</f>
        <v>1360591</v>
      </c>
      <c r="C2555" s="2" t="s">
        <v>594</v>
      </c>
      <c r="D2555" s="2" t="str">
        <f t="shared" si="38"/>
        <v>Error?</v>
      </c>
    </row>
    <row r="2556" spans="1:4" x14ac:dyDescent="0.2">
      <c r="A2556" s="5">
        <v>2495</v>
      </c>
      <c r="B2556" s="138">
        <f>'Acct Summary 7-8'!C12</f>
        <v>708992</v>
      </c>
      <c r="C2556" s="2" t="s">
        <v>594</v>
      </c>
      <c r="D2556" s="2" t="str">
        <f t="shared" si="38"/>
        <v>Error?</v>
      </c>
    </row>
    <row r="2557" spans="1:4" x14ac:dyDescent="0.2">
      <c r="A2557" s="5">
        <v>2496</v>
      </c>
      <c r="B2557" s="138">
        <f>'Acct Summary 7-8'!C13</f>
        <v>399304</v>
      </c>
      <c r="C2557" s="2" t="s">
        <v>594</v>
      </c>
      <c r="D2557" s="2" t="str">
        <f t="shared" si="38"/>
        <v>Error?</v>
      </c>
    </row>
    <row r="2558" spans="1:4" x14ac:dyDescent="0.2">
      <c r="A2558" s="5">
        <v>2497</v>
      </c>
      <c r="B2558" s="138">
        <f>'Acct Summary 7-8'!C14</f>
        <v>532</v>
      </c>
      <c r="C2558" s="2" t="s">
        <v>594</v>
      </c>
      <c r="D2558" s="2" t="str">
        <f t="shared" si="38"/>
        <v>Error?</v>
      </c>
    </row>
    <row r="2559" spans="1:4" x14ac:dyDescent="0.2">
      <c r="A2559" s="5">
        <v>2498</v>
      </c>
      <c r="B2559" s="138">
        <f>'Acct Summary 7-8'!C15</f>
        <v>187145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1295973</v>
      </c>
      <c r="C2561" s="2" t="s">
        <v>594</v>
      </c>
      <c r="D2561" s="2" t="str">
        <f t="shared" si="39"/>
        <v>Error?</v>
      </c>
    </row>
    <row r="2562" spans="1:4" x14ac:dyDescent="0.2">
      <c r="A2562" s="5">
        <v>2501</v>
      </c>
      <c r="B2562" s="138">
        <f>'Acct Summary 7-8'!C20</f>
        <v>64618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162973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162973</v>
      </c>
      <c r="C2568" s="2" t="s">
        <v>594</v>
      </c>
      <c r="D2568" s="2" t="str">
        <f t="shared" si="39"/>
        <v>Error?</v>
      </c>
    </row>
    <row r="2569" spans="1:4" x14ac:dyDescent="0.2">
      <c r="A2569" s="5">
        <v>2508</v>
      </c>
      <c r="B2569" s="138">
        <f>'Acct Summary 7-8'!D13</f>
        <v>125930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125930</v>
      </c>
      <c r="C2573" s="2" t="s">
        <v>594</v>
      </c>
      <c r="D2573" s="2" t="str">
        <f t="shared" si="39"/>
        <v>Error?</v>
      </c>
    </row>
    <row r="2574" spans="1:4" x14ac:dyDescent="0.2">
      <c r="A2574" s="5">
        <v>2513</v>
      </c>
      <c r="B2574" s="138">
        <f>'Acct Summary 7-8'!D20</f>
        <v>37043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14717</v>
      </c>
      <c r="C2591" s="2" t="s">
        <v>594</v>
      </c>
      <c r="D2591" s="2" t="str">
        <f t="shared" si="39"/>
        <v>Error?</v>
      </c>
    </row>
    <row r="2592" spans="1:4" x14ac:dyDescent="0.2">
      <c r="A2592" s="10">
        <v>2531</v>
      </c>
      <c r="D2592" s="2" t="str">
        <f t="shared" si="39"/>
        <v>OK</v>
      </c>
    </row>
    <row r="2593" spans="1:4" x14ac:dyDescent="0.2">
      <c r="A2593" s="5">
        <v>2532</v>
      </c>
      <c r="B2593" s="138">
        <f>'Acct Summary 7-8'!F6</f>
        <v>62320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77037</v>
      </c>
      <c r="C2595" s="2" t="s">
        <v>594</v>
      </c>
      <c r="D2595" s="2" t="str">
        <f t="shared" si="39"/>
        <v>Error?</v>
      </c>
    </row>
    <row r="2596" spans="1:4" x14ac:dyDescent="0.2">
      <c r="A2596" s="5">
        <v>2535</v>
      </c>
      <c r="B2596" s="138">
        <f>'Acct Summary 7-8'!F13</f>
        <v>60272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27822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88094</v>
      </c>
      <c r="C2600" s="2" t="s">
        <v>594</v>
      </c>
      <c r="D2600" s="2" t="str">
        <f t="shared" si="39"/>
        <v>Error?</v>
      </c>
    </row>
    <row r="2601" spans="1:4" x14ac:dyDescent="0.2">
      <c r="A2601" s="5">
        <v>2540</v>
      </c>
      <c r="B2601" s="138">
        <f>'Acct Summary 7-8'!F20</f>
        <v>-11057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39548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39548</v>
      </c>
      <c r="C2606" s="2" t="s">
        <v>594</v>
      </c>
      <c r="D2606" s="2" t="str">
        <f t="shared" si="39"/>
        <v>Error?</v>
      </c>
    </row>
    <row r="2607" spans="1:4" x14ac:dyDescent="0.2">
      <c r="A2607" s="5">
        <v>2546</v>
      </c>
      <c r="B2607" s="138">
        <f>'Acct Summary 7-8'!G12</f>
        <v>10912</v>
      </c>
      <c r="C2607" s="2" t="s">
        <v>594</v>
      </c>
      <c r="D2607" s="2" t="str">
        <f t="shared" si="39"/>
        <v>Error?</v>
      </c>
    </row>
    <row r="2608" spans="1:4" x14ac:dyDescent="0.2">
      <c r="A2608" s="5">
        <v>2547</v>
      </c>
      <c r="B2608" s="138">
        <f>'Acct Summary 7-8'!G13</f>
        <v>23863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34775</v>
      </c>
      <c r="C2612" s="2" t="s">
        <v>594</v>
      </c>
      <c r="D2612" s="2" t="str">
        <f t="shared" si="39"/>
        <v>Error?</v>
      </c>
    </row>
    <row r="2613" spans="1:4" x14ac:dyDescent="0.2">
      <c r="A2613" s="5">
        <v>2552</v>
      </c>
      <c r="B2613" s="138">
        <f>'Acct Summary 7-8'!G20</f>
        <v>4773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68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179057</v>
      </c>
      <c r="C2789" s="2" t="s">
        <v>594</v>
      </c>
      <c r="D2789" s="2" t="str">
        <f t="shared" si="42"/>
        <v>Error?</v>
      </c>
    </row>
    <row r="2790" spans="1:4" x14ac:dyDescent="0.2">
      <c r="A2790" s="5">
        <v>2729</v>
      </c>
      <c r="B2790" s="138">
        <f>'Expenditures 15-22'!E102</f>
        <v>179057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27822</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27822</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27822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300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4151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27936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4151</v>
      </c>
      <c r="D2912" s="2" t="str">
        <f t="shared" si="44"/>
        <v>Error?</v>
      </c>
    </row>
    <row r="2913" spans="1:4" x14ac:dyDescent="0.2">
      <c r="A2913" s="5">
        <v>2852</v>
      </c>
      <c r="B2913" s="138">
        <f>'Assets-Liab 5-6'!I41</f>
        <v>4151</v>
      </c>
      <c r="C2913" s="2" t="s">
        <v>594</v>
      </c>
      <c r="D2913" s="2" t="str">
        <f t="shared" si="44"/>
        <v>Error?</v>
      </c>
    </row>
    <row r="2914" spans="1:4" x14ac:dyDescent="0.2">
      <c r="A2914" s="5">
        <v>2853</v>
      </c>
      <c r="B2914" s="138">
        <f>'Assets-Liab 5-6'!L33</f>
        <v>27936</v>
      </c>
      <c r="D2914" s="2" t="str">
        <f t="shared" si="44"/>
        <v>Error?</v>
      </c>
    </row>
    <row r="2915" spans="1:4" x14ac:dyDescent="0.2">
      <c r="A2915" s="10">
        <v>2854</v>
      </c>
      <c r="D2915" s="2" t="str">
        <f t="shared" si="44"/>
        <v>OK</v>
      </c>
    </row>
    <row r="2916" spans="1:4" x14ac:dyDescent="0.2">
      <c r="A2916" s="5">
        <v>2855</v>
      </c>
      <c r="B2916" s="138">
        <f>'Assets-Liab 5-6'!L34</f>
        <v>27936</v>
      </c>
      <c r="C2916" s="2" t="s">
        <v>594</v>
      </c>
      <c r="D2916" s="2" t="str">
        <f t="shared" si="44"/>
        <v>Error?</v>
      </c>
    </row>
    <row r="2917" spans="1:4" x14ac:dyDescent="0.2">
      <c r="A2917" s="5">
        <v>2856</v>
      </c>
      <c r="B2917" s="138">
        <f>'Assets-Liab 5-6'!L41</f>
        <v>27936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179057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179057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27822</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27822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37621</v>
      </c>
      <c r="D3055" s="2" t="str">
        <f t="shared" si="46"/>
        <v>Error?</v>
      </c>
    </row>
    <row r="3056" spans="1:4" x14ac:dyDescent="0.2">
      <c r="A3056" s="5">
        <v>2995</v>
      </c>
      <c r="B3056" s="138">
        <f>'Expenditures 15-22'!D10</f>
        <v>9564</v>
      </c>
      <c r="D3056" s="2" t="str">
        <f t="shared" si="46"/>
        <v>Error?</v>
      </c>
    </row>
    <row r="3057" spans="1:4" x14ac:dyDescent="0.2">
      <c r="A3057" s="5">
        <v>2996</v>
      </c>
      <c r="B3057" s="138">
        <f>'Expenditures 15-22'!E10</f>
        <v>1460</v>
      </c>
      <c r="D3057" s="2" t="str">
        <f t="shared" si="46"/>
        <v>Error?</v>
      </c>
    </row>
    <row r="3058" spans="1:4" x14ac:dyDescent="0.2">
      <c r="A3058" s="5">
        <v>2997</v>
      </c>
      <c r="B3058" s="138">
        <f>'Expenditures 15-22'!F10</f>
        <v>4963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53608</v>
      </c>
      <c r="C3062" s="2" t="s">
        <v>594</v>
      </c>
      <c r="D3062" s="2" t="str">
        <f t="shared" si="46"/>
        <v>Error?</v>
      </c>
    </row>
    <row r="3063" spans="1:4" x14ac:dyDescent="0.2">
      <c r="A3063" s="10">
        <v>3002</v>
      </c>
      <c r="D3063" s="2" t="str">
        <f t="shared" si="46"/>
        <v>OK</v>
      </c>
    </row>
    <row r="3064" spans="1:4" x14ac:dyDescent="0.2">
      <c r="A3064" s="5">
        <v>3003</v>
      </c>
      <c r="B3064" s="138">
        <f>'Expenditures 15-22'!D219</f>
        <v>537</v>
      </c>
      <c r="D3064" s="2" t="str">
        <f t="shared" si="46"/>
        <v>Error?</v>
      </c>
    </row>
    <row r="3065" spans="1:4" x14ac:dyDescent="0.2">
      <c r="A3065" s="5">
        <v>3004</v>
      </c>
      <c r="B3065" s="138">
        <f>'Expenditures 15-22'!K219</f>
        <v>537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1338</v>
      </c>
      <c r="C3225" s="2" t="s">
        <v>594</v>
      </c>
      <c r="D3225" s="2" t="str">
        <f t="shared" si="49"/>
        <v>Error?</v>
      </c>
    </row>
    <row r="3226" spans="1:4" x14ac:dyDescent="0.2">
      <c r="A3226" s="5">
        <v>3165</v>
      </c>
      <c r="B3226" s="138">
        <f>'Acct Summary 7-8'!I8</f>
        <v>1338</v>
      </c>
      <c r="C3226" s="2" t="s">
        <v>594</v>
      </c>
      <c r="D3226" s="2" t="str">
        <f t="shared" si="49"/>
        <v>Error?</v>
      </c>
    </row>
    <row r="3227" spans="1:4" x14ac:dyDescent="0.2">
      <c r="A3227" s="5">
        <v>3166</v>
      </c>
      <c r="B3227" s="138">
        <f>'Acct Summary 7-8'!I20</f>
        <v>1338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64618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200000</v>
      </c>
      <c r="C3238" s="2" t="s">
        <v>594</v>
      </c>
      <c r="D3238" s="2" t="str">
        <f t="shared" si="49"/>
        <v>Error?</v>
      </c>
    </row>
    <row r="3239" spans="1:4" x14ac:dyDescent="0.2">
      <c r="A3239" s="5">
        <v>3178</v>
      </c>
      <c r="B3239" s="138">
        <f>'Acct Summary 7-8'!D78</f>
        <v>237043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200000</v>
      </c>
      <c r="C3254" s="2" t="s">
        <v>594</v>
      </c>
      <c r="D3254" s="2" t="str">
        <f t="shared" si="49"/>
        <v>Error?</v>
      </c>
    </row>
    <row r="3255" spans="1:4" x14ac:dyDescent="0.2">
      <c r="A3255" s="5">
        <v>3194</v>
      </c>
      <c r="B3255" s="138">
        <f>'Acct Summary 7-8'!F77</f>
        <v>-200000</v>
      </c>
      <c r="C3255" s="2" t="s">
        <v>594</v>
      </c>
      <c r="D3255" s="2" t="str">
        <f t="shared" si="49"/>
        <v>Error?</v>
      </c>
    </row>
    <row r="3256" spans="1:4" x14ac:dyDescent="0.2">
      <c r="A3256" s="5">
        <v>3195</v>
      </c>
      <c r="B3256" s="138">
        <f>'Acct Summary 7-8'!F78</f>
        <v>-211057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4773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23139</v>
      </c>
      <c r="D3275" s="2" t="str">
        <f t="shared" si="50"/>
        <v>Error?</v>
      </c>
    </row>
    <row r="3276" spans="1:4" x14ac:dyDescent="0.2">
      <c r="A3276" s="5">
        <v>3215</v>
      </c>
      <c r="B3276" s="138">
        <f>'Acct Summary 7-8'!E76</f>
        <v>23139</v>
      </c>
      <c r="C3276" s="2" t="s">
        <v>594</v>
      </c>
      <c r="D3276" s="2" t="str">
        <f t="shared" si="50"/>
        <v>Error?</v>
      </c>
    </row>
    <row r="3277" spans="1:4" x14ac:dyDescent="0.2">
      <c r="A3277" s="5">
        <v>3216</v>
      </c>
      <c r="B3277" s="138">
        <f>'Acct Summary 7-8'!E77</f>
        <v>-23139</v>
      </c>
      <c r="C3277" s="2" t="s">
        <v>594</v>
      </c>
      <c r="D3277" s="2" t="str">
        <f t="shared" si="50"/>
        <v>Error?</v>
      </c>
    </row>
    <row r="3278" spans="1:4" x14ac:dyDescent="0.2">
      <c r="A3278" s="5">
        <v>3217</v>
      </c>
      <c r="B3278" s="138">
        <f>'Acct Summary 7-8'!E78</f>
        <v>-23071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1338</v>
      </c>
      <c r="C3320" s="2" t="s">
        <v>594</v>
      </c>
      <c r="D3320" s="2" t="str">
        <f t="shared" si="50"/>
        <v>Error?</v>
      </c>
    </row>
    <row r="3321" spans="1:4" x14ac:dyDescent="0.2">
      <c r="A3321" s="5">
        <v>3260</v>
      </c>
      <c r="B3321" s="138">
        <f>'Acct Summary 7-8'!I79</f>
        <v>2813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4151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57272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11609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69126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6211</v>
      </c>
      <c r="D3387" s="2" t="str">
        <f t="shared" si="51"/>
        <v>Error?</v>
      </c>
    </row>
    <row r="3388" spans="1:4" x14ac:dyDescent="0.2">
      <c r="A3388" s="5">
        <v>3327</v>
      </c>
      <c r="B3388" s="138">
        <f>'Expenditures 15-22'!D217</f>
        <v>4078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6211</v>
      </c>
      <c r="C3390" s="2" t="s">
        <v>594</v>
      </c>
      <c r="D3390" s="2" t="str">
        <f t="shared" si="51"/>
        <v>Error?</v>
      </c>
    </row>
    <row r="3391" spans="1:4" x14ac:dyDescent="0.2">
      <c r="A3391" s="5">
        <v>3330</v>
      </c>
      <c r="B3391" s="138">
        <f>'Expenditures 15-22'!K217</f>
        <v>4078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959550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340549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v>
      </c>
      <c r="D3417" s="2" t="str">
        <f t="shared" si="52"/>
        <v>Error?</v>
      </c>
    </row>
    <row r="3418" spans="1:4" x14ac:dyDescent="0.2">
      <c r="A3418" s="10">
        <v>3357</v>
      </c>
      <c r="D3418" s="2" t="str">
        <f t="shared" si="52"/>
        <v>OK</v>
      </c>
    </row>
    <row r="3419" spans="1:4" x14ac:dyDescent="0.2">
      <c r="A3419" s="5">
        <v>3358</v>
      </c>
      <c r="B3419" s="138">
        <f>'Assets-Liab 5-6'!F4</f>
        <v>186054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37353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4151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27936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19764</v>
      </c>
      <c r="C3446" s="2" t="s">
        <v>594</v>
      </c>
      <c r="D3446" s="2" t="str">
        <f t="shared" si="52"/>
        <v>Error?</v>
      </c>
    </row>
    <row r="3447" spans="1:4" x14ac:dyDescent="0.2">
      <c r="A3447" s="5">
        <v>3386</v>
      </c>
      <c r="B3447" s="138">
        <f>'Tax Sched 23'!D16</f>
        <v>3918</v>
      </c>
      <c r="C3447" s="2" t="s">
        <v>594</v>
      </c>
      <c r="D3447" s="2" t="str">
        <f t="shared" si="52"/>
        <v>Error?</v>
      </c>
    </row>
    <row r="3448" spans="1:4" x14ac:dyDescent="0.2">
      <c r="A3448" s="5">
        <v>3387</v>
      </c>
      <c r="B3448" s="138">
        <f>'Tax Sched 23'!C16</f>
        <v>15846</v>
      </c>
      <c r="D3448" s="2" t="str">
        <f t="shared" si="52"/>
        <v>Error?</v>
      </c>
    </row>
    <row r="3449" spans="1:4" x14ac:dyDescent="0.2">
      <c r="A3449" s="5">
        <v>3388</v>
      </c>
      <c r="B3449" s="138">
        <f>'Tax Sched 23'!F16</f>
        <v>13819</v>
      </c>
      <c r="C3449" s="2" t="s">
        <v>594</v>
      </c>
      <c r="D3449" s="2" t="str">
        <f t="shared" si="52"/>
        <v>Error?</v>
      </c>
    </row>
    <row r="3450" spans="1:4" x14ac:dyDescent="0.2">
      <c r="A3450" s="5">
        <v>3389</v>
      </c>
      <c r="B3450" s="138">
        <f>'Tax Sched 23'!E16</f>
        <v>29665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34062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34062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34062</v>
      </c>
      <c r="D3567" s="2" t="str">
        <f t="shared" si="54"/>
        <v>Error?</v>
      </c>
    </row>
    <row r="3568" spans="1:4" x14ac:dyDescent="0.2">
      <c r="A3568" s="5">
        <v>3507</v>
      </c>
      <c r="B3568" s="138">
        <f>'Assets-Liab 5-6'!K41</f>
        <v>34062</v>
      </c>
      <c r="C3568" s="2" t="s">
        <v>594</v>
      </c>
      <c r="D3568" s="2" t="str">
        <f t="shared" si="54"/>
        <v>Error?</v>
      </c>
    </row>
    <row r="3569" spans="1:4" x14ac:dyDescent="0.2">
      <c r="A3569" s="5">
        <v>3508</v>
      </c>
      <c r="B3569" s="138">
        <f>'Acct Summary 7-8'!K4</f>
        <v>5647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5647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5647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23139</v>
      </c>
      <c r="D3583" s="2" t="str">
        <f t="shared" ref="D3583:D3646" si="55">IF(ISBLANK(B3583),"OK",IF(A3583-B3583=0,"OK","Error?"))</f>
        <v>Error?</v>
      </c>
    </row>
    <row r="3584" spans="1:4" x14ac:dyDescent="0.2">
      <c r="A3584" s="5">
        <v>3523</v>
      </c>
      <c r="B3584" s="138">
        <f>'Acct Summary 7-8'!K44</f>
        <v>23139</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23139</v>
      </c>
      <c r="C3587" s="2" t="s">
        <v>594</v>
      </c>
      <c r="D3587" s="2" t="str">
        <f t="shared" si="55"/>
        <v>Error?</v>
      </c>
    </row>
    <row r="3588" spans="1:4" x14ac:dyDescent="0.2">
      <c r="A3588" s="5">
        <v>3527</v>
      </c>
      <c r="B3588" s="138">
        <f>'Acct Summary 7-8'!K78</f>
        <v>28786</v>
      </c>
      <c r="C3588" s="2" t="s">
        <v>594</v>
      </c>
      <c r="D3588" s="2" t="str">
        <f t="shared" si="55"/>
        <v>Error?</v>
      </c>
    </row>
    <row r="3589" spans="1:4" x14ac:dyDescent="0.2">
      <c r="A3589" s="5">
        <v>3528</v>
      </c>
      <c r="B3589" s="138">
        <f>'Acct Summary 7-8'!K79</f>
        <v>5276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34062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5647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13896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73589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1434180</v>
      </c>
      <c r="C4122" s="2" t="s">
        <v>594</v>
      </c>
      <c r="D4122" s="2" t="str">
        <f t="shared" si="63"/>
        <v>Error?</v>
      </c>
    </row>
    <row r="4123" spans="1:4" x14ac:dyDescent="0.2">
      <c r="A4123" s="5">
        <v>4062</v>
      </c>
      <c r="B4123" s="138">
        <f>'Acct Summary 7-8'!D10</f>
        <v>162973</v>
      </c>
      <c r="C4123" s="2" t="s">
        <v>594</v>
      </c>
      <c r="D4123" s="2" t="str">
        <f t="shared" si="63"/>
        <v>Error?</v>
      </c>
    </row>
    <row r="4124" spans="1:4" x14ac:dyDescent="0.2">
      <c r="A4124" s="5">
        <v>4063</v>
      </c>
      <c r="B4124" s="138">
        <f>'Acct Summary 7-8'!E10</f>
        <v>68</v>
      </c>
      <c r="C4124" s="2" t="s">
        <v>594</v>
      </c>
      <c r="D4124" s="2" t="str">
        <f t="shared" si="63"/>
        <v>Error?</v>
      </c>
    </row>
    <row r="4125" spans="1:4" x14ac:dyDescent="0.2">
      <c r="A4125" s="5">
        <v>4064</v>
      </c>
      <c r="B4125" s="138">
        <f>'Acct Summary 7-8'!F10</f>
        <v>77037</v>
      </c>
      <c r="C4125" s="2" t="s">
        <v>594</v>
      </c>
      <c r="D4125" s="2" t="str">
        <f t="shared" si="63"/>
        <v>Error?</v>
      </c>
    </row>
    <row r="4126" spans="1:4" x14ac:dyDescent="0.2">
      <c r="A4126" s="5">
        <v>4065</v>
      </c>
      <c r="B4126" s="138">
        <f>'Acct Summary 7-8'!G10</f>
        <v>39548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1338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5647</v>
      </c>
      <c r="C4130" s="2" t="s">
        <v>594</v>
      </c>
      <c r="D4130" s="2" t="str">
        <f t="shared" si="63"/>
        <v>Error?</v>
      </c>
    </row>
    <row r="4131" spans="1:4" x14ac:dyDescent="0.2">
      <c r="A4131" s="5">
        <v>4070</v>
      </c>
      <c r="B4131" s="138">
        <f>'Acct Summary 7-8'!C18</f>
        <v>73589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1369562</v>
      </c>
      <c r="C4136" s="2" t="s">
        <v>594</v>
      </c>
      <c r="D4136" s="2" t="str">
        <f t="shared" si="63"/>
        <v>Error?</v>
      </c>
    </row>
    <row r="4137" spans="1:4" x14ac:dyDescent="0.2">
      <c r="A4137" s="5">
        <v>4076</v>
      </c>
      <c r="B4137" s="138">
        <f>'Acct Summary 7-8'!D19</f>
        <v>125930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88094</v>
      </c>
      <c r="C4139" s="2" t="s">
        <v>594</v>
      </c>
      <c r="D4139" s="2" t="str">
        <f t="shared" si="63"/>
        <v>Error?</v>
      </c>
    </row>
    <row r="4140" spans="1:4" x14ac:dyDescent="0.2">
      <c r="A4140" s="5">
        <v>4079</v>
      </c>
      <c r="B4140" s="138">
        <f>'Acct Summary 7-8'!G19</f>
        <v>34775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4226</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3031.1</v>
      </c>
      <c r="C4265" s="2" t="s">
        <v>594</v>
      </c>
      <c r="D4265" s="2" t="str">
        <f t="shared" si="65"/>
        <v>Error?</v>
      </c>
      <c r="E4265" s="128"/>
    </row>
    <row r="4266" spans="1:5" x14ac:dyDescent="0.2">
      <c r="A4266" s="12">
        <v>4205</v>
      </c>
      <c r="B4266" s="138">
        <f>('FP Info 3'!F10)*100000</f>
        <v>545.4</v>
      </c>
      <c r="C4266" s="2" t="s">
        <v>594</v>
      </c>
      <c r="D4266" s="2" t="str">
        <f t="shared" si="65"/>
        <v>Error?</v>
      </c>
      <c r="E4266" s="128"/>
    </row>
    <row r="4267" spans="1:5" x14ac:dyDescent="0.2">
      <c r="A4267" s="12">
        <v>4206</v>
      </c>
      <c r="B4267" s="138">
        <f>('FP Info 3'!H10)*100000</f>
        <v>39.700000000000003</v>
      </c>
      <c r="C4267" s="2" t="s">
        <v>594</v>
      </c>
      <c r="D4267" s="2" t="str">
        <f t="shared" si="65"/>
        <v>Error?</v>
      </c>
      <c r="E4267" s="128"/>
    </row>
    <row r="4268" spans="1:5" x14ac:dyDescent="0.2">
      <c r="A4268" s="12">
        <v>4207</v>
      </c>
      <c r="B4268" s="138">
        <f>('FP Info 3'!J10)*100000</f>
        <v>3615.9999999999995</v>
      </c>
      <c r="C4268" s="2" t="s">
        <v>594</v>
      </c>
      <c r="D4268" s="2" t="str">
        <f t="shared" si="65"/>
        <v>Error?</v>
      </c>
    </row>
    <row r="4269" spans="1:5" x14ac:dyDescent="0.2">
      <c r="A4269" s="12">
        <v>4208</v>
      </c>
      <c r="B4269" s="138">
        <f>'FP Info 3'!J16</f>
        <v>1489994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612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6432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6597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3285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428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18459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30836722</v>
      </c>
      <c r="D4995" s="2" t="str">
        <f t="shared" si="77"/>
        <v>Error?</v>
      </c>
    </row>
    <row r="4996" spans="1:4" x14ac:dyDescent="0.2">
      <c r="A4996" s="12">
        <v>4935</v>
      </c>
      <c r="B4996" s="138">
        <f>'FP Info 3'!H31</f>
        <v>2127733.818</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930771</v>
      </c>
      <c r="D5061" s="2" t="str">
        <f t="shared" si="78"/>
        <v>Error?</v>
      </c>
    </row>
    <row r="5062" spans="1:4" x14ac:dyDescent="0.2">
      <c r="A5062" s="10">
        <v>5001</v>
      </c>
      <c r="D5062" s="2" t="str">
        <f t="shared" si="78"/>
        <v>OK</v>
      </c>
    </row>
    <row r="5063" spans="1:4" x14ac:dyDescent="0.2">
      <c r="A5063" s="5">
        <v>5002</v>
      </c>
      <c r="B5063" s="138">
        <f>'Revenues 9-14'!C7</f>
        <v>2953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933724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17127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17127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9566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9566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1775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19823</v>
      </c>
      <c r="C5096" s="2" t="s">
        <v>594</v>
      </c>
      <c r="D5096" s="2" t="str">
        <f t="shared" si="78"/>
        <v>Error?</v>
      </c>
    </row>
    <row r="5097" spans="1:4" x14ac:dyDescent="0.2">
      <c r="A5097" s="5">
        <v>5036</v>
      </c>
      <c r="B5097" s="138">
        <f>'Revenues 9-14'!C77</f>
        <v>5429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8299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13728</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v>
      </c>
      <c r="D5119" s="2" t="str">
        <f t="shared" ref="D5119:D5182" si="79">IF(ISBLANK(B5119),"OK",IF(A5119-B5119=0,"OK","Error?"))</f>
        <v>Error?</v>
      </c>
    </row>
    <row r="5120" spans="1:4" x14ac:dyDescent="0.2">
      <c r="A5120" s="5">
        <v>5059</v>
      </c>
      <c r="B5120" s="138">
        <f>'Revenues 9-14'!C108</f>
        <v>20</v>
      </c>
      <c r="C5120" s="2" t="s">
        <v>594</v>
      </c>
      <c r="D5120" s="2" t="str">
        <f t="shared" si="79"/>
        <v>Error?</v>
      </c>
    </row>
    <row r="5121" spans="1:4" x14ac:dyDescent="0.2">
      <c r="A5121" s="5">
        <v>5060</v>
      </c>
      <c r="B5121" s="138">
        <f>'Revenues 9-14'!C109</f>
        <v>993988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110630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110630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7898</v>
      </c>
      <c r="D5134" s="2" t="str">
        <f t="shared" si="79"/>
        <v>Error?</v>
      </c>
    </row>
    <row r="5135" spans="1:4" x14ac:dyDescent="0.2">
      <c r="A5135" s="5">
        <v>5074</v>
      </c>
      <c r="B5135" s="138">
        <f>'Revenues 9-14'!C126</f>
        <v>8797</v>
      </c>
      <c r="D5135" s="2" t="str">
        <f t="shared" si="79"/>
        <v>Error?</v>
      </c>
    </row>
    <row r="5136" spans="1:4" x14ac:dyDescent="0.2">
      <c r="A5136" s="10">
        <v>5075</v>
      </c>
      <c r="D5136" s="2" t="str">
        <f t="shared" si="79"/>
        <v>OK</v>
      </c>
    </row>
    <row r="5137" spans="1:4" x14ac:dyDescent="0.2">
      <c r="A5137" s="5">
        <v>5076</v>
      </c>
      <c r="B5137" s="138">
        <f>'Revenues 9-14'!C127</f>
        <v>80790</v>
      </c>
      <c r="D5137" s="2" t="str">
        <f t="shared" si="79"/>
        <v>Error?</v>
      </c>
    </row>
    <row r="5138" spans="1:4" x14ac:dyDescent="0.2">
      <c r="A5138" s="10">
        <v>5077</v>
      </c>
      <c r="D5138" s="2" t="str">
        <f t="shared" si="79"/>
        <v>OK</v>
      </c>
    </row>
    <row r="5139" spans="1:4" x14ac:dyDescent="0.2">
      <c r="A5139" s="5">
        <v>5078</v>
      </c>
      <c r="B5139" s="138">
        <f>'Revenues 9-14'!C128</f>
        <v>1426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83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98994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4226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162</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103810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214440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18459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13896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13896</v>
      </c>
      <c r="C5246" s="2" t="s">
        <v>594</v>
      </c>
      <c r="D5246" s="2" t="str">
        <f t="shared" si="80"/>
        <v>Error?</v>
      </c>
    </row>
    <row r="5247" spans="1:4" x14ac:dyDescent="0.2">
      <c r="A5247" s="5">
        <v>5186</v>
      </c>
      <c r="B5247" s="138">
        <f>'Revenues 9-14'!C203</f>
        <v>74977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6597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74977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27419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27905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133704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152163</v>
      </c>
      <c r="C5326" s="2" t="s">
        <v>594</v>
      </c>
      <c r="D5326" s="2" t="str">
        <f t="shared" si="82"/>
        <v>Error?</v>
      </c>
    </row>
    <row r="5327" spans="1:4" x14ac:dyDescent="0.2">
      <c r="A5327" s="5">
        <v>5266</v>
      </c>
      <c r="B5327" s="138">
        <f>'Revenues 9-14'!C275</f>
        <v>1360591</v>
      </c>
      <c r="C5327" s="2" t="s">
        <v>594</v>
      </c>
      <c r="D5327" s="2" t="str">
        <f t="shared" si="82"/>
        <v>Error?</v>
      </c>
    </row>
    <row r="5328" spans="1:4" x14ac:dyDescent="0.2">
      <c r="A5328" s="5">
        <v>5267</v>
      </c>
      <c r="B5328" s="138">
        <f>'Revenues 9-14'!D5</f>
        <v>161668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161668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1213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1213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92</v>
      </c>
      <c r="D5354" s="2" t="str">
        <f t="shared" si="82"/>
        <v>Error?</v>
      </c>
    </row>
    <row r="5355" spans="1:4" x14ac:dyDescent="0.2">
      <c r="A5355" s="5">
        <v>5294</v>
      </c>
      <c r="B5355" s="138">
        <f>'Revenues 9-14'!D108</f>
        <v>92</v>
      </c>
      <c r="C5355" s="2" t="s">
        <v>594</v>
      </c>
      <c r="D5355" s="2" t="str">
        <f t="shared" si="82"/>
        <v>Error?</v>
      </c>
    </row>
    <row r="5356" spans="1:4" x14ac:dyDescent="0.2">
      <c r="A5356" s="5">
        <v>5295</v>
      </c>
      <c r="B5356" s="138">
        <f>'Revenues 9-14'!D109</f>
        <v>162973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162973</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68</v>
      </c>
      <c r="C5552" s="2" t="s">
        <v>594</v>
      </c>
      <c r="D5552" s="2" t="str">
        <f t="shared" si="85"/>
        <v>Error?</v>
      </c>
    </row>
    <row r="5553" spans="1:4" x14ac:dyDescent="0.2">
      <c r="A5553" s="5">
        <v>5492</v>
      </c>
      <c r="B5553" s="138">
        <f>'Revenues 9-14'!F5</f>
        <v>11764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11764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2953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2953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14717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41233</v>
      </c>
      <c r="D5615" s="2" t="str">
        <f t="shared" si="86"/>
        <v>Error?</v>
      </c>
    </row>
    <row r="5616" spans="1:4" x14ac:dyDescent="0.2">
      <c r="A5616" s="10">
        <v>5555</v>
      </c>
      <c r="D5616" s="2" t="str">
        <f t="shared" si="86"/>
        <v>OK</v>
      </c>
    </row>
    <row r="5617" spans="1:4" x14ac:dyDescent="0.2">
      <c r="A5617" s="5">
        <v>5556</v>
      </c>
      <c r="B5617" s="138">
        <f>'Revenues 9-14'!F152</f>
        <v>21087</v>
      </c>
      <c r="D5617" s="2" t="str">
        <f t="shared" si="86"/>
        <v>Error?</v>
      </c>
    </row>
    <row r="5618" spans="1:4" x14ac:dyDescent="0.2">
      <c r="A5618" s="5">
        <v>5557</v>
      </c>
      <c r="B5618" s="138">
        <f>'Revenues 9-14'!F154</f>
        <v>62320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62320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62320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77037</v>
      </c>
      <c r="C5720" s="2" t="s">
        <v>594</v>
      </c>
      <c r="D5720" s="2" t="str">
        <f t="shared" si="88"/>
        <v>Error?</v>
      </c>
    </row>
    <row r="5721" spans="1:4" x14ac:dyDescent="0.2">
      <c r="A5721" s="5">
        <v>5660</v>
      </c>
      <c r="B5721" s="138">
        <f>'Revenues 9-14'!G5</f>
        <v>14969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19764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34733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4553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4553</v>
      </c>
      <c r="C5730" s="2" t="s">
        <v>594</v>
      </c>
      <c r="D5730" s="2" t="str">
        <f t="shared" si="88"/>
        <v>Error?</v>
      </c>
    </row>
    <row r="5731" spans="1:4" x14ac:dyDescent="0.2">
      <c r="A5731" s="5">
        <v>5670</v>
      </c>
      <c r="B5731" s="138">
        <f>'Revenues 9-14'!G65</f>
        <v>262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39548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1293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1338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5370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5647</v>
      </c>
      <c r="C6023" s="2" t="s">
        <v>594</v>
      </c>
      <c r="D6023" s="2" t="str">
        <f t="shared" si="93"/>
        <v>Error?</v>
      </c>
    </row>
    <row r="6024" spans="1:5" x14ac:dyDescent="0.2">
      <c r="A6024" s="5">
        <v>5963</v>
      </c>
      <c r="B6024" s="138">
        <f>'Revenues 9-14'!G109</f>
        <v>39548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1338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5647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18048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4360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103.35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24231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24231</v>
      </c>
      <c r="D6215" s="2" t="str">
        <f t="shared" si="96"/>
        <v>Error?</v>
      </c>
      <c r="E6215" s="2" t="s">
        <v>199</v>
      </c>
    </row>
    <row r="6216" spans="1:5" x14ac:dyDescent="0.2">
      <c r="A6216">
        <v>6155</v>
      </c>
      <c r="B6216" s="138">
        <f>'Assets-Liab 5-6'!J41</f>
        <v>24231</v>
      </c>
      <c r="D6216" s="2" t="str">
        <f t="shared" si="96"/>
        <v>Error?</v>
      </c>
      <c r="E6216" s="2" t="s">
        <v>199</v>
      </c>
    </row>
    <row r="6217" spans="1:5" x14ac:dyDescent="0.2">
      <c r="A6217">
        <v>6156</v>
      </c>
      <c r="B6217" s="138">
        <f>'Assets-Liab 5-6'!J4</f>
        <v>24231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25530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25530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25530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21241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21241</v>
      </c>
      <c r="D6229" s="2" t="str">
        <f t="shared" si="96"/>
        <v>Error?</v>
      </c>
      <c r="E6229" s="2" t="s">
        <v>199</v>
      </c>
    </row>
    <row r="6230" spans="1:5" x14ac:dyDescent="0.2">
      <c r="A6230">
        <v>6169</v>
      </c>
      <c r="B6230" s="138">
        <f>'Acct Summary 7-8'!J20</f>
        <v>4289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4289</v>
      </c>
      <c r="D6263" s="2" t="str">
        <f t="shared" si="96"/>
        <v>Error?</v>
      </c>
      <c r="E6263" s="2" t="s">
        <v>199</v>
      </c>
    </row>
    <row r="6264" spans="1:5" x14ac:dyDescent="0.2">
      <c r="A6264">
        <v>6203</v>
      </c>
      <c r="B6264" s="138">
        <f>'Acct Summary 7-8'!J79</f>
        <v>19942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24231</v>
      </c>
      <c r="D6266" s="2" t="str">
        <f t="shared" si="96"/>
        <v>Error?</v>
      </c>
      <c r="E6266" s="2" t="s">
        <v>199</v>
      </c>
    </row>
    <row r="6267" spans="1:5" x14ac:dyDescent="0.2">
      <c r="A6267">
        <v>6206</v>
      </c>
      <c r="B6267" s="138">
        <f>'Acct Summary 7-8'!C82</f>
        <v>64618</v>
      </c>
      <c r="D6267" s="2" t="str">
        <f t="shared" si="96"/>
        <v>Error?</v>
      </c>
      <c r="E6267" s="2" t="s">
        <v>199</v>
      </c>
    </row>
    <row r="6268" spans="1:5" x14ac:dyDescent="0.2">
      <c r="A6268">
        <v>6207</v>
      </c>
      <c r="B6268" s="138">
        <f>'Acct Summary 7-8'!D82</f>
        <v>237043</v>
      </c>
      <c r="D6268" s="2" t="str">
        <f t="shared" si="96"/>
        <v>Error?</v>
      </c>
      <c r="E6268" s="2" t="s">
        <v>199</v>
      </c>
    </row>
    <row r="6269" spans="1:5" x14ac:dyDescent="0.2">
      <c r="A6269">
        <v>6208</v>
      </c>
      <c r="B6269" s="138">
        <f>'Acct Summary 7-8'!E82</f>
        <v>-23071</v>
      </c>
      <c r="D6269" s="2" t="str">
        <f t="shared" si="96"/>
        <v>Error?</v>
      </c>
      <c r="E6269" s="2" t="s">
        <v>199</v>
      </c>
    </row>
    <row r="6270" spans="1:5" x14ac:dyDescent="0.2">
      <c r="A6270">
        <v>6209</v>
      </c>
      <c r="B6270" s="138">
        <f>'Acct Summary 7-8'!F82</f>
        <v>-211057</v>
      </c>
      <c r="D6270" s="2" t="str">
        <f t="shared" si="96"/>
        <v>Error?</v>
      </c>
      <c r="E6270" s="2" t="s">
        <v>199</v>
      </c>
    </row>
    <row r="6271" spans="1:5" x14ac:dyDescent="0.2">
      <c r="A6271">
        <v>6210</v>
      </c>
      <c r="B6271" s="138">
        <f>'Acct Summary 7-8'!G82</f>
        <v>4773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1338</v>
      </c>
      <c r="D6273" s="2" t="str">
        <f t="shared" si="97"/>
        <v>Error?</v>
      </c>
      <c r="E6273" s="2" t="s">
        <v>199</v>
      </c>
    </row>
    <row r="6274" spans="1:5" x14ac:dyDescent="0.2">
      <c r="A6274">
        <v>6213</v>
      </c>
      <c r="B6274" s="138">
        <f>'Acct Summary 7-8'!J82</f>
        <v>4289</v>
      </c>
      <c r="D6274" s="2" t="str">
        <f t="shared" si="97"/>
        <v>Error?</v>
      </c>
      <c r="E6274" s="2" t="s">
        <v>199</v>
      </c>
    </row>
    <row r="6275" spans="1:5" x14ac:dyDescent="0.2">
      <c r="A6275">
        <v>6214</v>
      </c>
      <c r="B6275" s="138">
        <f>'Acct Summary 7-8'!K82</f>
        <v>28786</v>
      </c>
      <c r="D6275" s="2" t="str">
        <f t="shared" si="97"/>
        <v>Error?</v>
      </c>
      <c r="E6275" s="2" t="s">
        <v>199</v>
      </c>
    </row>
    <row r="6276" spans="1:5" x14ac:dyDescent="0.2">
      <c r="A6276">
        <v>6215</v>
      </c>
      <c r="B6276" s="138">
        <f>'Acct Summary 7-8'!C83</f>
        <v>6.7363746299153496E-2</v>
      </c>
      <c r="D6276" s="2" t="str">
        <f t="shared" si="97"/>
        <v>Error?</v>
      </c>
      <c r="E6276" s="2" t="s">
        <v>199</v>
      </c>
    </row>
    <row r="6277" spans="1:5" x14ac:dyDescent="0.2">
      <c r="A6277">
        <v>6216</v>
      </c>
      <c r="B6277" s="138">
        <f>'Acct Summary 7-8'!D83</f>
        <v>0.69606135974558725</v>
      </c>
      <c r="D6277" s="2" t="str">
        <f t="shared" si="97"/>
        <v>Error?</v>
      </c>
      <c r="E6277" s="2" t="s">
        <v>199</v>
      </c>
    </row>
    <row r="6278" spans="1:5" x14ac:dyDescent="0.2">
      <c r="A6278">
        <v>6217</v>
      </c>
      <c r="B6278" s="138">
        <f>'Acct Summary 7-8'!E83</f>
        <v>-339.27941176470586</v>
      </c>
      <c r="D6278" s="2" t="str">
        <f t="shared" si="97"/>
        <v>Error?</v>
      </c>
      <c r="E6278" s="2" t="s">
        <v>199</v>
      </c>
    </row>
    <row r="6279" spans="1:5" x14ac:dyDescent="0.2">
      <c r="A6279">
        <v>6218</v>
      </c>
      <c r="B6279" s="138">
        <f>'Acct Summary 7-8'!F83</f>
        <v>-1.134385715974932</v>
      </c>
      <c r="D6279" s="2" t="str">
        <f t="shared" si="97"/>
        <v>Error?</v>
      </c>
      <c r="E6279" s="2" t="s">
        <v>199</v>
      </c>
    </row>
    <row r="6280" spans="1:5" x14ac:dyDescent="0.2">
      <c r="A6280">
        <v>6219</v>
      </c>
      <c r="B6280" s="138">
        <f>'Acct Summary 7-8'!G83</f>
        <v>0.12778090113243917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0.32233196820043364</v>
      </c>
      <c r="D6282" s="2" t="str">
        <f t="shared" si="97"/>
        <v>Error?</v>
      </c>
      <c r="E6282" s="2" t="s">
        <v>199</v>
      </c>
    </row>
    <row r="6283" spans="1:5" x14ac:dyDescent="0.2">
      <c r="A6283">
        <v>6222</v>
      </c>
      <c r="B6283" s="138">
        <f>'Acct Summary 7-8'!J83</f>
        <v>0.1770046634476497</v>
      </c>
      <c r="D6283" s="2" t="str">
        <f t="shared" si="97"/>
        <v>Error?</v>
      </c>
      <c r="E6283" s="2" t="s">
        <v>199</v>
      </c>
    </row>
    <row r="6284" spans="1:5" x14ac:dyDescent="0.2">
      <c r="A6284">
        <v>6223</v>
      </c>
      <c r="B6284" s="138">
        <f>'Acct Summary 7-8'!K83</f>
        <v>0.84510598320709296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25508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25508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25530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8088</v>
      </c>
      <c r="D6983" s="2" t="str">
        <f t="shared" si="108"/>
        <v>Error?</v>
      </c>
    </row>
    <row r="6984" spans="1:4" x14ac:dyDescent="0.2">
      <c r="A6984">
        <v>6923</v>
      </c>
      <c r="B6984" s="138">
        <f>'Expenditures 15-22'!K86</f>
        <v>8088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8088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21241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25530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21241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21241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21241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21241</v>
      </c>
      <c r="D7224" s="2" t="str">
        <f t="shared" si="111"/>
        <v>Error?</v>
      </c>
    </row>
    <row r="7225" spans="1:4" x14ac:dyDescent="0.2">
      <c r="A7225">
        <v>7164</v>
      </c>
      <c r="B7225" s="138">
        <f>'Expenditures 15-22'!K343</f>
        <v>4289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24535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12698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12698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2953</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96378</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46378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0" t="s">
        <v>1253</v>
      </c>
      <c r="B2" s="2430"/>
      <c r="C2" s="2430"/>
      <c r="D2" s="2430"/>
      <c r="E2" s="2430"/>
      <c r="F2" s="2430"/>
      <c r="G2" s="2430"/>
      <c r="H2" s="2430"/>
      <c r="I2" s="2430"/>
      <c r="J2" s="2430"/>
      <c r="K2" s="2430"/>
      <c r="L2" s="2430"/>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0" t="s">
        <v>1799</v>
      </c>
      <c r="B4" s="2447"/>
      <c r="C4" s="2447"/>
      <c r="D4" s="2447"/>
      <c r="E4" s="2447"/>
      <c r="F4" s="2447"/>
      <c r="G4" s="2447"/>
      <c r="H4" s="2447"/>
      <c r="I4" s="2447"/>
      <c r="J4" s="2447"/>
      <c r="K4" s="2447"/>
      <c r="L4" s="244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0" t="str">
        <f>COVER!A17</f>
        <v>Shirland CCSD 134</v>
      </c>
      <c r="B7" s="2411"/>
      <c r="C7" s="2411"/>
      <c r="D7" s="2448"/>
      <c r="E7" s="2449">
        <f>COVER!A13</f>
        <v>4101134004</v>
      </c>
      <c r="F7" s="2450"/>
      <c r="G7" s="2417" t="str">
        <f>COVER!T23</f>
        <v>066-004238</v>
      </c>
      <c r="H7" s="2418"/>
      <c r="I7" s="2418"/>
      <c r="J7" s="2418"/>
      <c r="K7" s="2418"/>
      <c r="L7" s="2419"/>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0"/>
      <c r="B9" s="2421"/>
      <c r="C9" s="2421"/>
      <c r="D9" s="2421"/>
      <c r="E9" s="2421"/>
      <c r="F9" s="2422"/>
      <c r="G9" s="2423" t="str">
        <f>COVER!T13</f>
        <v xml:space="preserve">BENNING GROUP, LLC </v>
      </c>
      <c r="H9" s="2424"/>
      <c r="I9" s="2424"/>
      <c r="J9" s="2424"/>
      <c r="K9" s="2424"/>
      <c r="L9" s="2425"/>
    </row>
    <row r="10" spans="1:29" ht="13.5" customHeight="1" x14ac:dyDescent="0.2">
      <c r="A10" s="2407" t="str">
        <f>COVER!A38</f>
        <v xml:space="preserve">JOHN ULFERTS </v>
      </c>
      <c r="B10" s="2408"/>
      <c r="C10" s="2408"/>
      <c r="D10" s="2408"/>
      <c r="E10" s="2408"/>
      <c r="F10" s="2409"/>
      <c r="G10" s="2423" t="str">
        <f>COVER!T17</f>
        <v>50 W. DOUGLAS STREET, SUITE 801</v>
      </c>
      <c r="H10" s="2436"/>
      <c r="I10" s="2436"/>
      <c r="J10" s="2436"/>
      <c r="K10" s="2436"/>
      <c r="L10" s="2437"/>
    </row>
    <row r="11" spans="1:29" ht="13.5" customHeight="1" x14ac:dyDescent="0.2">
      <c r="A11" s="1184" t="s">
        <v>1599</v>
      </c>
      <c r="B11" s="1185"/>
      <c r="C11" s="1186"/>
      <c r="D11" s="1191"/>
      <c r="E11" s="1186"/>
      <c r="F11" s="1190"/>
      <c r="G11" s="2423" t="str">
        <f>COVER!T19</f>
        <v xml:space="preserve">FREEPORT </v>
      </c>
      <c r="H11" s="2436"/>
      <c r="I11" s="2436"/>
      <c r="J11" s="2436"/>
      <c r="K11" s="2436"/>
      <c r="L11" s="2437"/>
    </row>
    <row r="12" spans="1:29" ht="13.5" customHeight="1" x14ac:dyDescent="0.2">
      <c r="A12" s="2441" t="s">
        <v>1598</v>
      </c>
      <c r="B12" s="2442"/>
      <c r="C12" s="2442"/>
      <c r="D12" s="2442"/>
      <c r="E12" s="2442"/>
      <c r="F12" s="2443"/>
      <c r="G12" s="2438"/>
      <c r="H12" s="2439"/>
      <c r="I12" s="2439"/>
      <c r="J12" s="2439"/>
      <c r="K12" s="2439"/>
      <c r="L12" s="2440"/>
    </row>
    <row r="13" spans="1:29" ht="13.5" customHeight="1" x14ac:dyDescent="0.2">
      <c r="A13" s="2423"/>
      <c r="B13" s="2436"/>
      <c r="C13" s="2436"/>
      <c r="D13" s="2436"/>
      <c r="E13" s="2436"/>
      <c r="F13" s="2437"/>
      <c r="G13" s="2431" t="s">
        <v>1600</v>
      </c>
      <c r="H13" s="2432"/>
      <c r="I13" s="2444" t="str">
        <f>COVER!T25</f>
        <v>jblocker@benninggroup.com</v>
      </c>
      <c r="J13" s="2445"/>
      <c r="K13" s="2445"/>
      <c r="L13" s="2446"/>
    </row>
    <row r="14" spans="1:29" ht="13.5" customHeight="1" x14ac:dyDescent="0.2">
      <c r="A14" s="2423" t="str">
        <f>COVER!A19</f>
        <v>8020 NORTH STREET</v>
      </c>
      <c r="B14" s="2436"/>
      <c r="C14" s="2436"/>
      <c r="D14" s="2436"/>
      <c r="E14" s="2436"/>
      <c r="F14" s="2437"/>
      <c r="G14" s="1195" t="s">
        <v>1247</v>
      </c>
      <c r="H14" s="1193"/>
      <c r="I14" s="1193"/>
      <c r="J14" s="1193"/>
      <c r="K14" s="1193"/>
      <c r="L14" s="1194"/>
    </row>
    <row r="15" spans="1:29" ht="13.5" customHeight="1" x14ac:dyDescent="0.2">
      <c r="A15" s="2423" t="str">
        <f>COVER!A21</f>
        <v xml:space="preserve">SHIRLAND </v>
      </c>
      <c r="B15" s="2436"/>
      <c r="C15" s="2436"/>
      <c r="D15" s="2436"/>
      <c r="E15" s="2436"/>
      <c r="F15" s="2437"/>
      <c r="G15" s="2433" t="str">
        <f>COVER!T15</f>
        <v xml:space="preserve">JENNY L. BLOCKER </v>
      </c>
      <c r="H15" s="2434"/>
      <c r="I15" s="2434"/>
      <c r="J15" s="2434"/>
      <c r="K15" s="2434"/>
      <c r="L15" s="2435"/>
    </row>
    <row r="16" spans="1:29" ht="12.2" customHeight="1" x14ac:dyDescent="0.2">
      <c r="A16" s="2413">
        <f>COVER!A25</f>
        <v>61079</v>
      </c>
      <c r="B16" s="2414"/>
      <c r="C16" s="2414"/>
      <c r="D16" s="2414"/>
      <c r="E16" s="2414"/>
      <c r="F16" s="2415"/>
      <c r="G16" s="2426"/>
      <c r="H16" s="2427"/>
      <c r="I16" s="2427"/>
      <c r="J16" s="2427"/>
      <c r="K16" s="2427"/>
      <c r="L16" s="2428"/>
    </row>
    <row r="17" spans="1:13" ht="12.2" customHeight="1" x14ac:dyDescent="0.2">
      <c r="A17" s="2429"/>
      <c r="B17" s="2414"/>
      <c r="C17" s="2414"/>
      <c r="D17" s="2414"/>
      <c r="E17" s="2414"/>
      <c r="F17" s="2415"/>
      <c r="G17" s="1195" t="s">
        <v>1246</v>
      </c>
      <c r="H17" s="1193"/>
      <c r="I17" s="1193"/>
      <c r="J17" s="1193"/>
      <c r="K17" s="1197" t="s">
        <v>1245</v>
      </c>
      <c r="L17" s="1190"/>
      <c r="M17" s="1183"/>
    </row>
    <row r="18" spans="1:13" ht="12.2" customHeight="1" x14ac:dyDescent="0.2">
      <c r="A18" s="2407"/>
      <c r="B18" s="2408"/>
      <c r="C18" s="2408"/>
      <c r="D18" s="2408"/>
      <c r="E18" s="2408"/>
      <c r="F18" s="2409"/>
      <c r="G18" s="2410" t="str">
        <f>COVER!T21</f>
        <v>815/235-3157</v>
      </c>
      <c r="H18" s="2411"/>
      <c r="I18" s="2411"/>
      <c r="J18" s="2411"/>
      <c r="K18" s="2410" t="str">
        <f>COVER!X21</f>
        <v>815/235-3158</v>
      </c>
      <c r="L18" s="241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1" t="str">
        <f>'Single Audit Cover'!A7</f>
        <v>Shirland CCSD 134</v>
      </c>
      <c r="B1" s="2447"/>
      <c r="C1" s="2447"/>
      <c r="D1" s="2447"/>
    </row>
    <row r="2" spans="1:11" s="1214" customFormat="1" ht="12.75" x14ac:dyDescent="0.2">
      <c r="A2" s="2452">
        <f>'Single Audit Cover'!E7</f>
        <v>4101134004</v>
      </c>
      <c r="B2" s="2453"/>
      <c r="C2" s="2453"/>
      <c r="D2" s="2453"/>
    </row>
    <row r="3" spans="1:11" s="1214" customFormat="1" ht="12.75" x14ac:dyDescent="0.2">
      <c r="A3" s="2451" t="s">
        <v>1593</v>
      </c>
      <c r="B3" s="2447"/>
      <c r="C3" s="2447"/>
      <c r="D3" s="2447"/>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abSelected="1"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5" t="str">
        <f>'Single Audit Cover'!A7</f>
        <v>Shirland CCSD 134</v>
      </c>
      <c r="B1" s="2455"/>
      <c r="C1" s="2455"/>
      <c r="D1" s="2455"/>
      <c r="E1" s="2455"/>
    </row>
    <row r="2" spans="1:5" x14ac:dyDescent="0.2">
      <c r="A2" s="2456">
        <f>'Single Audit Cover'!E7</f>
        <v>4101134004</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59" t="s">
        <v>1305</v>
      </c>
    </row>
    <row r="10" spans="1:5" x14ac:dyDescent="0.2">
      <c r="A10" s="1260" t="s">
        <v>1304</v>
      </c>
      <c r="B10" s="1261" t="s">
        <v>1303</v>
      </c>
      <c r="C10" s="1261"/>
      <c r="D10" s="1262">
        <f>SUM('Acct Summary 7-8'!C7:K7)</f>
        <v>152163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4360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-6432</v>
      </c>
    </row>
    <row r="19" spans="1:4" ht="13.5" thickBot="1" x14ac:dyDescent="0.25">
      <c r="A19" s="1264" t="s">
        <v>1297</v>
      </c>
      <c r="D19" s="1265">
        <f>SUM(D10:D17)</f>
        <v>150091</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7"/>
      <c r="B24" s="2457"/>
      <c r="D24" s="1267"/>
    </row>
    <row r="25" spans="1:4" x14ac:dyDescent="0.2">
      <c r="A25" s="2454"/>
      <c r="B25" s="2454"/>
      <c r="D25" s="1267"/>
    </row>
    <row r="26" spans="1:4" x14ac:dyDescent="0.2">
      <c r="A26" s="2454"/>
      <c r="B26" s="2454"/>
      <c r="D26" s="1267"/>
    </row>
    <row r="27" spans="1:4" x14ac:dyDescent="0.2">
      <c r="A27" s="2454"/>
      <c r="B27" s="2454"/>
      <c r="D27" s="1267"/>
    </row>
    <row r="28" spans="1:4" x14ac:dyDescent="0.2">
      <c r="A28" s="2454"/>
      <c r="B28" s="2454"/>
      <c r="D28" s="1267"/>
    </row>
    <row r="29" spans="1:4" x14ac:dyDescent="0.2">
      <c r="A29" s="2454"/>
      <c r="B29" s="2454"/>
      <c r="D29" s="1267"/>
    </row>
    <row r="30" spans="1:4" x14ac:dyDescent="0.2">
      <c r="A30" s="2454"/>
      <c r="B30" s="2454"/>
      <c r="D30" s="1267"/>
    </row>
    <row r="32" spans="1:4" x14ac:dyDescent="0.2">
      <c r="A32" s="1259" t="s">
        <v>1295</v>
      </c>
      <c r="D32" s="1262">
        <f>SUM(D19:D30)</f>
        <v>150091</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4"/>
      <c r="B40" s="2454"/>
      <c r="D40" s="1267"/>
    </row>
    <row r="41" spans="1:4" x14ac:dyDescent="0.2">
      <c r="A41" s="2454"/>
      <c r="B41" s="2454"/>
      <c r="D41" s="1270"/>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1289</v>
      </c>
      <c r="C47" s="1271"/>
      <c r="D47" s="1272">
        <f>SUM(D35:D45)</f>
        <v>0</v>
      </c>
    </row>
    <row r="49" spans="2:4" x14ac:dyDescent="0.2">
      <c r="B49" s="1271" t="s">
        <v>1288</v>
      </c>
      <c r="C49" s="1271"/>
      <c r="D49" s="1272">
        <f>D32-D47</f>
        <v>150091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Shirland CCSD 134</v>
      </c>
      <c r="B1" s="2460"/>
      <c r="C1" s="2460"/>
      <c r="D1" s="2460"/>
      <c r="E1" s="2460"/>
      <c r="F1" s="2460"/>
    </row>
    <row r="2" spans="1:7" ht="13.5" customHeight="1" x14ac:dyDescent="0.2">
      <c r="A2" s="2461">
        <f>'Single Audit Cover'!E7</f>
        <v>4101134004</v>
      </c>
      <c r="B2" s="2461"/>
      <c r="C2" s="2461"/>
      <c r="D2" s="2461"/>
      <c r="E2" s="2461"/>
      <c r="F2" s="2461"/>
      <c r="G2" s="1274"/>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5" t="s">
        <v>1831</v>
      </c>
      <c r="C6" s="317"/>
      <c r="D6" s="317"/>
    </row>
    <row r="7" spans="1:7" ht="60.95" customHeight="1" x14ac:dyDescent="0.2">
      <c r="A7" s="2459" t="s">
        <v>1832</v>
      </c>
      <c r="B7" s="2459"/>
      <c r="C7" s="2459"/>
      <c r="D7" s="2459"/>
      <c r="E7" s="2459"/>
      <c r="F7" s="2459"/>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9" t="s">
        <v>1834</v>
      </c>
      <c r="B13" s="2459"/>
      <c r="C13" s="2459"/>
      <c r="D13" s="2459"/>
      <c r="E13" s="2459"/>
      <c r="F13" s="2459"/>
    </row>
    <row r="14" spans="1:7" ht="9.75" customHeight="1" x14ac:dyDescent="0.2">
      <c r="C14" s="1259"/>
      <c r="D14" s="1259"/>
    </row>
    <row r="15" spans="1:7" ht="13.5" customHeight="1" x14ac:dyDescent="0.2">
      <c r="C15" s="1870" t="s">
        <v>1332</v>
      </c>
      <c r="D15" s="2465" t="s">
        <v>1331</v>
      </c>
      <c r="E15" s="2465"/>
      <c r="F15" s="2465"/>
    </row>
    <row r="16" spans="1:7" ht="13.5" customHeight="1" x14ac:dyDescent="0.2">
      <c r="A16" s="1281"/>
      <c r="B16" s="1275" t="s">
        <v>1330</v>
      </c>
      <c r="C16" s="1870" t="s">
        <v>1329</v>
      </c>
      <c r="D16" s="2466" t="s">
        <v>1670</v>
      </c>
      <c r="E16" s="2466"/>
      <c r="F16" s="2466"/>
    </row>
    <row r="17" spans="1:6" ht="20.45" customHeight="1" x14ac:dyDescent="0.2">
      <c r="A17" s="1282"/>
      <c r="B17" s="1283"/>
      <c r="C17" s="1284"/>
      <c r="D17" s="2464"/>
      <c r="E17" s="2464"/>
      <c r="F17" s="2464"/>
    </row>
    <row r="18" spans="1:6" ht="20.65" customHeight="1" x14ac:dyDescent="0.2">
      <c r="A18" s="1282"/>
      <c r="B18" s="1283"/>
      <c r="C18" s="1284"/>
      <c r="D18" s="2464"/>
      <c r="E18" s="2464"/>
      <c r="F18" s="2464"/>
    </row>
    <row r="19" spans="1:6" ht="20.65" customHeight="1" x14ac:dyDescent="0.2">
      <c r="A19" s="1282"/>
      <c r="B19" s="1283"/>
      <c r="C19" s="1284"/>
      <c r="D19" s="2464"/>
      <c r="E19" s="2464"/>
      <c r="F19" s="2464"/>
    </row>
    <row r="20" spans="1:6" ht="20.65" customHeight="1" x14ac:dyDescent="0.2">
      <c r="A20" s="1282"/>
      <c r="B20" s="1283"/>
      <c r="C20" s="1284"/>
      <c r="D20" s="2464"/>
      <c r="E20" s="2464"/>
      <c r="F20" s="2464"/>
    </row>
    <row r="21" spans="1:6" ht="20.65" customHeight="1" x14ac:dyDescent="0.2">
      <c r="A21" s="1282"/>
      <c r="B21" s="1283"/>
      <c r="C21" s="1284"/>
      <c r="D21" s="2464"/>
      <c r="E21" s="2464"/>
      <c r="F21" s="2464"/>
    </row>
    <row r="22" spans="1:6" ht="20.65" customHeight="1" x14ac:dyDescent="0.2">
      <c r="A22" s="1282"/>
      <c r="B22" s="1283"/>
      <c r="C22" s="1284"/>
      <c r="D22" s="2464"/>
      <c r="E22" s="2464"/>
      <c r="F22" s="2464"/>
    </row>
    <row r="23" spans="1:6" ht="20.65" customHeight="1" x14ac:dyDescent="0.2">
      <c r="A23" s="1282"/>
      <c r="B23" s="1283"/>
      <c r="C23" s="1284"/>
      <c r="D23" s="2464"/>
      <c r="E23" s="2464"/>
      <c r="F23" s="2464"/>
    </row>
    <row r="24" spans="1:6" ht="20.65" customHeight="1" x14ac:dyDescent="0.2">
      <c r="A24" s="1282"/>
      <c r="B24" s="1283"/>
      <c r="C24" s="1284"/>
      <c r="D24" s="2464"/>
      <c r="E24" s="2464"/>
      <c r="F24" s="2464"/>
    </row>
    <row r="25" spans="1:6" ht="20.65" customHeight="1" x14ac:dyDescent="0.2">
      <c r="A25" s="1282"/>
      <c r="B25" s="1283"/>
      <c r="C25" s="1284"/>
      <c r="D25" s="2464"/>
      <c r="E25" s="2464"/>
      <c r="F25" s="2464"/>
    </row>
    <row r="26" spans="1:6" ht="20.65" customHeight="1" x14ac:dyDescent="0.2">
      <c r="A26" s="1282"/>
      <c r="B26" s="1283"/>
      <c r="C26" s="1284"/>
      <c r="D26" s="2464"/>
      <c r="E26" s="2464"/>
      <c r="F26" s="2464"/>
    </row>
    <row r="27" spans="1:6" ht="20.65" customHeight="1" x14ac:dyDescent="0.2">
      <c r="A27" s="1282"/>
      <c r="B27" s="1283"/>
      <c r="C27" s="1284"/>
      <c r="D27" s="2464"/>
      <c r="E27" s="2464"/>
      <c r="F27" s="2464"/>
    </row>
    <row r="28" spans="1:6" ht="20.65" customHeight="1" x14ac:dyDescent="0.2">
      <c r="A28" s="1282"/>
      <c r="B28" s="1283"/>
      <c r="C28" s="1284"/>
      <c r="D28" s="2464"/>
      <c r="E28" s="2464"/>
      <c r="F28" s="2464"/>
    </row>
    <row r="29" spans="1:6" ht="20.65" customHeight="1" x14ac:dyDescent="0.2">
      <c r="A29" s="1282"/>
      <c r="B29" s="1283"/>
      <c r="C29" s="1284"/>
      <c r="D29" s="2464"/>
      <c r="E29" s="2464"/>
      <c r="F29" s="2464"/>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8" t="s">
        <v>1835</v>
      </c>
      <c r="B32" s="2468"/>
      <c r="C32" s="2468"/>
      <c r="D32" s="2468"/>
      <c r="E32" s="2468"/>
      <c r="F32" s="2468"/>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9">
        <f>+C33+C34</f>
        <v>0</v>
      </c>
      <c r="F34" s="2470"/>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1" t="s">
        <v>1672</v>
      </c>
      <c r="C49" s="2471"/>
      <c r="D49" s="2471"/>
      <c r="E49" s="1398"/>
    </row>
    <row r="50" spans="1:5" s="1299" customFormat="1" ht="3.75" customHeight="1" x14ac:dyDescent="0.2">
      <c r="A50" s="1298"/>
      <c r="B50" s="1869"/>
      <c r="C50" s="1869"/>
      <c r="D50" s="1869"/>
      <c r="E50" s="1398"/>
    </row>
    <row r="51" spans="1:5" s="1299" customFormat="1" ht="20.25" customHeight="1" x14ac:dyDescent="0.2">
      <c r="A51" s="1300">
        <v>6</v>
      </c>
      <c r="B51" s="2467" t="s">
        <v>1632</v>
      </c>
      <c r="C51" s="2467"/>
      <c r="D51" s="2467"/>
    </row>
    <row r="52" spans="1:5" ht="14.25" customHeight="1" x14ac:dyDescent="0.2">
      <c r="A52" s="1300"/>
      <c r="B52" s="2467"/>
      <c r="C52" s="2467"/>
      <c r="D52" s="246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6" t="str">
        <f>'Single Audit Cover'!A7</f>
        <v>Shirland CCSD 134</v>
      </c>
      <c r="C1" s="2472"/>
      <c r="D1" s="2472"/>
      <c r="E1" s="2472"/>
      <c r="F1" s="2472"/>
      <c r="G1" s="2472"/>
      <c r="H1" s="2472"/>
      <c r="I1" s="2472"/>
      <c r="J1" s="2472"/>
      <c r="K1" s="2472"/>
      <c r="L1" s="2472"/>
      <c r="M1" s="2472"/>
    </row>
    <row r="2" spans="2:14" ht="15" x14ac:dyDescent="0.2">
      <c r="B2" s="2461">
        <f>'Single Audit Cover'!E7</f>
        <v>4101134004</v>
      </c>
      <c r="C2" s="2461"/>
      <c r="D2" s="2461"/>
      <c r="E2" s="2461"/>
      <c r="F2" s="2461"/>
      <c r="G2" s="2461"/>
      <c r="H2" s="2461"/>
      <c r="I2" s="2461"/>
      <c r="J2" s="2461"/>
      <c r="K2" s="2461"/>
      <c r="L2" s="2461"/>
      <c r="M2" s="2461"/>
      <c r="N2" s="1301"/>
    </row>
    <row r="3" spans="2:14" ht="15" x14ac:dyDescent="0.2">
      <c r="B3" s="2473" t="s">
        <v>1281</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tabSelected="1" defaultGridColor="0" topLeftCell="A104" colorId="8" zoomScale="110" zoomScaleNormal="110" workbookViewId="0">
      <selection activeCell="D49" sqref="D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6" t="s">
        <v>1731</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6" t="s">
        <v>331</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35612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1390</v>
      </c>
      <c r="B70" s="2099"/>
      <c r="C70" s="2099"/>
      <c r="D70" s="2099"/>
      <c r="E70" s="2100"/>
      <c r="F70" s="2100"/>
      <c r="G70" s="2100"/>
      <c r="H70" s="2100"/>
      <c r="I70" s="210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1387</v>
      </c>
      <c r="B83" s="2101"/>
      <c r="C83" s="2101"/>
      <c r="D83" s="210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t="s">
        <v>2117</v>
      </c>
      <c r="D114" s="209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1397</v>
      </c>
      <c r="D117" s="2094"/>
      <c r="E117" s="2095"/>
      <c r="F117" s="2095"/>
      <c r="G117" s="2095"/>
      <c r="H117" s="2095"/>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Shirland CCSD 134</v>
      </c>
      <c r="C1" s="2480"/>
      <c r="D1" s="2480"/>
      <c r="E1" s="2480"/>
      <c r="F1" s="2480"/>
      <c r="G1" s="2480"/>
      <c r="H1" s="2480"/>
      <c r="I1" s="2480"/>
      <c r="J1" s="1421"/>
    </row>
    <row r="2" spans="2:10" s="317" customFormat="1" ht="12.75" customHeight="1" x14ac:dyDescent="0.2">
      <c r="B2" s="2481">
        <f>'Single Audit Cover'!E7</f>
        <v>4101134004</v>
      </c>
      <c r="C2" s="2482"/>
      <c r="D2" s="2482"/>
      <c r="E2" s="2482"/>
      <c r="F2" s="2482"/>
      <c r="G2" s="2482"/>
      <c r="H2" s="2482"/>
      <c r="I2" s="2482"/>
      <c r="J2" s="1421"/>
    </row>
    <row r="3" spans="2:10" s="317" customFormat="1" ht="12.75" customHeight="1" x14ac:dyDescent="0.2">
      <c r="B3" s="2483" t="s">
        <v>1347</v>
      </c>
      <c r="C3" s="2484"/>
      <c r="D3" s="2484"/>
      <c r="E3" s="2484"/>
      <c r="F3" s="2484"/>
      <c r="G3" s="2484"/>
      <c r="H3" s="2484"/>
      <c r="I3" s="2484"/>
      <c r="J3" s="1422"/>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3" t="s">
        <v>1346</v>
      </c>
      <c r="C7" s="2484"/>
      <c r="D7" s="2484"/>
      <c r="E7" s="2484"/>
      <c r="F7" s="2484"/>
      <c r="G7" s="2484"/>
      <c r="H7" s="2484"/>
      <c r="I7" s="2484"/>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5"/>
      <c r="D11" s="2485"/>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6"/>
      <c r="E29" s="2486"/>
      <c r="F29" s="2486"/>
      <c r="G29" s="2486"/>
      <c r="H29" s="2486"/>
      <c r="I29" s="2486"/>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7" t="s">
        <v>1854</v>
      </c>
      <c r="D37" s="2488"/>
      <c r="E37" s="2488"/>
      <c r="F37" s="2489"/>
      <c r="G37" s="2487" t="s">
        <v>1674</v>
      </c>
      <c r="H37" s="2488"/>
      <c r="I37" s="2489"/>
    </row>
    <row r="38" spans="2:9" ht="16.5" customHeight="1" x14ac:dyDescent="0.2">
      <c r="B38" s="1443"/>
      <c r="C38" s="2475"/>
      <c r="D38" s="2476"/>
      <c r="E38" s="2476"/>
      <c r="F38" s="2477"/>
      <c r="G38" s="2490"/>
      <c r="H38" s="2491"/>
      <c r="I38" s="2492"/>
    </row>
    <row r="39" spans="2:9" ht="16.5" customHeight="1" x14ac:dyDescent="0.2">
      <c r="B39" s="1443"/>
      <c r="C39" s="2475"/>
      <c r="D39" s="2476"/>
      <c r="E39" s="2476"/>
      <c r="F39" s="2477"/>
      <c r="G39" s="2478"/>
      <c r="H39" s="2478"/>
      <c r="I39" s="2478"/>
    </row>
    <row r="40" spans="2:9" ht="16.5" customHeight="1" x14ac:dyDescent="0.2">
      <c r="B40" s="1443"/>
      <c r="C40" s="2475"/>
      <c r="D40" s="2476"/>
      <c r="E40" s="2476"/>
      <c r="F40" s="2477"/>
      <c r="G40" s="2478"/>
      <c r="H40" s="2478"/>
      <c r="I40" s="2478"/>
    </row>
    <row r="41" spans="2:9" ht="16.5" customHeight="1" x14ac:dyDescent="0.2">
      <c r="B41" s="1443"/>
      <c r="C41" s="2475"/>
      <c r="D41" s="2476"/>
      <c r="E41" s="2476"/>
      <c r="F41" s="2477"/>
      <c r="G41" s="2478"/>
      <c r="H41" s="2478"/>
      <c r="I41" s="2478"/>
    </row>
    <row r="42" spans="2:9" ht="16.5" customHeight="1" x14ac:dyDescent="0.2">
      <c r="B42" s="1443"/>
      <c r="C42" s="2475"/>
      <c r="D42" s="2476"/>
      <c r="E42" s="2476"/>
      <c r="F42" s="2477"/>
      <c r="G42" s="2478"/>
      <c r="H42" s="2478"/>
      <c r="I42" s="2478"/>
    </row>
    <row r="43" spans="2:9" ht="16.5" customHeight="1" x14ac:dyDescent="0.2">
      <c r="B43" s="1443"/>
      <c r="C43" s="2493" t="s">
        <v>1675</v>
      </c>
      <c r="D43" s="2494"/>
      <c r="E43" s="2494"/>
      <c r="F43" s="2495"/>
      <c r="G43" s="2496">
        <f>SUM(G38:I42)</f>
        <v>0</v>
      </c>
      <c r="H43" s="2496"/>
      <c r="I43" s="2496"/>
    </row>
    <row r="44" spans="2:9" ht="12.75" customHeight="1" x14ac:dyDescent="0.2"/>
    <row r="45" spans="2:9" ht="12.75" customHeight="1" x14ac:dyDescent="0.2">
      <c r="B45" s="1434" t="s">
        <v>1952</v>
      </c>
      <c r="D45" s="2497">
        <v>0</v>
      </c>
      <c r="E45" s="2498"/>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9"/>
      <c r="F49" s="2499"/>
      <c r="G49" s="2499"/>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Shirland CCSD 134</v>
      </c>
      <c r="C1" s="2479"/>
      <c r="D1" s="2479"/>
      <c r="E1" s="2479"/>
      <c r="F1" s="2479"/>
      <c r="G1" s="2479"/>
      <c r="H1" s="2479"/>
      <c r="I1" s="2479"/>
      <c r="J1" s="2479"/>
      <c r="K1" s="2479"/>
      <c r="L1" s="1373"/>
      <c r="M1" s="1373"/>
    </row>
    <row r="2" spans="1:13" ht="12" customHeight="1" x14ac:dyDescent="0.2">
      <c r="B2" s="2481">
        <f>'Single Audit Cover'!E7</f>
        <v>4101134004</v>
      </c>
      <c r="C2" s="2481"/>
      <c r="D2" s="2481"/>
      <c r="E2" s="2481"/>
      <c r="F2" s="2481"/>
      <c r="G2" s="2481"/>
      <c r="H2" s="2481"/>
      <c r="I2" s="2481"/>
      <c r="J2" s="2481"/>
      <c r="K2" s="2481"/>
      <c r="L2" s="1374"/>
      <c r="M2" s="1375"/>
    </row>
    <row r="3" spans="1:13" ht="10.35" customHeight="1" x14ac:dyDescent="0.2">
      <c r="B3" s="2502" t="s">
        <v>1347</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1363</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1"/>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21" sqref="F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Shirland CCSD 134</v>
      </c>
      <c r="C1" s="2506"/>
      <c r="D1" s="2506"/>
      <c r="E1" s="2506"/>
      <c r="F1" s="2506"/>
      <c r="G1" s="2506"/>
      <c r="H1" s="2506"/>
      <c r="I1" s="2506"/>
      <c r="J1" s="2506"/>
      <c r="K1" s="2506"/>
      <c r="L1" s="1464"/>
    </row>
    <row r="2" spans="1:12" ht="12.75" customHeight="1" x14ac:dyDescent="0.2">
      <c r="B2" s="2507">
        <f>'Single Audit Cover'!E7</f>
        <v>4101134004</v>
      </c>
      <c r="C2" s="2507"/>
      <c r="D2" s="2507"/>
      <c r="E2" s="2507"/>
      <c r="F2" s="2507"/>
      <c r="G2" s="2507"/>
      <c r="H2" s="2507"/>
      <c r="I2" s="2507"/>
      <c r="J2" s="2507"/>
      <c r="K2" s="2507"/>
      <c r="L2" s="1465"/>
    </row>
    <row r="3" spans="1:12" ht="12.75" customHeight="1" x14ac:dyDescent="0.2">
      <c r="B3" s="2502" t="s">
        <v>1347</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1231</v>
      </c>
      <c r="C5" s="1259"/>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6"/>
      <c r="G12" s="2486"/>
      <c r="H12" s="2486"/>
      <c r="I12" s="2486"/>
      <c r="J12" s="2486"/>
      <c r="K12" s="2486"/>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9"/>
      <c r="E14" s="2509"/>
      <c r="F14" s="2509"/>
      <c r="H14" s="1474" t="s">
        <v>1370</v>
      </c>
      <c r="I14" s="2510"/>
      <c r="J14" s="2510"/>
      <c r="K14" s="2510"/>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0"/>
      <c r="E16" s="2510"/>
      <c r="F16" s="2510"/>
      <c r="G16" s="2510"/>
      <c r="H16" s="2510"/>
      <c r="I16" s="2510"/>
      <c r="J16" s="2510"/>
      <c r="K16" s="2510"/>
      <c r="L16" s="322"/>
    </row>
    <row r="17" spans="2:12" ht="13.5" customHeight="1" x14ac:dyDescent="0.2">
      <c r="B17" s="1386" t="s">
        <v>1368</v>
      </c>
      <c r="C17" s="1386"/>
      <c r="D17" s="2511"/>
      <c r="E17" s="2511"/>
      <c r="F17" s="2511"/>
      <c r="G17" s="2511"/>
      <c r="H17" s="2511"/>
      <c r="I17" s="2511"/>
      <c r="J17" s="2511"/>
      <c r="K17" s="2511"/>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1"/>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9" t="str">
        <f>'Single Audit Cover'!A7</f>
        <v>Shirland CCSD 134</v>
      </c>
      <c r="C1" s="2479"/>
      <c r="D1" s="2479"/>
      <c r="E1" s="1490"/>
    </row>
    <row r="2" spans="2:5" s="1281" customFormat="1" ht="12.75" customHeight="1" x14ac:dyDescent="0.2">
      <c r="B2" s="2481">
        <f>'Single Audit Cover'!E7</f>
        <v>4101134004</v>
      </c>
      <c r="C2" s="2481"/>
      <c r="D2" s="2481"/>
      <c r="E2" s="1491"/>
    </row>
    <row r="3" spans="2:5" ht="12.75" customHeight="1" x14ac:dyDescent="0.2">
      <c r="B3" s="2502" t="s">
        <v>1869</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tabSelected="1" defaultGridColor="0" colorId="8" zoomScale="110" zoomScaleNormal="110" workbookViewId="0">
      <selection activeCell="D49" sqref="D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404</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30836722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3.0311000000000001E-2</v>
      </c>
      <c r="E10" s="356" t="s">
        <v>1062</v>
      </c>
      <c r="F10" s="355">
        <v>5.4539999999999996E-3</v>
      </c>
      <c r="G10" s="356" t="s">
        <v>1062</v>
      </c>
      <c r="H10" s="355">
        <v>3.97E-4</v>
      </c>
      <c r="I10" s="356" t="s">
        <v>1063</v>
      </c>
      <c r="J10" s="1753">
        <f>ROUND(D10+F10+H10,5)</f>
        <v>3.6159999999999998E-2</v>
      </c>
      <c r="K10" s="222"/>
      <c r="L10" s="355">
        <v>0</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1601939</v>
      </c>
      <c r="E16" s="356"/>
      <c r="F16" s="1754">
        <f>SUM('Acct Summary 7-8'!C17,'Acct Summary 7-8'!D17,'Acct Summary 7-8'!F17)</f>
        <v>1509997</v>
      </c>
      <c r="G16" s="356"/>
      <c r="H16" s="1754">
        <f>SUM(D16-F16)</f>
        <v>91942</v>
      </c>
      <c r="I16" s="222"/>
      <c r="J16" s="1754">
        <f>SUM('Acct Summary 7-8'!C81,'Acct Summary 7-8'!D81,'Acct Summary 7-8'!F81,'Acct Summary 7-8'!I81)</f>
        <v>1489994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2127733.818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abSelected="1" zoomScale="110" zoomScaleNormal="110" workbookViewId="0">
      <selection activeCell="D49" sqref="D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577</v>
      </c>
      <c r="B2" s="2131"/>
      <c r="C2" s="2131"/>
      <c r="D2" s="2131"/>
      <c r="E2" s="2131"/>
      <c r="F2" s="2131"/>
      <c r="G2" s="2131"/>
      <c r="H2" s="2131"/>
      <c r="I2" s="2131"/>
      <c r="J2" s="2131"/>
      <c r="K2" s="2131"/>
      <c r="L2" s="2131"/>
      <c r="M2" s="2131"/>
      <c r="N2" s="2131"/>
      <c r="O2" s="2131"/>
      <c r="P2" s="2131"/>
      <c r="Q2" s="2131"/>
      <c r="R2" s="2131"/>
    </row>
    <row r="3" spans="1:18" ht="12.75" x14ac:dyDescent="0.2">
      <c r="A3" s="2132" t="s">
        <v>1480</v>
      </c>
      <c r="B3" s="2132"/>
      <c r="C3" s="2132"/>
      <c r="D3" s="2132"/>
      <c r="E3" s="2132"/>
      <c r="F3" s="2132"/>
      <c r="G3" s="2132"/>
      <c r="H3" s="2132"/>
      <c r="I3" s="2132"/>
      <c r="J3" s="2132"/>
      <c r="K3" s="2132"/>
      <c r="L3" s="2132"/>
      <c r="M3" s="2132"/>
      <c r="N3" s="2132"/>
      <c r="O3" s="2132"/>
      <c r="P3" s="2132"/>
      <c r="Q3" s="2132"/>
      <c r="R3" s="2132"/>
    </row>
    <row r="4" spans="1:18" x14ac:dyDescent="0.2">
      <c r="A4" s="2133" t="s">
        <v>1635</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Shirland CCSD 134</v>
      </c>
      <c r="E7" s="391"/>
      <c r="G7" s="252"/>
      <c r="H7" s="387"/>
      <c r="I7" s="387"/>
      <c r="J7" s="387"/>
      <c r="K7" s="387"/>
      <c r="L7" s="329"/>
      <c r="M7" s="329"/>
      <c r="N7" s="329"/>
      <c r="O7" s="329"/>
      <c r="P7" s="329"/>
    </row>
    <row r="8" spans="1:18" ht="12.75" x14ac:dyDescent="0.2">
      <c r="A8" s="329"/>
      <c r="B8" s="329"/>
      <c r="C8" s="389" t="s">
        <v>1187</v>
      </c>
      <c r="D8" s="392">
        <f>COVER!A13</f>
        <v>4101134004</v>
      </c>
      <c r="E8" s="393"/>
      <c r="G8" s="329"/>
      <c r="H8" s="329"/>
      <c r="I8" s="329"/>
      <c r="J8" s="329"/>
      <c r="K8" s="329"/>
      <c r="L8" s="329"/>
      <c r="M8" s="329"/>
      <c r="N8" s="329"/>
      <c r="O8" s="329"/>
      <c r="P8" s="329"/>
    </row>
    <row r="9" spans="1:18" ht="12.75" x14ac:dyDescent="0.2">
      <c r="A9" s="329"/>
      <c r="B9" s="329"/>
      <c r="C9" s="389" t="s">
        <v>737</v>
      </c>
      <c r="D9" s="394" t="str">
        <f>COVER!A15</f>
        <v xml:space="preserve">WINNEBAGO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1489994</v>
      </c>
      <c r="I12" s="404"/>
      <c r="J12" s="404"/>
      <c r="K12" s="405">
        <f>TRUNC((H12/H13*100000),5)/100000</f>
        <v>0.93011906189999993</v>
      </c>
      <c r="L12" s="406"/>
      <c r="M12" s="360" t="s">
        <v>1206</v>
      </c>
      <c r="N12" s="360"/>
      <c r="O12" s="407">
        <v>0.35</v>
      </c>
      <c r="P12" s="218"/>
      <c r="Q12" s="218"/>
    </row>
    <row r="13" spans="1:18" s="408" customFormat="1" ht="12.75" x14ac:dyDescent="0.2">
      <c r="A13" s="218"/>
      <c r="B13" s="401"/>
      <c r="C13" s="2129" t="s">
        <v>1391</v>
      </c>
      <c r="D13" s="2130"/>
      <c r="E13" s="218"/>
      <c r="F13" s="409" t="s">
        <v>826</v>
      </c>
      <c r="G13" s="402"/>
      <c r="H13" s="403">
        <f>SUM('Acct Summary 7-8'!C8+'Acct Summary 7-8'!D8+'Acct Summary 7-8'!F8+'Acct Summary 7-8'!I8)+H14</f>
        <v>1601939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1509997</v>
      </c>
      <c r="I17" s="404"/>
      <c r="J17" s="416"/>
      <c r="K17" s="405">
        <f>TRUNC((H17/H18*100000),5)/100000</f>
        <v>0.94260580449999998</v>
      </c>
      <c r="L17" s="406"/>
      <c r="M17" s="417" t="s">
        <v>1233</v>
      </c>
      <c r="O17" s="418" t="str">
        <f>IF(AND(O16="2", J20 &gt; 2),"1",IF(AND(O16 = "1", J20 &gt; 2),"2",IF(AND(O16="1", J20 &gt;1),"1","0")))</f>
        <v>0</v>
      </c>
      <c r="P17" s="218"/>
    </row>
    <row r="18" spans="1:18" s="408" customFormat="1" ht="11.25" x14ac:dyDescent="0.2">
      <c r="A18" s="218"/>
      <c r="B18" s="401"/>
      <c r="C18" s="2129" t="s">
        <v>1384</v>
      </c>
      <c r="D18" s="2130"/>
      <c r="E18" s="218"/>
      <c r="F18" s="419" t="s">
        <v>827</v>
      </c>
      <c r="G18" s="402"/>
      <c r="H18" s="403">
        <f>SUM('Acct Summary 7-8'!C8+'Acct Summary 7-8'!D8+'Acct Summary 7-8'!F8+'Acct Summary 7-8'!I8)+H19</f>
        <v>1601939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6" t="s">
        <v>1479</v>
      </c>
      <c r="D24" s="2126"/>
      <c r="E24" s="218"/>
      <c r="F24" s="218" t="s">
        <v>465</v>
      </c>
      <c r="G24" s="402"/>
      <c r="H24" s="403">
        <f>SUM('Assets-Liab 5-6'!C4+'Assets-Liab 5-6'!D4+'Assets-Liab 5-6'!F4+'Assets-Liab 5-6'!I4+'Assets-Liab 5-6'!C5+'Assets-Liab 5-6'!D5+'Assets-Liab 5-6'!F5+'Assets-Liab 5-6'!I5)</f>
        <v>1490304</v>
      </c>
      <c r="I24" s="422"/>
      <c r="J24" s="422"/>
      <c r="K24" s="423">
        <f>TRUNC(((H24/H25*100000)/100000),2)</f>
        <v>355.3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4194.4361099999996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947797.48739000002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2127733.818</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tabSelected="1" defaultGridColor="0" colorId="8" zoomScale="90" zoomScaleNormal="90" workbookViewId="0">
      <pane ySplit="2" topLeftCell="A27" activePane="bottomLeft" state="frozen"/>
      <selection activeCell="D49" sqref="D49"/>
      <selection pane="bottomLeft" activeCell="D49" sqref="D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6" t="s">
        <v>1030</v>
      </c>
      <c r="B3" s="2137"/>
      <c r="C3" s="1580"/>
      <c r="D3" s="1581"/>
      <c r="E3" s="1581"/>
      <c r="F3" s="1581"/>
      <c r="G3" s="1581"/>
      <c r="H3" s="1581"/>
      <c r="I3" s="1581"/>
      <c r="J3" s="1581"/>
      <c r="K3" s="1581"/>
      <c r="L3" s="1581"/>
      <c r="M3" s="1582"/>
      <c r="N3" s="1583"/>
    </row>
    <row r="4" spans="1:14" ht="13.5" customHeight="1" x14ac:dyDescent="0.2">
      <c r="A4" s="463" t="s">
        <v>1750</v>
      </c>
      <c r="B4" s="464"/>
      <c r="C4" s="465">
        <v>959550</v>
      </c>
      <c r="D4" s="466">
        <v>340549</v>
      </c>
      <c r="E4" s="466">
        <v>68</v>
      </c>
      <c r="F4" s="466">
        <v>186054</v>
      </c>
      <c r="G4" s="466">
        <v>37353</v>
      </c>
      <c r="H4" s="466"/>
      <c r="I4" s="466">
        <v>4151</v>
      </c>
      <c r="J4" s="467">
        <v>24231</v>
      </c>
      <c r="K4" s="466">
        <v>34062</v>
      </c>
      <c r="L4" s="466">
        <v>27936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959550</v>
      </c>
      <c r="D13" s="1758">
        <f t="shared" ref="D13:L13" si="0">SUM(D4:D12)</f>
        <v>340549</v>
      </c>
      <c r="E13" s="1758">
        <f t="shared" si="0"/>
        <v>68</v>
      </c>
      <c r="F13" s="1758">
        <f t="shared" si="0"/>
        <v>186054</v>
      </c>
      <c r="G13" s="1758">
        <f t="shared" si="0"/>
        <v>37353</v>
      </c>
      <c r="H13" s="1758">
        <f t="shared" si="0"/>
        <v>0</v>
      </c>
      <c r="I13" s="1758">
        <f t="shared" si="0"/>
        <v>4151</v>
      </c>
      <c r="J13" s="1758">
        <f t="shared" si="0"/>
        <v>24231</v>
      </c>
      <c r="K13" s="1758">
        <f t="shared" si="0"/>
        <v>34062</v>
      </c>
      <c r="L13" s="1758">
        <f t="shared" si="0"/>
        <v>27936</v>
      </c>
      <c r="M13" s="468"/>
      <c r="N13" s="469"/>
    </row>
    <row r="14" spans="1:14" ht="18" customHeight="1" thickTop="1" x14ac:dyDescent="0.2">
      <c r="A14" s="2138" t="s">
        <v>149</v>
      </c>
      <c r="B14" s="2139"/>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19481</v>
      </c>
      <c r="N16" s="484"/>
    </row>
    <row r="17" spans="1:14" s="485" customFormat="1" ht="12.75" customHeight="1" x14ac:dyDescent="0.2">
      <c r="A17" s="482" t="s">
        <v>1470</v>
      </c>
      <c r="B17" s="483">
        <v>230</v>
      </c>
      <c r="C17" s="477"/>
      <c r="D17" s="477"/>
      <c r="E17" s="477"/>
      <c r="F17" s="477"/>
      <c r="G17" s="477"/>
      <c r="H17" s="477"/>
      <c r="I17" s="477"/>
      <c r="J17" s="477"/>
      <c r="K17" s="477"/>
      <c r="L17" s="477"/>
      <c r="M17" s="467">
        <v>1054053</v>
      </c>
      <c r="N17" s="484"/>
    </row>
    <row r="18" spans="1:14" s="485" customFormat="1" ht="12.75" customHeight="1" x14ac:dyDescent="0.2">
      <c r="A18" s="482" t="s">
        <v>1471</v>
      </c>
      <c r="B18" s="483">
        <v>240</v>
      </c>
      <c r="C18" s="477"/>
      <c r="D18" s="477"/>
      <c r="E18" s="477"/>
      <c r="F18" s="477"/>
      <c r="G18" s="477"/>
      <c r="H18" s="477"/>
      <c r="I18" s="477"/>
      <c r="J18" s="477"/>
      <c r="K18" s="477"/>
      <c r="L18" s="477"/>
      <c r="M18" s="467">
        <v>12044</v>
      </c>
      <c r="N18" s="484"/>
    </row>
    <row r="19" spans="1:14" s="485" customFormat="1" ht="12.75" customHeight="1" x14ac:dyDescent="0.2">
      <c r="A19" s="482" t="s">
        <v>1472</v>
      </c>
      <c r="B19" s="483">
        <v>250</v>
      </c>
      <c r="C19" s="477"/>
      <c r="D19" s="477"/>
      <c r="E19" s="477"/>
      <c r="F19" s="477"/>
      <c r="G19" s="477"/>
      <c r="H19" s="477"/>
      <c r="I19" s="477"/>
      <c r="J19" s="477"/>
      <c r="K19" s="477"/>
      <c r="L19" s="477"/>
      <c r="M19" s="467">
        <v>561608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1647186</v>
      </c>
      <c r="N23" s="1709">
        <f>SUM(N21:N22)</f>
        <v>0</v>
      </c>
    </row>
    <row r="24" spans="1:14" ht="18" customHeight="1" thickTop="1" x14ac:dyDescent="0.2">
      <c r="A24" s="2140" t="s">
        <v>619</v>
      </c>
      <c r="B24" s="2141"/>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310</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27936</v>
      </c>
      <c r="M33" s="468"/>
      <c r="N33" s="469"/>
    </row>
    <row r="34" spans="1:14" ht="13.5" customHeight="1" thickBot="1" x14ac:dyDescent="0.25">
      <c r="A34" s="1759" t="s">
        <v>675</v>
      </c>
      <c r="B34" s="1760"/>
      <c r="C34" s="1761">
        <f>SUM(C25:C33)</f>
        <v>310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27936</v>
      </c>
      <c r="M34" s="468"/>
      <c r="N34" s="480"/>
    </row>
    <row r="35" spans="1:14" ht="18" customHeight="1" thickTop="1" x14ac:dyDescent="0.2">
      <c r="A35" s="2142" t="s">
        <v>550</v>
      </c>
      <c r="B35" s="2143"/>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v>10440</v>
      </c>
      <c r="H38" s="466"/>
      <c r="I38" s="466"/>
      <c r="J38" s="467"/>
      <c r="K38" s="466"/>
      <c r="L38" s="481"/>
      <c r="M38" s="497"/>
      <c r="N38" s="497"/>
    </row>
    <row r="39" spans="1:14" s="329" customFormat="1" ht="13.5" customHeight="1" x14ac:dyDescent="0.2">
      <c r="A39" s="496" t="s">
        <v>360</v>
      </c>
      <c r="B39" s="483">
        <v>730</v>
      </c>
      <c r="C39" s="466">
        <v>959240</v>
      </c>
      <c r="D39" s="466">
        <v>340549</v>
      </c>
      <c r="E39" s="466">
        <v>68</v>
      </c>
      <c r="F39" s="466">
        <v>186054</v>
      </c>
      <c r="G39" s="466">
        <v>26913</v>
      </c>
      <c r="H39" s="466"/>
      <c r="I39" s="466">
        <v>4151</v>
      </c>
      <c r="J39" s="467">
        <v>24231</v>
      </c>
      <c r="K39" s="466">
        <v>34062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1647186</v>
      </c>
      <c r="N40" s="497"/>
    </row>
    <row r="41" spans="1:14" ht="13.5" customHeight="1" thickBot="1" x14ac:dyDescent="0.25">
      <c r="A41" s="1757" t="s">
        <v>676</v>
      </c>
      <c r="B41" s="1727"/>
      <c r="C41" s="1709">
        <f>(SUM(C34,C37,C38,C39))</f>
        <v>959550</v>
      </c>
      <c r="D41" s="1709">
        <f t="shared" ref="D41:L41" si="2">SUM(D34,D37,D38:D39)</f>
        <v>340549</v>
      </c>
      <c r="E41" s="1709">
        <f t="shared" si="2"/>
        <v>68</v>
      </c>
      <c r="F41" s="1709">
        <f t="shared" si="2"/>
        <v>186054</v>
      </c>
      <c r="G41" s="1709">
        <f t="shared" si="2"/>
        <v>37353</v>
      </c>
      <c r="H41" s="1709">
        <f t="shared" si="2"/>
        <v>0</v>
      </c>
      <c r="I41" s="1709">
        <f t="shared" si="2"/>
        <v>4151</v>
      </c>
      <c r="J41" s="1709">
        <f t="shared" si="2"/>
        <v>24231</v>
      </c>
      <c r="K41" s="1709">
        <f t="shared" si="2"/>
        <v>34062</v>
      </c>
      <c r="L41" s="1709">
        <f t="shared" si="2"/>
        <v>27936</v>
      </c>
      <c r="M41" s="1709">
        <f>SUM(M40)</f>
        <v>1647186</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tabSelected="1" defaultGridColor="0" colorId="8" zoomScaleNormal="100" zoomScaleSheetLayoutView="100" workbookViewId="0">
      <pane ySplit="2" topLeftCell="A48" activePane="bottomLeft" state="frozenSplit"/>
      <selection activeCell="D49" sqref="D49"/>
      <selection pane="bottomLeft" activeCell="D49" sqref="D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4" t="s">
        <v>1237</v>
      </c>
      <c r="B3" s="2165"/>
      <c r="C3" s="1594"/>
      <c r="D3" s="1595"/>
      <c r="E3" s="1595"/>
      <c r="F3" s="1595"/>
      <c r="G3" s="1595"/>
      <c r="H3" s="1595"/>
      <c r="I3" s="1595"/>
      <c r="J3" s="1595"/>
      <c r="K3" s="1596"/>
      <c r="L3" s="506"/>
    </row>
    <row r="4" spans="1:13" ht="15.75" customHeight="1" x14ac:dyDescent="0.2">
      <c r="A4" s="1953" t="s">
        <v>1579</v>
      </c>
      <c r="B4" s="1954">
        <v>1000</v>
      </c>
      <c r="C4" s="1763">
        <f>'Revenues 9-14'!C109</f>
        <v>993988</v>
      </c>
      <c r="D4" s="1763">
        <f>'Revenues 9-14'!D109</f>
        <v>162973</v>
      </c>
      <c r="E4" s="1763">
        <f>'Revenues 9-14'!E109</f>
        <v>68</v>
      </c>
      <c r="F4" s="1763">
        <f>'Revenues 9-14'!F109</f>
        <v>14717</v>
      </c>
      <c r="G4" s="1763">
        <f>'Revenues 9-14'!G109</f>
        <v>39548</v>
      </c>
      <c r="H4" s="1763">
        <f>'Revenues 9-14'!H109</f>
        <v>0</v>
      </c>
      <c r="I4" s="1763">
        <f>'Revenues 9-14'!I109</f>
        <v>1338</v>
      </c>
      <c r="J4" s="1763">
        <f>'Revenues 9-14'!J109</f>
        <v>25530</v>
      </c>
      <c r="K4" s="1763">
        <f>'Revenues 9-14'!K109</f>
        <v>5647</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214440</v>
      </c>
      <c r="D6" s="1764">
        <f>'Revenues 9-14'!D173</f>
        <v>0</v>
      </c>
      <c r="E6" s="1764">
        <f>'Revenues 9-14'!E173</f>
        <v>0</v>
      </c>
      <c r="F6" s="1764">
        <f>'Revenues 9-14'!F173</f>
        <v>62320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152163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1360591</v>
      </c>
      <c r="D8" s="1709">
        <f t="shared" ref="D8:K8" si="0">SUM(D4:D7)</f>
        <v>162973</v>
      </c>
      <c r="E8" s="1709">
        <f t="shared" si="0"/>
        <v>68</v>
      </c>
      <c r="F8" s="1709">
        <f t="shared" si="0"/>
        <v>77037</v>
      </c>
      <c r="G8" s="1709">
        <f t="shared" si="0"/>
        <v>39548</v>
      </c>
      <c r="H8" s="1709">
        <f t="shared" si="0"/>
        <v>0</v>
      </c>
      <c r="I8" s="1709">
        <f t="shared" si="0"/>
        <v>1338</v>
      </c>
      <c r="J8" s="1709">
        <f t="shared" si="0"/>
        <v>25530</v>
      </c>
      <c r="K8" s="1709">
        <f t="shared" si="0"/>
        <v>5647</v>
      </c>
      <c r="L8" s="347"/>
    </row>
    <row r="9" spans="1:13" ht="15.75" thickTop="1" x14ac:dyDescent="0.2">
      <c r="A9" s="514" t="s">
        <v>1752</v>
      </c>
      <c r="B9" s="515">
        <v>3998</v>
      </c>
      <c r="C9" s="481">
        <v>73589</v>
      </c>
      <c r="D9" s="516"/>
      <c r="E9" s="481"/>
      <c r="F9" s="481"/>
      <c r="G9" s="517"/>
      <c r="H9" s="481"/>
      <c r="I9" s="509" t="s">
        <v>1231</v>
      </c>
      <c r="J9" s="478"/>
      <c r="K9" s="481"/>
      <c r="L9" s="347"/>
    </row>
    <row r="10" spans="1:13" s="519" customFormat="1" ht="13.5" thickBot="1" x14ac:dyDescent="0.25">
      <c r="A10" s="1757" t="s">
        <v>1235</v>
      </c>
      <c r="B10" s="1730"/>
      <c r="C10" s="1709">
        <f>SUM(C8:C9)</f>
        <v>1434180</v>
      </c>
      <c r="D10" s="1709">
        <f t="shared" ref="D10:K10" si="1">SUM(D8:D9)</f>
        <v>162973</v>
      </c>
      <c r="E10" s="1709">
        <f t="shared" si="1"/>
        <v>68</v>
      </c>
      <c r="F10" s="1709">
        <f t="shared" si="1"/>
        <v>77037</v>
      </c>
      <c r="G10" s="1709">
        <f t="shared" si="1"/>
        <v>39548</v>
      </c>
      <c r="H10" s="1709">
        <f t="shared" si="1"/>
        <v>0</v>
      </c>
      <c r="I10" s="1709">
        <f t="shared" si="1"/>
        <v>1338</v>
      </c>
      <c r="J10" s="1709">
        <f t="shared" si="1"/>
        <v>25530</v>
      </c>
      <c r="K10" s="1709">
        <f t="shared" si="1"/>
        <v>5647</v>
      </c>
      <c r="L10" s="518"/>
    </row>
    <row r="11" spans="1:13" s="519" customFormat="1" ht="16.7" customHeight="1" thickTop="1" x14ac:dyDescent="0.2">
      <c r="A11" s="2138" t="s">
        <v>1238</v>
      </c>
      <c r="B11" s="2139"/>
      <c r="C11" s="1591"/>
      <c r="D11" s="1592"/>
      <c r="E11" s="1592"/>
      <c r="F11" s="1592"/>
      <c r="G11" s="1592"/>
      <c r="H11" s="1592"/>
      <c r="I11" s="1592"/>
      <c r="J11" s="1592"/>
      <c r="K11" s="1593"/>
      <c r="L11" s="518"/>
    </row>
    <row r="12" spans="1:13" ht="15.75" customHeight="1" x14ac:dyDescent="0.2">
      <c r="A12" s="1597" t="s">
        <v>476</v>
      </c>
      <c r="B12" s="1599">
        <v>1000</v>
      </c>
      <c r="C12" s="1763">
        <f>'Expenditures 15-22'!K33</f>
        <v>708992</v>
      </c>
      <c r="D12" s="520" t="s">
        <v>1231</v>
      </c>
      <c r="E12" s="468" t="s">
        <v>1231</v>
      </c>
      <c r="F12" s="468" t="s">
        <v>1231</v>
      </c>
      <c r="G12" s="1763">
        <f>'Expenditures 15-22'!K229</f>
        <v>10912</v>
      </c>
      <c r="H12" s="521"/>
      <c r="I12" s="468" t="s">
        <v>1231</v>
      </c>
      <c r="J12" s="468" t="s">
        <v>1231</v>
      </c>
      <c r="K12" s="521" t="s">
        <v>1231</v>
      </c>
      <c r="L12" s="347"/>
    </row>
    <row r="13" spans="1:13" ht="15.75" customHeight="1" x14ac:dyDescent="0.2">
      <c r="A13" s="1597" t="s">
        <v>477</v>
      </c>
      <c r="B13" s="1599">
        <v>2000</v>
      </c>
      <c r="C13" s="1764">
        <f>'Expenditures 15-22'!K74</f>
        <v>399304</v>
      </c>
      <c r="D13" s="1764">
        <f>'Expenditures 15-22'!K129</f>
        <v>125930</v>
      </c>
      <c r="E13" s="469" t="s">
        <v>1231</v>
      </c>
      <c r="F13" s="1764">
        <f>'Expenditures 15-22'!K184</f>
        <v>60272</v>
      </c>
      <c r="G13" s="1764">
        <f>'Expenditures 15-22'!K279</f>
        <v>23863</v>
      </c>
      <c r="H13" s="1764">
        <f>'Expenditures 15-22'!K303</f>
        <v>0</v>
      </c>
      <c r="I13" s="468" t="s">
        <v>1231</v>
      </c>
      <c r="J13" s="1764">
        <f>'Expenditures 15-22'!K330</f>
        <v>21241</v>
      </c>
      <c r="K13" s="1768">
        <f>'Expenditures 15-22'!K352</f>
        <v>0</v>
      </c>
      <c r="L13" s="347"/>
    </row>
    <row r="14" spans="1:13" ht="15.75" customHeight="1" x14ac:dyDescent="0.2">
      <c r="A14" s="1597" t="s">
        <v>469</v>
      </c>
      <c r="B14" s="1599">
        <v>3000</v>
      </c>
      <c r="C14" s="1764">
        <f>'Expenditures 15-22'!K75</f>
        <v>532</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187145</v>
      </c>
      <c r="D15" s="1764">
        <f>'Expenditures 15-22'!K139</f>
        <v>0</v>
      </c>
      <c r="E15" s="1764">
        <f>'Expenditures 15-22'!K160</f>
        <v>0</v>
      </c>
      <c r="F15" s="1764">
        <f>'Expenditures 15-22'!K196</f>
        <v>27822</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1295973</v>
      </c>
      <c r="D17" s="1709">
        <f t="shared" si="2"/>
        <v>125930</v>
      </c>
      <c r="E17" s="1709">
        <f t="shared" si="2"/>
        <v>0</v>
      </c>
      <c r="F17" s="1709">
        <f t="shared" si="2"/>
        <v>88094</v>
      </c>
      <c r="G17" s="1709">
        <f t="shared" si="2"/>
        <v>34775</v>
      </c>
      <c r="H17" s="1709">
        <f t="shared" si="2"/>
        <v>0</v>
      </c>
      <c r="I17" s="468"/>
      <c r="J17" s="1709">
        <f>SUM(J12:J16)</f>
        <v>21241</v>
      </c>
      <c r="K17" s="1709">
        <f>SUM(K12:K16)</f>
        <v>0</v>
      </c>
      <c r="L17" s="347"/>
    </row>
    <row r="18" spans="1:12" ht="15" customHeight="1" thickTop="1" x14ac:dyDescent="0.2">
      <c r="A18" s="1765" t="s">
        <v>1753</v>
      </c>
      <c r="B18" s="1766">
        <v>4180</v>
      </c>
      <c r="C18" s="1763">
        <f t="shared" ref="C18:H18" si="3">C9</f>
        <v>73589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1369562</v>
      </c>
      <c r="D19" s="1709">
        <f t="shared" si="4"/>
        <v>125930</v>
      </c>
      <c r="E19" s="1709">
        <f t="shared" si="4"/>
        <v>0</v>
      </c>
      <c r="F19" s="1709">
        <f t="shared" si="4"/>
        <v>88094</v>
      </c>
      <c r="G19" s="1709">
        <f t="shared" si="4"/>
        <v>34775</v>
      </c>
      <c r="H19" s="1709">
        <f t="shared" si="4"/>
        <v>0</v>
      </c>
      <c r="I19" s="468"/>
      <c r="J19" s="1709">
        <f>SUM(J17:J18)</f>
        <v>21241</v>
      </c>
      <c r="K19" s="1709">
        <f>SUM(K17:K18)</f>
        <v>0</v>
      </c>
      <c r="L19" s="347"/>
    </row>
    <row r="20" spans="1:12" ht="16.5" thickTop="1" thickBot="1" x14ac:dyDescent="0.25">
      <c r="A20" s="2154" t="s">
        <v>1754</v>
      </c>
      <c r="B20" s="2155"/>
      <c r="C20" s="1767">
        <f>C8-C17</f>
        <v>64618</v>
      </c>
      <c r="D20" s="1767">
        <f t="shared" ref="D20:K20" si="5">D8-D17</f>
        <v>37043</v>
      </c>
      <c r="E20" s="1767">
        <f t="shared" si="5"/>
        <v>68</v>
      </c>
      <c r="F20" s="1767">
        <f t="shared" si="5"/>
        <v>-11057</v>
      </c>
      <c r="G20" s="1767">
        <f t="shared" si="5"/>
        <v>4773</v>
      </c>
      <c r="H20" s="1767">
        <f t="shared" si="5"/>
        <v>0</v>
      </c>
      <c r="I20" s="1767">
        <f t="shared" si="5"/>
        <v>1338</v>
      </c>
      <c r="J20" s="1767">
        <f t="shared" si="5"/>
        <v>4289</v>
      </c>
      <c r="K20" s="1767">
        <f t="shared" si="5"/>
        <v>5647</v>
      </c>
      <c r="L20" s="347"/>
    </row>
    <row r="21" spans="1:12" ht="16.7" customHeight="1" thickTop="1" x14ac:dyDescent="0.2">
      <c r="A21" s="2166" t="s">
        <v>616</v>
      </c>
      <c r="B21" s="2167"/>
      <c r="C21" s="1591"/>
      <c r="D21" s="1592"/>
      <c r="E21" s="1592"/>
      <c r="F21" s="1592"/>
      <c r="G21" s="1592"/>
      <c r="H21" s="1592"/>
      <c r="I21" s="1592"/>
      <c r="J21" s="1592"/>
      <c r="K21" s="1593"/>
      <c r="L21" s="524"/>
    </row>
    <row r="22" spans="1:12" ht="15.75" customHeight="1" collapsed="1" x14ac:dyDescent="0.2">
      <c r="A22" s="2162" t="s">
        <v>617</v>
      </c>
      <c r="B22" s="2163"/>
      <c r="C22" s="477"/>
      <c r="D22" s="477"/>
      <c r="E22" s="477"/>
      <c r="F22" s="477"/>
      <c r="G22" s="477"/>
      <c r="H22" s="477"/>
      <c r="I22" s="477"/>
      <c r="J22" s="477"/>
      <c r="K22" s="477"/>
      <c r="L22" s="347"/>
    </row>
    <row r="23" spans="1:12" s="485" customFormat="1" ht="15.75" customHeight="1" x14ac:dyDescent="0.2">
      <c r="A23" s="2158" t="s">
        <v>311</v>
      </c>
      <c r="B23" s="2159"/>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v>200000</v>
      </c>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0" t="s">
        <v>1038</v>
      </c>
      <c r="B32" s="2161"/>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v>23139</v>
      </c>
      <c r="L43" s="524"/>
    </row>
    <row r="44" spans="1:12" s="485" customFormat="1" ht="13.5" customHeight="1" thickBot="1" x14ac:dyDescent="0.25">
      <c r="A44" s="2168" t="s">
        <v>392</v>
      </c>
      <c r="B44" s="2169"/>
      <c r="C44" s="1724">
        <f>SUM(C24:C43)</f>
        <v>0</v>
      </c>
      <c r="D44" s="1724">
        <f t="shared" ref="D44:K44" si="6">SUM(D24:D43)</f>
        <v>200000</v>
      </c>
      <c r="E44" s="1724">
        <f t="shared" si="6"/>
        <v>0</v>
      </c>
      <c r="F44" s="1724">
        <f t="shared" si="6"/>
        <v>0</v>
      </c>
      <c r="G44" s="1724">
        <f t="shared" si="6"/>
        <v>0</v>
      </c>
      <c r="H44" s="1724">
        <f t="shared" si="6"/>
        <v>0</v>
      </c>
      <c r="I44" s="1724">
        <f t="shared" si="6"/>
        <v>0</v>
      </c>
      <c r="J44" s="1724">
        <f t="shared" si="6"/>
        <v>0</v>
      </c>
      <c r="K44" s="1724">
        <f t="shared" si="6"/>
        <v>23139</v>
      </c>
      <c r="L44" s="524"/>
    </row>
    <row r="45" spans="1:12" ht="15.75" customHeight="1" thickTop="1" x14ac:dyDescent="0.2">
      <c r="A45" s="2162" t="s">
        <v>110</v>
      </c>
      <c r="B45" s="2163"/>
      <c r="C45" s="528"/>
      <c r="D45" s="528"/>
      <c r="E45" s="528"/>
      <c r="F45" s="528"/>
      <c r="G45" s="528"/>
      <c r="H45" s="528"/>
      <c r="I45" s="528"/>
      <c r="J45" s="528"/>
      <c r="K45" s="528"/>
      <c r="L45" s="347"/>
    </row>
    <row r="46" spans="1:12" s="485" customFormat="1" ht="15.75" customHeight="1" x14ac:dyDescent="0.2">
      <c r="A46" s="2170" t="s">
        <v>111</v>
      </c>
      <c r="B46" s="2171"/>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v>200000</v>
      </c>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v>23139</v>
      </c>
      <c r="F75" s="532"/>
      <c r="G75" s="532"/>
      <c r="H75" s="532"/>
      <c r="I75" s="530"/>
      <c r="J75" s="530"/>
      <c r="K75" s="532"/>
      <c r="L75" s="524"/>
    </row>
    <row r="76" spans="1:12" s="485" customFormat="1" ht="14.25" thickTop="1" thickBot="1" x14ac:dyDescent="0.25">
      <c r="A76" s="2144" t="s">
        <v>460</v>
      </c>
      <c r="B76" s="2145"/>
      <c r="C76" s="1724">
        <f t="shared" ref="C76:K76" si="7">SUM(C47:C75)</f>
        <v>0</v>
      </c>
      <c r="D76" s="1724">
        <f t="shared" si="7"/>
        <v>0</v>
      </c>
      <c r="E76" s="1724">
        <f t="shared" si="7"/>
        <v>23139</v>
      </c>
      <c r="F76" s="1724">
        <f t="shared" si="7"/>
        <v>200000</v>
      </c>
      <c r="G76" s="1724">
        <f t="shared" si="7"/>
        <v>0</v>
      </c>
      <c r="H76" s="1724">
        <f t="shared" si="7"/>
        <v>0</v>
      </c>
      <c r="I76" s="1724">
        <f t="shared" si="7"/>
        <v>0</v>
      </c>
      <c r="J76" s="1724">
        <f t="shared" si="7"/>
        <v>0</v>
      </c>
      <c r="K76" s="1724">
        <f t="shared" si="7"/>
        <v>0</v>
      </c>
      <c r="L76" s="524"/>
    </row>
    <row r="77" spans="1:12" ht="14.25" thickTop="1" thickBot="1" x14ac:dyDescent="0.25">
      <c r="A77" s="2146" t="s">
        <v>1239</v>
      </c>
      <c r="B77" s="2147"/>
      <c r="C77" s="1724">
        <f t="shared" ref="C77:K77" si="8">C44-C76</f>
        <v>0</v>
      </c>
      <c r="D77" s="1724">
        <f t="shared" si="8"/>
        <v>200000</v>
      </c>
      <c r="E77" s="1724">
        <f t="shared" si="8"/>
        <v>-23139</v>
      </c>
      <c r="F77" s="1724">
        <f t="shared" si="8"/>
        <v>-200000</v>
      </c>
      <c r="G77" s="1724">
        <f t="shared" si="8"/>
        <v>0</v>
      </c>
      <c r="H77" s="1724">
        <f t="shared" si="8"/>
        <v>0</v>
      </c>
      <c r="I77" s="1724">
        <f t="shared" si="8"/>
        <v>0</v>
      </c>
      <c r="J77" s="1724">
        <f t="shared" si="8"/>
        <v>0</v>
      </c>
      <c r="K77" s="1724">
        <f t="shared" si="8"/>
        <v>23139</v>
      </c>
      <c r="L77" s="347"/>
    </row>
    <row r="78" spans="1:12" ht="21.75" customHeight="1" thickTop="1" thickBot="1" x14ac:dyDescent="0.25">
      <c r="A78" s="2150" t="s">
        <v>618</v>
      </c>
      <c r="B78" s="2151"/>
      <c r="C78" s="1723">
        <f t="shared" ref="C78:K78" si="9">C20+C77</f>
        <v>64618</v>
      </c>
      <c r="D78" s="1723">
        <f t="shared" si="9"/>
        <v>237043</v>
      </c>
      <c r="E78" s="1723">
        <f t="shared" si="9"/>
        <v>-23071</v>
      </c>
      <c r="F78" s="1723">
        <f t="shared" si="9"/>
        <v>-211057</v>
      </c>
      <c r="G78" s="1723">
        <f t="shared" si="9"/>
        <v>4773</v>
      </c>
      <c r="H78" s="1723">
        <f t="shared" si="9"/>
        <v>0</v>
      </c>
      <c r="I78" s="1723">
        <f t="shared" si="9"/>
        <v>1338</v>
      </c>
      <c r="J78" s="1723">
        <f t="shared" si="9"/>
        <v>4289</v>
      </c>
      <c r="K78" s="1723">
        <f t="shared" si="9"/>
        <v>28786</v>
      </c>
      <c r="L78" s="533"/>
    </row>
    <row r="79" spans="1:12" ht="13.5" thickTop="1" x14ac:dyDescent="0.2">
      <c r="A79" s="1515" t="s">
        <v>2073</v>
      </c>
      <c r="B79" s="534"/>
      <c r="C79" s="478">
        <v>894622</v>
      </c>
      <c r="D79" s="535">
        <v>103506</v>
      </c>
      <c r="E79" s="535">
        <v>23139</v>
      </c>
      <c r="F79" s="535">
        <v>397111</v>
      </c>
      <c r="G79" s="535">
        <v>32580</v>
      </c>
      <c r="H79" s="535"/>
      <c r="I79" s="535">
        <v>2813</v>
      </c>
      <c r="J79" s="535">
        <v>19942</v>
      </c>
      <c r="K79" s="535">
        <v>5276</v>
      </c>
      <c r="L79" s="347"/>
    </row>
    <row r="80" spans="1:12" x14ac:dyDescent="0.2">
      <c r="A80" s="2156" t="s">
        <v>1898</v>
      </c>
      <c r="B80" s="2157"/>
      <c r="C80" s="467"/>
      <c r="D80" s="467"/>
      <c r="E80" s="467"/>
      <c r="F80" s="467"/>
      <c r="G80" s="467"/>
      <c r="H80" s="467"/>
      <c r="I80" s="467"/>
      <c r="J80" s="467"/>
      <c r="K80" s="467"/>
      <c r="L80" s="347"/>
    </row>
    <row r="81" spans="1:12" ht="13.5" thickBot="1" x14ac:dyDescent="0.25">
      <c r="A81" s="2148" t="s">
        <v>2074</v>
      </c>
      <c r="B81" s="2149"/>
      <c r="C81" s="1709">
        <f>(SUM(C78:C80))</f>
        <v>959240</v>
      </c>
      <c r="D81" s="1709">
        <f>SUM(D78:D80)</f>
        <v>340549</v>
      </c>
      <c r="E81" s="1709">
        <f t="shared" ref="E81:K81" si="10">SUM(E78:E80)</f>
        <v>68</v>
      </c>
      <c r="F81" s="1709">
        <f t="shared" si="10"/>
        <v>186054</v>
      </c>
      <c r="G81" s="1709">
        <f t="shared" si="10"/>
        <v>37353</v>
      </c>
      <c r="H81" s="1709">
        <f t="shared" si="10"/>
        <v>0</v>
      </c>
      <c r="I81" s="1709">
        <f t="shared" si="10"/>
        <v>4151</v>
      </c>
      <c r="J81" s="1709">
        <f t="shared" si="10"/>
        <v>24231</v>
      </c>
      <c r="K81" s="1709">
        <f t="shared" si="10"/>
        <v>34062</v>
      </c>
      <c r="L81" s="347"/>
    </row>
    <row r="82" spans="1:12" ht="0.75" customHeight="1" thickTop="1" thickBot="1" x14ac:dyDescent="0.25">
      <c r="A82" s="536" t="s">
        <v>361</v>
      </c>
      <c r="B82" s="537"/>
      <c r="C82" s="538">
        <f>(C81-C79)</f>
        <v>64618</v>
      </c>
      <c r="D82" s="538">
        <f t="shared" ref="D82:K82" si="11">(D81-D79)</f>
        <v>237043</v>
      </c>
      <c r="E82" s="538">
        <f t="shared" si="11"/>
        <v>-23071</v>
      </c>
      <c r="F82" s="538">
        <f t="shared" si="11"/>
        <v>-211057</v>
      </c>
      <c r="G82" s="538">
        <f t="shared" si="11"/>
        <v>4773</v>
      </c>
      <c r="H82" s="538">
        <f t="shared" si="11"/>
        <v>0</v>
      </c>
      <c r="I82" s="538">
        <f t="shared" si="11"/>
        <v>1338</v>
      </c>
      <c r="J82" s="538">
        <f t="shared" si="11"/>
        <v>4289</v>
      </c>
      <c r="K82" s="538">
        <f t="shared" si="11"/>
        <v>28786</v>
      </c>
    </row>
    <row r="83" spans="1:12" ht="14.25" hidden="1" thickTop="1" thickBot="1" x14ac:dyDescent="0.25">
      <c r="A83" s="539" t="s">
        <v>362</v>
      </c>
      <c r="B83" s="464"/>
      <c r="C83" s="540">
        <f>C82/C81</f>
        <v>6.7363746299153496E-2</v>
      </c>
      <c r="D83" s="540">
        <f t="shared" ref="D83:K83" si="12">D82/D81</f>
        <v>0.69606135974558725</v>
      </c>
      <c r="E83" s="540">
        <f t="shared" si="12"/>
        <v>-339.27941176470586</v>
      </c>
      <c r="F83" s="540">
        <f t="shared" si="12"/>
        <v>-1.134385715974932</v>
      </c>
      <c r="G83" s="540">
        <f t="shared" si="12"/>
        <v>0.12778090113243917</v>
      </c>
      <c r="H83" s="540" t="e">
        <f t="shared" si="12"/>
        <v>#DIV/0!</v>
      </c>
      <c r="I83" s="540">
        <f t="shared" si="12"/>
        <v>0.32233196820043364</v>
      </c>
      <c r="J83" s="540">
        <f t="shared" si="12"/>
        <v>0.1770046634476497</v>
      </c>
      <c r="K83" s="540">
        <f t="shared" si="12"/>
        <v>0.84510598320709296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tabSelected="1" defaultGridColor="0" colorId="8" zoomScaleNormal="100" zoomScaleSheetLayoutView="75" workbookViewId="0">
      <pane ySplit="2" topLeftCell="A255" activePane="bottomLeft" state="frozen"/>
      <selection activeCell="D49" sqref="D49"/>
      <selection pane="bottomLeft" activeCell="D49" sqref="D4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2" t="s">
        <v>1905</v>
      </c>
      <c r="B1" s="452"/>
      <c r="C1" s="453" t="s">
        <v>445</v>
      </c>
      <c r="D1" s="453" t="s">
        <v>446</v>
      </c>
      <c r="E1" s="453" t="s">
        <v>447</v>
      </c>
      <c r="F1" s="453" t="s">
        <v>448</v>
      </c>
      <c r="G1" s="453" t="s">
        <v>449</v>
      </c>
      <c r="H1" s="453" t="s">
        <v>450</v>
      </c>
      <c r="I1" s="453" t="s">
        <v>451</v>
      </c>
      <c r="J1" s="453" t="s">
        <v>452</v>
      </c>
      <c r="K1" s="453" t="s">
        <v>780</v>
      </c>
    </row>
    <row r="2" spans="1:12" ht="36" x14ac:dyDescent="0.2">
      <c r="A2" s="215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930771</v>
      </c>
      <c r="D5" s="481">
        <v>161668</v>
      </c>
      <c r="E5" s="466"/>
      <c r="F5" s="548">
        <v>11764</v>
      </c>
      <c r="G5" s="466">
        <v>14969</v>
      </c>
      <c r="H5" s="466"/>
      <c r="I5" s="466">
        <v>1293</v>
      </c>
      <c r="J5" s="467">
        <v>25508</v>
      </c>
      <c r="K5" s="466">
        <v>5370</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2953</v>
      </c>
      <c r="D7" s="466"/>
      <c r="E7" s="468"/>
      <c r="F7" s="467"/>
      <c r="G7" s="467"/>
      <c r="H7" s="467"/>
      <c r="I7" s="468"/>
      <c r="J7" s="468"/>
      <c r="K7" s="468"/>
    </row>
    <row r="8" spans="1:12" x14ac:dyDescent="0.2">
      <c r="A8" s="463" t="s">
        <v>433</v>
      </c>
      <c r="B8" s="470">
        <v>1150</v>
      </c>
      <c r="C8" s="475"/>
      <c r="D8" s="475"/>
      <c r="E8" s="477"/>
      <c r="F8" s="477"/>
      <c r="G8" s="481">
        <v>19764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933724</v>
      </c>
      <c r="D12" s="1728">
        <f t="shared" si="0"/>
        <v>161668</v>
      </c>
      <c r="E12" s="1728">
        <f t="shared" si="0"/>
        <v>0</v>
      </c>
      <c r="F12" s="1728">
        <f t="shared" si="0"/>
        <v>11764</v>
      </c>
      <c r="G12" s="1728">
        <f t="shared" si="0"/>
        <v>34733</v>
      </c>
      <c r="H12" s="1728">
        <f t="shared" si="0"/>
        <v>0</v>
      </c>
      <c r="I12" s="1728">
        <f t="shared" si="0"/>
        <v>1293</v>
      </c>
      <c r="J12" s="1728">
        <f t="shared" si="0"/>
        <v>25508</v>
      </c>
      <c r="K12" s="1709">
        <f t="shared" si="0"/>
        <v>5370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17127</v>
      </c>
      <c r="D16" s="466"/>
      <c r="E16" s="466"/>
      <c r="F16" s="466"/>
      <c r="G16" s="466">
        <v>4553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17127</v>
      </c>
      <c r="D18" s="1731">
        <f t="shared" ref="D18:K18" si="1">SUM(D14:D17)</f>
        <v>0</v>
      </c>
      <c r="E18" s="1731">
        <f t="shared" si="1"/>
        <v>0</v>
      </c>
      <c r="F18" s="1731">
        <f t="shared" si="1"/>
        <v>0</v>
      </c>
      <c r="G18" s="1731">
        <f t="shared" si="1"/>
        <v>4553</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9566</v>
      </c>
      <c r="D65" s="466">
        <v>1213</v>
      </c>
      <c r="E65" s="466">
        <v>68</v>
      </c>
      <c r="F65" s="467">
        <v>2953</v>
      </c>
      <c r="G65" s="466">
        <v>262</v>
      </c>
      <c r="H65" s="466"/>
      <c r="I65" s="466">
        <v>45</v>
      </c>
      <c r="J65" s="467">
        <v>22</v>
      </c>
      <c r="K65" s="466">
        <v>277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9566</v>
      </c>
      <c r="D67" s="1709">
        <f t="shared" ref="D67:K67" si="2">SUM(D65:D66)</f>
        <v>1213</v>
      </c>
      <c r="E67" s="1709">
        <f t="shared" si="2"/>
        <v>68</v>
      </c>
      <c r="F67" s="1709">
        <f t="shared" si="2"/>
        <v>2953</v>
      </c>
      <c r="G67" s="1709">
        <f t="shared" si="2"/>
        <v>262</v>
      </c>
      <c r="H67" s="1709">
        <f t="shared" si="2"/>
        <v>0</v>
      </c>
      <c r="I67" s="1709">
        <f t="shared" si="2"/>
        <v>45</v>
      </c>
      <c r="J67" s="1709">
        <f t="shared" si="2"/>
        <v>22</v>
      </c>
      <c r="K67" s="1709">
        <f t="shared" si="2"/>
        <v>277</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18048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1775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19823</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5429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8299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13728</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v>
      </c>
      <c r="D107" s="466">
        <v>92</v>
      </c>
      <c r="E107" s="466"/>
      <c r="F107" s="466"/>
      <c r="G107" s="466"/>
      <c r="H107" s="466"/>
      <c r="I107" s="466"/>
      <c r="J107" s="467"/>
      <c r="K107" s="466"/>
    </row>
    <row r="108" spans="1:12" ht="12.75" customHeight="1" thickBot="1" x14ac:dyDescent="0.25">
      <c r="A108" s="1729" t="s">
        <v>508</v>
      </c>
      <c r="B108" s="1733"/>
      <c r="C108" s="1728">
        <f>SUM(C95:C107)</f>
        <v>20</v>
      </c>
      <c r="D108" s="1728">
        <f t="shared" ref="D108:K108" si="3">SUM(D95:D107)</f>
        <v>92</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993988</v>
      </c>
      <c r="D109" s="1736">
        <f t="shared" si="4"/>
        <v>162973</v>
      </c>
      <c r="E109" s="1736">
        <f t="shared" si="4"/>
        <v>68</v>
      </c>
      <c r="F109" s="1736">
        <f t="shared" si="4"/>
        <v>14717</v>
      </c>
      <c r="G109" s="1736">
        <f t="shared" si="4"/>
        <v>39548</v>
      </c>
      <c r="H109" s="1736">
        <f t="shared" si="4"/>
        <v>0</v>
      </c>
      <c r="I109" s="1736">
        <f t="shared" si="4"/>
        <v>1338</v>
      </c>
      <c r="J109" s="1736">
        <f t="shared" si="4"/>
        <v>25530</v>
      </c>
      <c r="K109" s="1723">
        <f t="shared" si="4"/>
        <v>5647</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110630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110630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7898</v>
      </c>
      <c r="D125" s="561"/>
      <c r="E125" s="468"/>
      <c r="F125" s="466"/>
      <c r="G125" s="468"/>
      <c r="H125" s="468"/>
      <c r="I125" s="468"/>
      <c r="J125" s="468"/>
      <c r="K125" s="468"/>
    </row>
    <row r="126" spans="1:11" ht="12.75" customHeight="1" x14ac:dyDescent="0.2">
      <c r="A126" s="463" t="s">
        <v>922</v>
      </c>
      <c r="B126" s="562">
        <v>3110</v>
      </c>
      <c r="C126" s="551">
        <v>8797</v>
      </c>
      <c r="D126" s="466"/>
      <c r="E126" s="468"/>
      <c r="F126" s="466"/>
      <c r="G126" s="468"/>
      <c r="H126" s="468"/>
      <c r="I126" s="468"/>
      <c r="J126" s="468"/>
      <c r="K126" s="468"/>
    </row>
    <row r="127" spans="1:11" ht="12.75" customHeight="1" x14ac:dyDescent="0.2">
      <c r="A127" s="463" t="s">
        <v>107</v>
      </c>
      <c r="B127" s="562">
        <v>3120</v>
      </c>
      <c r="C127" s="466">
        <v>80790</v>
      </c>
      <c r="D127" s="561"/>
      <c r="E127" s="468"/>
      <c r="F127" s="466"/>
      <c r="G127" s="468"/>
      <c r="H127" s="468"/>
      <c r="I127" s="468"/>
      <c r="J127" s="468"/>
      <c r="K127" s="468"/>
    </row>
    <row r="128" spans="1:11" ht="12.75" customHeight="1" x14ac:dyDescent="0.2">
      <c r="A128" s="463" t="s">
        <v>1522</v>
      </c>
      <c r="B128" s="562">
        <v>3130</v>
      </c>
      <c r="C128" s="466">
        <v>1426</v>
      </c>
      <c r="D128" s="561"/>
      <c r="E128" s="468"/>
      <c r="F128" s="466"/>
      <c r="G128" s="468"/>
      <c r="H128" s="468"/>
      <c r="I128" s="468"/>
      <c r="J128" s="468"/>
      <c r="K128" s="468"/>
    </row>
    <row r="129" spans="1:11" ht="12.75" customHeight="1" x14ac:dyDescent="0.2">
      <c r="A129" s="463" t="s">
        <v>139</v>
      </c>
      <c r="B129" s="562">
        <v>3145</v>
      </c>
      <c r="C129" s="466">
        <v>83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98994</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4226</v>
      </c>
      <c r="D139" s="466"/>
      <c r="E139" s="561"/>
      <c r="F139" s="477"/>
      <c r="G139" s="467"/>
      <c r="H139" s="468"/>
      <c r="I139" s="468"/>
      <c r="J139" s="468"/>
      <c r="K139" s="468"/>
    </row>
    <row r="140" spans="1:11" ht="12.75" customHeight="1" thickBot="1" x14ac:dyDescent="0.25">
      <c r="A140" s="1729" t="s">
        <v>624</v>
      </c>
      <c r="B140" s="1741"/>
      <c r="C140" s="1728">
        <f>SUM(C133:C139)</f>
        <v>4226</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162</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41233</v>
      </c>
      <c r="G151" s="467"/>
      <c r="H151" s="468"/>
      <c r="I151" s="468"/>
      <c r="J151" s="468"/>
      <c r="K151" s="468"/>
    </row>
    <row r="152" spans="1:11" ht="12.75" customHeight="1" x14ac:dyDescent="0.2">
      <c r="A152" s="463" t="s">
        <v>1117</v>
      </c>
      <c r="B152" s="562">
        <v>3510</v>
      </c>
      <c r="C152" s="551"/>
      <c r="D152" s="466"/>
      <c r="E152" s="561"/>
      <c r="F152" s="466">
        <v>21087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62320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428</v>
      </c>
      <c r="D171" s="580"/>
      <c r="E171" s="580"/>
      <c r="F171" s="580"/>
      <c r="G171" s="581"/>
      <c r="H171" s="582"/>
      <c r="I171" s="581"/>
      <c r="J171" s="581"/>
      <c r="K171" s="582"/>
    </row>
    <row r="172" spans="1:11" ht="12.75" customHeight="1" thickTop="1" thickBot="1" x14ac:dyDescent="0.25">
      <c r="A172" s="2172" t="s">
        <v>418</v>
      </c>
      <c r="B172" s="2173"/>
      <c r="C172" s="1743">
        <f t="shared" ref="C172:K172" si="6">SUM(C131,C140,C144,C145:C149,C154,C155:C170,C171)</f>
        <v>103810</v>
      </c>
      <c r="D172" s="1743">
        <f t="shared" si="6"/>
        <v>0</v>
      </c>
      <c r="E172" s="1743">
        <f t="shared" si="6"/>
        <v>0</v>
      </c>
      <c r="F172" s="1743">
        <f t="shared" si="6"/>
        <v>62320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214440</v>
      </c>
      <c r="D173" s="1736">
        <f>SUM(D121,D172)</f>
        <v>0</v>
      </c>
      <c r="E173" s="1736">
        <f>SUM(E121,E172)</f>
        <v>0</v>
      </c>
      <c r="F173" s="1736">
        <f t="shared" ref="F173:K173" si="7">SUM(F121,F172)</f>
        <v>62320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4" t="s">
        <v>1572</v>
      </c>
      <c r="B175" s="217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8" t="s">
        <v>1764</v>
      </c>
      <c r="B178" s="2179"/>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2" t="s">
        <v>1763</v>
      </c>
      <c r="B179" s="218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18459</v>
      </c>
      <c r="D183" s="466"/>
      <c r="E183" s="468"/>
      <c r="F183" s="466"/>
      <c r="G183" s="466"/>
      <c r="H183" s="466"/>
      <c r="I183" s="468"/>
      <c r="J183" s="468"/>
      <c r="K183" s="466"/>
    </row>
    <row r="184" spans="1:11" ht="13.5" thickBot="1" x14ac:dyDescent="0.25">
      <c r="A184" s="2180" t="s">
        <v>818</v>
      </c>
      <c r="B184" s="2181"/>
      <c r="C184" s="1728">
        <f>SUM(C180:C183)</f>
        <v>18459</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6" t="s">
        <v>1906</v>
      </c>
      <c r="B185" s="2177"/>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13896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13896</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74977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74977</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6597</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6597</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486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27419</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27905</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3285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612</v>
      </c>
      <c r="D270" s="576"/>
      <c r="E270" s="468"/>
      <c r="F270" s="576"/>
      <c r="G270" s="576"/>
      <c r="H270" s="468"/>
      <c r="I270" s="468"/>
      <c r="J270" s="468"/>
      <c r="K270" s="468"/>
    </row>
    <row r="271" spans="1:11" ht="12.75" customHeight="1" thickTop="1" thickBot="1" x14ac:dyDescent="0.25">
      <c r="A271" s="463" t="s">
        <v>395</v>
      </c>
      <c r="B271" s="470">
        <v>4992</v>
      </c>
      <c r="C271" s="575">
        <v>6432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133704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152163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1360591</v>
      </c>
      <c r="D275" s="1736">
        <f t="shared" si="12"/>
        <v>162973</v>
      </c>
      <c r="E275" s="1736">
        <f t="shared" si="12"/>
        <v>68</v>
      </c>
      <c r="F275" s="1736">
        <f t="shared" si="12"/>
        <v>77037</v>
      </c>
      <c r="G275" s="1736">
        <f t="shared" si="12"/>
        <v>39548</v>
      </c>
      <c r="H275" s="1736">
        <f t="shared" si="12"/>
        <v>0</v>
      </c>
      <c r="I275" s="1736">
        <f t="shared" si="12"/>
        <v>1338</v>
      </c>
      <c r="J275" s="1736">
        <f t="shared" si="12"/>
        <v>25530</v>
      </c>
      <c r="K275" s="1723">
        <f t="shared" si="12"/>
        <v>5647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tabSelected="1" defaultGridColor="0" colorId="8" zoomScaleNormal="100" workbookViewId="0">
      <pane ySplit="2" topLeftCell="A93" activePane="bottomLeft" state="frozen"/>
      <selection activeCell="D49" sqref="D49"/>
      <selection pane="bottomLeft" activeCell="D49" sqref="D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2" t="s">
        <v>315</v>
      </c>
      <c r="B3" s="2193"/>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427124</v>
      </c>
      <c r="D5" s="466">
        <v>128940</v>
      </c>
      <c r="E5" s="466">
        <v>5143</v>
      </c>
      <c r="F5" s="466">
        <v>22201</v>
      </c>
      <c r="G5" s="466"/>
      <c r="H5" s="466"/>
      <c r="I5" s="467"/>
      <c r="J5" s="467"/>
      <c r="K5" s="1692">
        <f>SUM(C5:J5)</f>
        <v>583408</v>
      </c>
      <c r="L5" s="466">
        <v>585052</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57272</v>
      </c>
      <c r="D8" s="466">
        <v>11609</v>
      </c>
      <c r="E8" s="466">
        <v>245</v>
      </c>
      <c r="F8" s="466"/>
      <c r="G8" s="466"/>
      <c r="H8" s="466"/>
      <c r="I8" s="467"/>
      <c r="J8" s="467"/>
      <c r="K8" s="1692">
        <f t="shared" si="0"/>
        <v>69126</v>
      </c>
      <c r="L8" s="466">
        <v>59954</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37621</v>
      </c>
      <c r="D10" s="466">
        <v>9564</v>
      </c>
      <c r="E10" s="466">
        <v>1460</v>
      </c>
      <c r="F10" s="466">
        <v>4963</v>
      </c>
      <c r="G10" s="466"/>
      <c r="H10" s="466"/>
      <c r="I10" s="467"/>
      <c r="J10" s="467"/>
      <c r="K10" s="1692">
        <f t="shared" si="0"/>
        <v>53608</v>
      </c>
      <c r="L10" s="466">
        <v>42198</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2625</v>
      </c>
      <c r="D14" s="466"/>
      <c r="E14" s="466"/>
      <c r="F14" s="466">
        <v>225</v>
      </c>
      <c r="G14" s="466"/>
      <c r="H14" s="466"/>
      <c r="I14" s="467"/>
      <c r="J14" s="467"/>
      <c r="K14" s="1692">
        <f t="shared" si="0"/>
        <v>2850</v>
      </c>
      <c r="L14" s="466">
        <v>2800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524642</v>
      </c>
      <c r="D33" s="1691">
        <f t="shared" ref="D33:L33" si="1">SUM(D5:D32)</f>
        <v>150113</v>
      </c>
      <c r="E33" s="1691">
        <f t="shared" si="1"/>
        <v>6848</v>
      </c>
      <c r="F33" s="1691">
        <f t="shared" si="1"/>
        <v>27389</v>
      </c>
      <c r="G33" s="1691">
        <f t="shared" si="1"/>
        <v>0</v>
      </c>
      <c r="H33" s="1691">
        <f t="shared" si="1"/>
        <v>0</v>
      </c>
      <c r="I33" s="1691">
        <f t="shared" si="1"/>
        <v>0</v>
      </c>
      <c r="J33" s="1691">
        <f t="shared" si="1"/>
        <v>0</v>
      </c>
      <c r="K33" s="1691">
        <f t="shared" si="1"/>
        <v>708992</v>
      </c>
      <c r="L33" s="1691">
        <f t="shared" si="1"/>
        <v>690004</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3111</v>
      </c>
      <c r="D38" s="466"/>
      <c r="E38" s="466">
        <v>700</v>
      </c>
      <c r="F38" s="466">
        <v>235</v>
      </c>
      <c r="G38" s="466"/>
      <c r="H38" s="466"/>
      <c r="I38" s="467"/>
      <c r="J38" s="467"/>
      <c r="K38" s="1692">
        <f t="shared" si="2"/>
        <v>4046</v>
      </c>
      <c r="L38" s="466">
        <v>4022</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3111</v>
      </c>
      <c r="D42" s="1691">
        <f t="shared" ref="D42:L42" si="3">SUM(D36:D41)</f>
        <v>0</v>
      </c>
      <c r="E42" s="1691">
        <f t="shared" si="3"/>
        <v>700</v>
      </c>
      <c r="F42" s="1691">
        <f t="shared" si="3"/>
        <v>235</v>
      </c>
      <c r="G42" s="1691">
        <f t="shared" si="3"/>
        <v>0</v>
      </c>
      <c r="H42" s="1691">
        <f t="shared" si="3"/>
        <v>0</v>
      </c>
      <c r="I42" s="1691">
        <f t="shared" si="3"/>
        <v>0</v>
      </c>
      <c r="J42" s="1691">
        <f t="shared" si="3"/>
        <v>0</v>
      </c>
      <c r="K42" s="1691">
        <f t="shared" si="3"/>
        <v>4046</v>
      </c>
      <c r="L42" s="1691">
        <f t="shared" si="3"/>
        <v>4022</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765</v>
      </c>
      <c r="D44" s="481">
        <v>262</v>
      </c>
      <c r="E44" s="481">
        <v>4680</v>
      </c>
      <c r="F44" s="481"/>
      <c r="G44" s="481"/>
      <c r="H44" s="481"/>
      <c r="I44" s="467"/>
      <c r="J44" s="467"/>
      <c r="K44" s="1693">
        <f>SUM(C44:J44)</f>
        <v>5707</v>
      </c>
      <c r="L44" s="481">
        <v>23348</v>
      </c>
    </row>
    <row r="45" spans="1:14" x14ac:dyDescent="0.2">
      <c r="A45" s="1525" t="s">
        <v>869</v>
      </c>
      <c r="B45" s="615">
        <v>2220</v>
      </c>
      <c r="C45" s="466">
        <v>12312</v>
      </c>
      <c r="D45" s="466">
        <v>11993</v>
      </c>
      <c r="E45" s="466"/>
      <c r="F45" s="466">
        <v>3798</v>
      </c>
      <c r="G45" s="466">
        <v>959</v>
      </c>
      <c r="H45" s="466"/>
      <c r="I45" s="467"/>
      <c r="J45" s="467"/>
      <c r="K45" s="1693">
        <f>SUM(C45:J45)</f>
        <v>29062</v>
      </c>
      <c r="L45" s="466">
        <v>27081</v>
      </c>
    </row>
    <row r="46" spans="1:14" x14ac:dyDescent="0.2">
      <c r="A46" s="1525" t="s">
        <v>870</v>
      </c>
      <c r="B46" s="615">
        <v>2230</v>
      </c>
      <c r="C46" s="466"/>
      <c r="D46" s="466"/>
      <c r="E46" s="466">
        <v>8066</v>
      </c>
      <c r="F46" s="466">
        <v>28248</v>
      </c>
      <c r="G46" s="466"/>
      <c r="H46" s="466"/>
      <c r="I46" s="467"/>
      <c r="J46" s="467"/>
      <c r="K46" s="1693">
        <f>SUM(C46:J46)</f>
        <v>36314</v>
      </c>
      <c r="L46" s="466">
        <v>31910</v>
      </c>
    </row>
    <row r="47" spans="1:14" ht="12.75" customHeight="1" thickBot="1" x14ac:dyDescent="0.25">
      <c r="A47" s="1689" t="s">
        <v>582</v>
      </c>
      <c r="B47" s="1690" t="s">
        <v>32</v>
      </c>
      <c r="C47" s="1691">
        <f>SUM(C44:C46)</f>
        <v>13077</v>
      </c>
      <c r="D47" s="1691">
        <f t="shared" ref="D47:K47" si="4">SUM(D44:D46)</f>
        <v>12255</v>
      </c>
      <c r="E47" s="1691">
        <f t="shared" si="4"/>
        <v>12746</v>
      </c>
      <c r="F47" s="1691">
        <f t="shared" si="4"/>
        <v>32046</v>
      </c>
      <c r="G47" s="1691">
        <f t="shared" si="4"/>
        <v>959</v>
      </c>
      <c r="H47" s="1691">
        <f t="shared" si="4"/>
        <v>0</v>
      </c>
      <c r="I47" s="1691">
        <f t="shared" si="4"/>
        <v>0</v>
      </c>
      <c r="J47" s="1691">
        <f t="shared" si="4"/>
        <v>0</v>
      </c>
      <c r="K47" s="1691">
        <f t="shared" si="4"/>
        <v>71083</v>
      </c>
      <c r="L47" s="1691">
        <f>SUM(L44:L46)</f>
        <v>82339</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34801</v>
      </c>
      <c r="F49" s="481">
        <v>998</v>
      </c>
      <c r="G49" s="481"/>
      <c r="H49" s="481">
        <v>315</v>
      </c>
      <c r="I49" s="467"/>
      <c r="J49" s="467"/>
      <c r="K49" s="1693">
        <f>SUM(C49:J49)</f>
        <v>36114</v>
      </c>
      <c r="L49" s="481">
        <v>41255</v>
      </c>
    </row>
    <row r="50" spans="1:14" x14ac:dyDescent="0.2">
      <c r="A50" s="1525" t="s">
        <v>872</v>
      </c>
      <c r="B50" s="615">
        <v>2320</v>
      </c>
      <c r="C50" s="466">
        <v>44100</v>
      </c>
      <c r="D50" s="466">
        <v>5641</v>
      </c>
      <c r="E50" s="466">
        <v>1008</v>
      </c>
      <c r="F50" s="466"/>
      <c r="G50" s="466"/>
      <c r="H50" s="466"/>
      <c r="I50" s="467"/>
      <c r="J50" s="467"/>
      <c r="K50" s="1693">
        <f>SUM(C50:J50)</f>
        <v>50749</v>
      </c>
      <c r="L50" s="466">
        <v>50450</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44100</v>
      </c>
      <c r="D53" s="1691">
        <f t="shared" ref="D53:L53" si="5">SUM(D49:D52)</f>
        <v>5641</v>
      </c>
      <c r="E53" s="1691">
        <f t="shared" si="5"/>
        <v>35809</v>
      </c>
      <c r="F53" s="1691">
        <f t="shared" si="5"/>
        <v>998</v>
      </c>
      <c r="G53" s="1691">
        <f t="shared" si="5"/>
        <v>0</v>
      </c>
      <c r="H53" s="1691">
        <f t="shared" si="5"/>
        <v>315</v>
      </c>
      <c r="I53" s="1691">
        <f t="shared" si="5"/>
        <v>0</v>
      </c>
      <c r="J53" s="1691">
        <f t="shared" si="5"/>
        <v>0</v>
      </c>
      <c r="K53" s="1691">
        <f t="shared" si="5"/>
        <v>86863</v>
      </c>
      <c r="L53" s="1691">
        <f t="shared" si="5"/>
        <v>91705</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105868</v>
      </c>
      <c r="D55" s="481">
        <v>18959</v>
      </c>
      <c r="E55" s="481">
        <v>1322</v>
      </c>
      <c r="F55" s="481">
        <v>1549</v>
      </c>
      <c r="G55" s="481"/>
      <c r="H55" s="481"/>
      <c r="I55" s="467"/>
      <c r="J55" s="467"/>
      <c r="K55" s="1693">
        <f>SUM(C55:J55)</f>
        <v>127698</v>
      </c>
      <c r="L55" s="481">
        <v>137035</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105868</v>
      </c>
      <c r="D57" s="1695">
        <f t="shared" ref="D57:K57" si="6">SUM(D55:D56)</f>
        <v>18959</v>
      </c>
      <c r="E57" s="1695">
        <f t="shared" si="6"/>
        <v>1322</v>
      </c>
      <c r="F57" s="1695">
        <f t="shared" si="6"/>
        <v>1549</v>
      </c>
      <c r="G57" s="1695">
        <f t="shared" si="6"/>
        <v>0</v>
      </c>
      <c r="H57" s="1695">
        <f t="shared" si="6"/>
        <v>0</v>
      </c>
      <c r="I57" s="1695">
        <f t="shared" si="6"/>
        <v>0</v>
      </c>
      <c r="J57" s="1695">
        <f t="shared" si="6"/>
        <v>0</v>
      </c>
      <c r="K57" s="1695">
        <f t="shared" si="6"/>
        <v>127698</v>
      </c>
      <c r="L57" s="1691">
        <f>SUM(L55:L56)</f>
        <v>137035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36706</v>
      </c>
      <c r="D59" s="481">
        <v>7371</v>
      </c>
      <c r="E59" s="481"/>
      <c r="F59" s="481">
        <v>239</v>
      </c>
      <c r="G59" s="481"/>
      <c r="H59" s="481"/>
      <c r="I59" s="467"/>
      <c r="J59" s="467"/>
      <c r="K59" s="1693">
        <f t="shared" ref="K59:K64" si="7">SUM(C59:J59)</f>
        <v>44316</v>
      </c>
      <c r="L59" s="481">
        <v>44507</v>
      </c>
      <c r="M59" s="610"/>
      <c r="N59" s="610"/>
    </row>
    <row r="60" spans="1:14" s="343" customFormat="1" x14ac:dyDescent="0.2">
      <c r="A60" s="1525" t="s">
        <v>483</v>
      </c>
      <c r="B60" s="615">
        <v>2520</v>
      </c>
      <c r="C60" s="466">
        <v>18879</v>
      </c>
      <c r="D60" s="466"/>
      <c r="E60" s="466"/>
      <c r="F60" s="466">
        <v>304</v>
      </c>
      <c r="G60" s="466"/>
      <c r="H60" s="466"/>
      <c r="I60" s="467"/>
      <c r="J60" s="467"/>
      <c r="K60" s="1693">
        <f t="shared" si="7"/>
        <v>19183</v>
      </c>
      <c r="L60" s="466">
        <v>22000</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20469</v>
      </c>
      <c r="D63" s="466"/>
      <c r="E63" s="466">
        <v>991</v>
      </c>
      <c r="F63" s="466">
        <v>19638</v>
      </c>
      <c r="G63" s="466">
        <v>4400</v>
      </c>
      <c r="H63" s="466">
        <v>189</v>
      </c>
      <c r="I63" s="467"/>
      <c r="J63" s="467"/>
      <c r="K63" s="1693">
        <f t="shared" si="7"/>
        <v>45687</v>
      </c>
      <c r="L63" s="466">
        <v>49600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76054</v>
      </c>
      <c r="D65" s="1691">
        <f t="shared" ref="D65:L65" si="8">SUM(D59:D64)</f>
        <v>7371</v>
      </c>
      <c r="E65" s="1691">
        <f t="shared" si="8"/>
        <v>991</v>
      </c>
      <c r="F65" s="1691">
        <f t="shared" si="8"/>
        <v>20181</v>
      </c>
      <c r="G65" s="1691">
        <f t="shared" si="8"/>
        <v>4400</v>
      </c>
      <c r="H65" s="1691">
        <f t="shared" si="8"/>
        <v>189</v>
      </c>
      <c r="I65" s="1691">
        <f t="shared" si="8"/>
        <v>0</v>
      </c>
      <c r="J65" s="1691">
        <f t="shared" si="8"/>
        <v>0</v>
      </c>
      <c r="K65" s="1691">
        <f t="shared" si="8"/>
        <v>109186</v>
      </c>
      <c r="L65" s="1691">
        <f t="shared" si="8"/>
        <v>116107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v>300</v>
      </c>
      <c r="D70" s="466">
        <v>68</v>
      </c>
      <c r="E70" s="466"/>
      <c r="F70" s="466"/>
      <c r="G70" s="466"/>
      <c r="H70" s="466"/>
      <c r="I70" s="467"/>
      <c r="J70" s="467"/>
      <c r="K70" s="1693">
        <f>SUM(C70:J70)</f>
        <v>368</v>
      </c>
      <c r="L70" s="466">
        <v>300</v>
      </c>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300</v>
      </c>
      <c r="D72" s="1691">
        <f t="shared" ref="D72:K72" si="9">SUM(D67:D71)</f>
        <v>68</v>
      </c>
      <c r="E72" s="1691">
        <f t="shared" si="9"/>
        <v>0</v>
      </c>
      <c r="F72" s="1691">
        <f t="shared" si="9"/>
        <v>0</v>
      </c>
      <c r="G72" s="1691">
        <f t="shared" si="9"/>
        <v>0</v>
      </c>
      <c r="H72" s="1691">
        <f t="shared" si="9"/>
        <v>0</v>
      </c>
      <c r="I72" s="1691">
        <f t="shared" si="9"/>
        <v>0</v>
      </c>
      <c r="J72" s="1691">
        <f t="shared" si="9"/>
        <v>0</v>
      </c>
      <c r="K72" s="1691">
        <f t="shared" si="9"/>
        <v>368</v>
      </c>
      <c r="L72" s="1691">
        <f>SUM(L67:L71)</f>
        <v>300</v>
      </c>
      <c r="M72" s="610"/>
      <c r="N72" s="610"/>
    </row>
    <row r="73" spans="1:14" s="343" customFormat="1" ht="14.25" thickTop="1" thickBot="1" x14ac:dyDescent="0.25">
      <c r="A73" s="1531" t="s">
        <v>1037</v>
      </c>
      <c r="B73" s="633" t="s">
        <v>595</v>
      </c>
      <c r="C73" s="573"/>
      <c r="D73" s="573"/>
      <c r="E73" s="573"/>
      <c r="F73" s="573">
        <v>60</v>
      </c>
      <c r="G73" s="573"/>
      <c r="H73" s="573"/>
      <c r="I73" s="531"/>
      <c r="J73" s="531"/>
      <c r="K73" s="1691">
        <f>SUM(C73:J73)</f>
        <v>60</v>
      </c>
      <c r="L73" s="576">
        <v>730</v>
      </c>
      <c r="M73" s="610"/>
      <c r="N73" s="610"/>
    </row>
    <row r="74" spans="1:14" ht="12.75" customHeight="1" thickTop="1" thickBot="1" x14ac:dyDescent="0.25">
      <c r="A74" s="1689" t="s">
        <v>865</v>
      </c>
      <c r="B74" s="1697">
        <v>2000</v>
      </c>
      <c r="C74" s="1698">
        <f>SUM(C42,C47,C53,C57,C65,C72,C73)</f>
        <v>242510</v>
      </c>
      <c r="D74" s="1698">
        <f t="shared" ref="D74:K74" si="10">SUM(D42,D47,D53,D57,D65,D72,D73)</f>
        <v>44294</v>
      </c>
      <c r="E74" s="1698">
        <f t="shared" si="10"/>
        <v>51568</v>
      </c>
      <c r="F74" s="1698">
        <f t="shared" si="10"/>
        <v>55069</v>
      </c>
      <c r="G74" s="1698">
        <f t="shared" si="10"/>
        <v>5359</v>
      </c>
      <c r="H74" s="1698">
        <f t="shared" si="10"/>
        <v>504</v>
      </c>
      <c r="I74" s="1698">
        <f t="shared" si="10"/>
        <v>0</v>
      </c>
      <c r="J74" s="1698">
        <f t="shared" si="10"/>
        <v>0</v>
      </c>
      <c r="K74" s="1698">
        <f t="shared" si="10"/>
        <v>399304</v>
      </c>
      <c r="L74" s="1698">
        <f>SUM(L42,L47,L53,L57,L65,L72,L73)</f>
        <v>432238</v>
      </c>
    </row>
    <row r="75" spans="1:14" s="259" customFormat="1" ht="15.75" customHeight="1" thickTop="1" thickBot="1" x14ac:dyDescent="0.25">
      <c r="A75" s="1631" t="s">
        <v>49</v>
      </c>
      <c r="B75" s="1632" t="s">
        <v>596</v>
      </c>
      <c r="C75" s="573"/>
      <c r="D75" s="573"/>
      <c r="E75" s="573"/>
      <c r="F75" s="573">
        <v>532</v>
      </c>
      <c r="G75" s="573"/>
      <c r="H75" s="573"/>
      <c r="I75" s="531"/>
      <c r="J75" s="531"/>
      <c r="K75" s="1691">
        <f>SUM(C75:J75)</f>
        <v>532</v>
      </c>
      <c r="L75" s="576">
        <v>400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179057</v>
      </c>
      <c r="F79" s="617"/>
      <c r="G79" s="617"/>
      <c r="H79" s="466"/>
      <c r="I79" s="477"/>
      <c r="J79" s="477"/>
      <c r="K79" s="1692">
        <f t="shared" si="11"/>
        <v>179057</v>
      </c>
      <c r="L79" s="466">
        <v>175500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179057</v>
      </c>
      <c r="F84" s="617"/>
      <c r="G84" s="617"/>
      <c r="H84" s="1691">
        <f>SUM(H78:H83)</f>
        <v>0</v>
      </c>
      <c r="I84" s="477"/>
      <c r="J84" s="477"/>
      <c r="K84" s="1691">
        <f>SUM(K78:K83)</f>
        <v>179057</v>
      </c>
      <c r="L84" s="1691">
        <f>SUM(L78:L83)</f>
        <v>175500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8088</v>
      </c>
      <c r="I86" s="477"/>
      <c r="J86" s="477"/>
      <c r="K86" s="1698">
        <f t="shared" ref="K86:K98" si="12">H86</f>
        <v>8088</v>
      </c>
      <c r="L86" s="530">
        <v>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8088</v>
      </c>
      <c r="I92" s="477"/>
      <c r="J92" s="477"/>
      <c r="K92" s="1698">
        <f t="shared" si="12"/>
        <v>8088</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179057</v>
      </c>
      <c r="F102" s="617"/>
      <c r="G102" s="617"/>
      <c r="H102" s="1698">
        <f>SUM(H84,H92,H100,H101)</f>
        <v>8088</v>
      </c>
      <c r="I102" s="477"/>
      <c r="J102" s="477"/>
      <c r="K102" s="1698">
        <f>SUM(K84,K92,K100,K101)</f>
        <v>187145</v>
      </c>
      <c r="L102" s="1698">
        <f>SUM(L84,L92,L100,L101)</f>
        <v>175500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767152</v>
      </c>
      <c r="D114" s="1691">
        <f t="shared" ref="D114:K114" si="13">SUM(D33,D74,D75,D102,D112,D113)</f>
        <v>194407</v>
      </c>
      <c r="E114" s="1691">
        <f t="shared" si="13"/>
        <v>237473</v>
      </c>
      <c r="F114" s="1691">
        <f t="shared" si="13"/>
        <v>82990</v>
      </c>
      <c r="G114" s="1691">
        <f t="shared" si="13"/>
        <v>5359</v>
      </c>
      <c r="H114" s="1691">
        <f>SUM(H33,H74,H75,H102,H112,H113)</f>
        <v>8592</v>
      </c>
      <c r="I114" s="1691">
        <f t="shared" si="13"/>
        <v>0</v>
      </c>
      <c r="J114" s="1691">
        <f t="shared" si="13"/>
        <v>0</v>
      </c>
      <c r="K114" s="1691">
        <f t="shared" si="13"/>
        <v>1295973</v>
      </c>
      <c r="L114" s="1691">
        <f>SUM(L33,L74,L75,L102,L112,L113)</f>
        <v>1298142</v>
      </c>
    </row>
    <row r="115" spans="1:14" ht="13.5" thickTop="1" x14ac:dyDescent="0.2">
      <c r="A115" s="2184" t="s">
        <v>1053</v>
      </c>
      <c r="B115" s="2185"/>
      <c r="C115" s="619"/>
      <c r="D115" s="619"/>
      <c r="E115" s="619"/>
      <c r="F115" s="619"/>
      <c r="G115" s="619"/>
      <c r="H115" s="619"/>
      <c r="I115" s="619"/>
      <c r="J115" s="619"/>
      <c r="K115" s="1705">
        <f>'Revenues 9-14'!C275-'Expenditures 15-22'!K114</f>
        <v>64618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9" t="s">
        <v>314</v>
      </c>
      <c r="B117" s="2190"/>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16720</v>
      </c>
      <c r="D124" s="466"/>
      <c r="E124" s="466">
        <v>97317</v>
      </c>
      <c r="F124" s="466">
        <v>6609</v>
      </c>
      <c r="G124" s="466">
        <v>4977</v>
      </c>
      <c r="H124" s="466">
        <v>307</v>
      </c>
      <c r="I124" s="467"/>
      <c r="J124" s="467"/>
      <c r="K124" s="1691">
        <f>SUM(C124:J124)</f>
        <v>125930</v>
      </c>
      <c r="L124" s="466">
        <v>101120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16720</v>
      </c>
      <c r="D127" s="1691">
        <f t="shared" ref="D127:L127" si="14">SUM(D122:D126)</f>
        <v>0</v>
      </c>
      <c r="E127" s="1691">
        <f t="shared" si="14"/>
        <v>97317</v>
      </c>
      <c r="F127" s="1691">
        <f t="shared" si="14"/>
        <v>6609</v>
      </c>
      <c r="G127" s="1691">
        <f t="shared" si="14"/>
        <v>4977</v>
      </c>
      <c r="H127" s="1691">
        <f t="shared" si="14"/>
        <v>307</v>
      </c>
      <c r="I127" s="1691">
        <f t="shared" si="14"/>
        <v>0</v>
      </c>
      <c r="J127" s="1691">
        <f t="shared" si="14"/>
        <v>0</v>
      </c>
      <c r="K127" s="1691">
        <f t="shared" si="14"/>
        <v>125930</v>
      </c>
      <c r="L127" s="1691">
        <f t="shared" si="14"/>
        <v>101120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16720</v>
      </c>
      <c r="D129" s="1698">
        <f t="shared" ref="D129:L129" si="15">SUM(D120,D127,D128)</f>
        <v>0</v>
      </c>
      <c r="E129" s="1698">
        <f t="shared" si="15"/>
        <v>97317</v>
      </c>
      <c r="F129" s="1698">
        <f t="shared" si="15"/>
        <v>6609</v>
      </c>
      <c r="G129" s="1698">
        <f t="shared" si="15"/>
        <v>4977</v>
      </c>
      <c r="H129" s="1698">
        <f t="shared" si="15"/>
        <v>307</v>
      </c>
      <c r="I129" s="1698">
        <f t="shared" si="15"/>
        <v>0</v>
      </c>
      <c r="J129" s="1698">
        <f t="shared" si="15"/>
        <v>0</v>
      </c>
      <c r="K129" s="1698">
        <f t="shared" si="15"/>
        <v>125930</v>
      </c>
      <c r="L129" s="1698">
        <f t="shared" si="15"/>
        <v>101120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1" t="s">
        <v>641</v>
      </c>
      <c r="B151" s="2181"/>
      <c r="C151" s="1691">
        <f>SUM(C129,C130,C139,C149,C150)</f>
        <v>16720</v>
      </c>
      <c r="D151" s="1691">
        <f t="shared" ref="D151:K151" si="16">SUM(D129,D130,D139,D149,D150)</f>
        <v>0</v>
      </c>
      <c r="E151" s="1691">
        <f t="shared" si="16"/>
        <v>97317</v>
      </c>
      <c r="F151" s="1691">
        <f t="shared" si="16"/>
        <v>6609</v>
      </c>
      <c r="G151" s="1691">
        <f t="shared" si="16"/>
        <v>4977</v>
      </c>
      <c r="H151" s="1691">
        <f t="shared" si="16"/>
        <v>307</v>
      </c>
      <c r="I151" s="1691">
        <f t="shared" si="16"/>
        <v>0</v>
      </c>
      <c r="J151" s="1691">
        <f t="shared" si="16"/>
        <v>0</v>
      </c>
      <c r="K151" s="1691">
        <f t="shared" si="16"/>
        <v>125930</v>
      </c>
      <c r="L151" s="1691">
        <f>SUM(L129,L130,L139,L149,L150)</f>
        <v>101120</v>
      </c>
    </row>
    <row r="152" spans="1:14" ht="12.75" customHeight="1" thickTop="1" x14ac:dyDescent="0.2">
      <c r="A152" s="2204" t="s">
        <v>1240</v>
      </c>
      <c r="B152" s="2205"/>
      <c r="C152" s="619"/>
      <c r="D152" s="619"/>
      <c r="E152" s="619"/>
      <c r="F152" s="619"/>
      <c r="G152" s="619"/>
      <c r="H152" s="619"/>
      <c r="I152" s="619"/>
      <c r="J152" s="617"/>
      <c r="K152" s="1705">
        <f>'Revenues 9-14'!D275-'Expenditures 15-22'!K151</f>
        <v>37043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9" t="s">
        <v>642</v>
      </c>
      <c r="B154" s="2191"/>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84" t="s">
        <v>1053</v>
      </c>
      <c r="B175" s="2185"/>
      <c r="C175" s="617"/>
      <c r="D175" s="617"/>
      <c r="E175" s="617"/>
      <c r="F175" s="617"/>
      <c r="G175" s="617"/>
      <c r="H175" s="619"/>
      <c r="I175" s="617"/>
      <c r="J175" s="617"/>
      <c r="K175" s="1705">
        <f>'Revenues 9-14'!E275-'Expenditures 15-22'!K174</f>
        <v>68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v>60272</v>
      </c>
      <c r="F182" s="466"/>
      <c r="G182" s="466"/>
      <c r="H182" s="466"/>
      <c r="I182" s="467"/>
      <c r="J182" s="467"/>
      <c r="K182" s="1692">
        <f>SUM(C182:J182)</f>
        <v>60272</v>
      </c>
      <c r="L182" s="466">
        <v>80000</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60272</v>
      </c>
      <c r="F184" s="1698">
        <f t="shared" si="17"/>
        <v>0</v>
      </c>
      <c r="G184" s="1698">
        <f t="shared" si="17"/>
        <v>0</v>
      </c>
      <c r="H184" s="1698">
        <f t="shared" si="17"/>
        <v>0</v>
      </c>
      <c r="I184" s="1698">
        <f t="shared" si="17"/>
        <v>0</v>
      </c>
      <c r="J184" s="1698">
        <f t="shared" si="17"/>
        <v>0</v>
      </c>
      <c r="K184" s="1698">
        <f>SUM(K180,K182,K183)</f>
        <v>60272</v>
      </c>
      <c r="L184" s="1698">
        <f>SUM(L180, L182:L183)</f>
        <v>80000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v>27822</v>
      </c>
      <c r="I189" s="477"/>
      <c r="J189" s="617"/>
      <c r="K189" s="1692">
        <f t="shared" si="18"/>
        <v>27822</v>
      </c>
      <c r="L189" s="466">
        <v>20000</v>
      </c>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27822</v>
      </c>
      <c r="I194" s="477"/>
      <c r="J194" s="617"/>
      <c r="K194" s="1691">
        <f>SUM(K188:K193)</f>
        <v>27822</v>
      </c>
      <c r="L194" s="1691">
        <f>SUM(L188:L193)</f>
        <v>20000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27822</v>
      </c>
      <c r="I196" s="477"/>
      <c r="J196" s="617"/>
      <c r="K196" s="1698">
        <f>SUM(K194,K195)</f>
        <v>27822</v>
      </c>
      <c r="L196" s="1698">
        <f>SUM(L194,L195)</f>
        <v>20000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60272</v>
      </c>
      <c r="F210" s="1691">
        <f>SUM(F184,F185)</f>
        <v>0</v>
      </c>
      <c r="G210" s="1691">
        <f>SUM(G184,G185)</f>
        <v>0</v>
      </c>
      <c r="H210" s="1691">
        <f>SUM(H184,H185,H196,H208,H209)</f>
        <v>27822</v>
      </c>
      <c r="I210" s="1691">
        <f>SUM(I184,I185)</f>
        <v>0</v>
      </c>
      <c r="J210" s="1691">
        <f>SUM(J184,J185)</f>
        <v>0</v>
      </c>
      <c r="K210" s="1692">
        <f>SUM(K184,K185,K196,K208,K209)</f>
        <v>88094</v>
      </c>
      <c r="L210" s="1691">
        <f>SUM(L184,L185,L196,L208,L209)</f>
        <v>100000</v>
      </c>
    </row>
    <row r="211" spans="1:14" ht="13.5" thickTop="1" x14ac:dyDescent="0.2">
      <c r="A211" s="2184" t="s">
        <v>1053</v>
      </c>
      <c r="B211" s="2185"/>
      <c r="C211" s="619"/>
      <c r="D211" s="619"/>
      <c r="E211" s="619"/>
      <c r="F211" s="619"/>
      <c r="G211" s="619"/>
      <c r="H211" s="619"/>
      <c r="I211" s="617"/>
      <c r="J211" s="617"/>
      <c r="K211" s="1705">
        <f>'Revenues 9-14'!F275-'Expenditures 15-22'!K210</f>
        <v>-11057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6" t="s">
        <v>1022</v>
      </c>
      <c r="B213" s="2207"/>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6211</v>
      </c>
      <c r="E215" s="617"/>
      <c r="F215" s="617"/>
      <c r="G215" s="617"/>
      <c r="H215" s="617"/>
      <c r="I215" s="617"/>
      <c r="J215" s="617"/>
      <c r="K215" s="1692">
        <f>D215</f>
        <v>6211</v>
      </c>
      <c r="L215" s="466">
        <v>6500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4078</v>
      </c>
      <c r="E217" s="617"/>
      <c r="F217" s="617"/>
      <c r="G217" s="617"/>
      <c r="H217" s="617"/>
      <c r="I217" s="617"/>
      <c r="J217" s="617"/>
      <c r="K217" s="1692">
        <f t="shared" si="19"/>
        <v>4078</v>
      </c>
      <c r="L217" s="466">
        <v>3100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537</v>
      </c>
      <c r="E219" s="617"/>
      <c r="F219" s="617"/>
      <c r="G219" s="617"/>
      <c r="H219" s="617"/>
      <c r="I219" s="617"/>
      <c r="J219" s="617"/>
      <c r="K219" s="1692">
        <f t="shared" si="19"/>
        <v>537</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86</v>
      </c>
      <c r="E223" s="617"/>
      <c r="F223" s="617"/>
      <c r="G223" s="617"/>
      <c r="H223" s="617"/>
      <c r="I223" s="617"/>
      <c r="J223" s="617"/>
      <c r="K223" s="1692">
        <f t="shared" si="19"/>
        <v>86</v>
      </c>
      <c r="L223" s="466">
        <v>90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10912</v>
      </c>
      <c r="E229" s="617"/>
      <c r="F229" s="617"/>
      <c r="G229" s="617"/>
      <c r="H229" s="617"/>
      <c r="I229" s="617"/>
      <c r="J229" s="617"/>
      <c r="K229" s="1691">
        <f>SUM(K215:K228)</f>
        <v>10912</v>
      </c>
      <c r="L229" s="1691">
        <f>SUM(L215:L228)</f>
        <v>9690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v>537</v>
      </c>
      <c r="E234" s="617"/>
      <c r="F234" s="617"/>
      <c r="G234" s="617"/>
      <c r="H234" s="617"/>
      <c r="I234" s="617"/>
      <c r="J234" s="617"/>
      <c r="K234" s="1692">
        <f t="shared" si="20"/>
        <v>537</v>
      </c>
      <c r="L234" s="466">
        <v>545</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537</v>
      </c>
      <c r="E238" s="617"/>
      <c r="F238" s="617"/>
      <c r="G238" s="617"/>
      <c r="H238" s="617"/>
      <c r="I238" s="617"/>
      <c r="J238" s="617"/>
      <c r="K238" s="1691">
        <f>SUM(K232:K237)</f>
        <v>537</v>
      </c>
      <c r="L238" s="1691">
        <f>SUM(L232:L237)</f>
        <v>545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12</v>
      </c>
      <c r="E240" s="617"/>
      <c r="F240" s="617"/>
      <c r="G240" s="617"/>
      <c r="H240" s="617"/>
      <c r="I240" s="617"/>
      <c r="J240" s="617"/>
      <c r="K240" s="1693">
        <f>D240</f>
        <v>12</v>
      </c>
      <c r="L240" s="481"/>
    </row>
    <row r="241" spans="1:12" x14ac:dyDescent="0.2">
      <c r="A241" s="1525" t="s">
        <v>869</v>
      </c>
      <c r="B241" s="615">
        <v>2220</v>
      </c>
      <c r="C241" s="617"/>
      <c r="D241" s="466">
        <v>2125</v>
      </c>
      <c r="E241" s="617"/>
      <c r="F241" s="617"/>
      <c r="G241" s="617"/>
      <c r="H241" s="617"/>
      <c r="I241" s="617"/>
      <c r="J241" s="617"/>
      <c r="K241" s="1693">
        <f>D241</f>
        <v>2125</v>
      </c>
      <c r="L241" s="466">
        <v>2150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2137</v>
      </c>
      <c r="E243" s="617"/>
      <c r="F243" s="617"/>
      <c r="G243" s="617"/>
      <c r="H243" s="617"/>
      <c r="I243" s="617"/>
      <c r="J243" s="617"/>
      <c r="K243" s="1691">
        <f>SUM(K240:K242)</f>
        <v>2137</v>
      </c>
      <c r="L243" s="1691">
        <f>SUM(L240:L242)</f>
        <v>2150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639</v>
      </c>
      <c r="E246" s="617"/>
      <c r="F246" s="617"/>
      <c r="G246" s="617"/>
      <c r="H246" s="617"/>
      <c r="I246" s="617"/>
      <c r="J246" s="617"/>
      <c r="K246" s="1693">
        <f t="shared" ref="K246:K256" si="21">D246</f>
        <v>639</v>
      </c>
      <c r="L246" s="466">
        <v>650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639</v>
      </c>
      <c r="E257" s="617"/>
      <c r="F257" s="617"/>
      <c r="G257" s="617"/>
      <c r="H257" s="617"/>
      <c r="I257" s="617"/>
      <c r="J257" s="617"/>
      <c r="K257" s="1691">
        <f>SUM(K245:K256)</f>
        <v>639</v>
      </c>
      <c r="L257" s="1691">
        <f>SUM(L245:L256)</f>
        <v>650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4536</v>
      </c>
      <c r="E259" s="617"/>
      <c r="F259" s="617"/>
      <c r="G259" s="617"/>
      <c r="H259" s="617"/>
      <c r="I259" s="617"/>
      <c r="J259" s="617"/>
      <c r="K259" s="1693">
        <f>D259</f>
        <v>4536</v>
      </c>
      <c r="L259" s="481">
        <v>4805</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4536</v>
      </c>
      <c r="E261" s="617"/>
      <c r="F261" s="617"/>
      <c r="G261" s="617"/>
      <c r="H261" s="617"/>
      <c r="I261" s="617"/>
      <c r="J261" s="617"/>
      <c r="K261" s="1691">
        <f>SUM(K259:K260)</f>
        <v>4536</v>
      </c>
      <c r="L261" s="1691">
        <f>SUM(L259:L260)</f>
        <v>4805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6339</v>
      </c>
      <c r="E263" s="617"/>
      <c r="F263" s="617"/>
      <c r="G263" s="617"/>
      <c r="H263" s="617"/>
      <c r="I263" s="617"/>
      <c r="J263" s="617"/>
      <c r="K263" s="1693">
        <f>D263</f>
        <v>6339</v>
      </c>
      <c r="L263" s="481">
        <v>6350</v>
      </c>
    </row>
    <row r="264" spans="1:14" x14ac:dyDescent="0.2">
      <c r="A264" s="1525" t="s">
        <v>483</v>
      </c>
      <c r="B264" s="686">
        <v>2520</v>
      </c>
      <c r="C264" s="617"/>
      <c r="D264" s="466">
        <v>3259</v>
      </c>
      <c r="E264" s="617"/>
      <c r="F264" s="617"/>
      <c r="G264" s="617"/>
      <c r="H264" s="617"/>
      <c r="I264" s="617"/>
      <c r="J264" s="617"/>
      <c r="K264" s="1693">
        <f t="shared" ref="K264:K269" si="22">D264</f>
        <v>3259</v>
      </c>
      <c r="L264" s="466">
        <v>3450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2878</v>
      </c>
      <c r="E266" s="617"/>
      <c r="F266" s="617"/>
      <c r="G266" s="617"/>
      <c r="H266" s="617"/>
      <c r="I266" s="617"/>
      <c r="J266" s="617"/>
      <c r="K266" s="1693">
        <f t="shared" si="22"/>
        <v>2878</v>
      </c>
      <c r="L266" s="466">
        <v>3200</v>
      </c>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v>3534</v>
      </c>
      <c r="E268" s="617"/>
      <c r="F268" s="617"/>
      <c r="G268" s="617"/>
      <c r="H268" s="617"/>
      <c r="I268" s="617"/>
      <c r="J268" s="617"/>
      <c r="K268" s="1693">
        <f t="shared" si="22"/>
        <v>3534</v>
      </c>
      <c r="L268" s="466">
        <v>2825</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16010</v>
      </c>
      <c r="E270" s="617"/>
      <c r="F270" s="617"/>
      <c r="G270" s="617"/>
      <c r="H270" s="617"/>
      <c r="I270" s="617"/>
      <c r="J270" s="617"/>
      <c r="K270" s="1691">
        <f>SUM(K263:K269)</f>
        <v>16010</v>
      </c>
      <c r="L270" s="1691">
        <f>SUM(L263:L269)</f>
        <v>15825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v>4</v>
      </c>
      <c r="E275" s="617"/>
      <c r="F275" s="617"/>
      <c r="G275" s="617"/>
      <c r="H275" s="617"/>
      <c r="I275" s="617"/>
      <c r="J275" s="617"/>
      <c r="K275" s="1693">
        <f>D275</f>
        <v>4</v>
      </c>
      <c r="L275" s="466">
        <v>0</v>
      </c>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4</v>
      </c>
      <c r="E277" s="617"/>
      <c r="F277" s="617"/>
      <c r="G277" s="617"/>
      <c r="H277" s="617"/>
      <c r="I277" s="617"/>
      <c r="J277" s="617"/>
      <c r="K277" s="1691">
        <f>SUM(K272:K276)</f>
        <v>4</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23863</v>
      </c>
      <c r="E279" s="617"/>
      <c r="F279" s="617"/>
      <c r="G279" s="617"/>
      <c r="H279" s="617"/>
      <c r="I279" s="617"/>
      <c r="J279" s="617"/>
      <c r="K279" s="1698">
        <f>SUM(K238,K243,K257,K261,K270,K277,K278)</f>
        <v>23863</v>
      </c>
      <c r="L279" s="1698">
        <f>SUM(L238,L243,L257,L261,L270,L277,L278)</f>
        <v>23975</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2" t="s">
        <v>526</v>
      </c>
      <c r="B295" s="2203"/>
      <c r="C295" s="617"/>
      <c r="D295" s="1691">
        <f>SUM(D229,D279,D280,D285)</f>
        <v>34775</v>
      </c>
      <c r="E295" s="617"/>
      <c r="F295" s="617"/>
      <c r="G295" s="617"/>
      <c r="H295" s="1691">
        <f>H293</f>
        <v>0</v>
      </c>
      <c r="I295" s="617"/>
      <c r="J295" s="617"/>
      <c r="K295" s="1691">
        <f>SUM(K229,K279,K280,K285,K293,K294)</f>
        <v>34775</v>
      </c>
      <c r="L295" s="1691">
        <f>SUM(L229,L279,L280,L285,L293,L294)</f>
        <v>33665</v>
      </c>
    </row>
    <row r="296" spans="1:14" ht="13.5" thickTop="1" x14ac:dyDescent="0.2">
      <c r="A296" s="2184" t="s">
        <v>1053</v>
      </c>
      <c r="B296" s="2185"/>
      <c r="C296" s="617"/>
      <c r="D296" s="619"/>
      <c r="E296" s="617"/>
      <c r="F296" s="617"/>
      <c r="G296" s="617"/>
      <c r="H296" s="688"/>
      <c r="I296" s="617"/>
      <c r="J296" s="617"/>
      <c r="K296" s="1705">
        <f>'Revenues 9-14'!G275-'Expenditures 15-22'!K295</f>
        <v>4773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4" t="s">
        <v>145</v>
      </c>
      <c r="B298" s="2188"/>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9" t="s">
        <v>295</v>
      </c>
      <c r="B312" s="2200"/>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5" t="s">
        <v>1053</v>
      </c>
      <c r="B313" s="2196"/>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8" t="s">
        <v>151</v>
      </c>
      <c r="B315" s="2209"/>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0" t="s">
        <v>954</v>
      </c>
      <c r="B317" s="2209"/>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8543</v>
      </c>
      <c r="F320" s="467"/>
      <c r="G320" s="467"/>
      <c r="H320" s="467"/>
      <c r="I320" s="467"/>
      <c r="J320" s="467"/>
      <c r="K320" s="1692">
        <f t="shared" ref="K320:K327" si="24">SUM(C320:J320)</f>
        <v>8543</v>
      </c>
      <c r="L320" s="467">
        <v>8543</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v>12698</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v>12698</v>
      </c>
      <c r="F328" s="474"/>
      <c r="G328" s="474"/>
      <c r="H328" s="474"/>
      <c r="I328" s="474"/>
      <c r="J328" s="474"/>
      <c r="K328" s="1720">
        <f>SUM(C328:J328)</f>
        <v>12698</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21241</v>
      </c>
      <c r="F330" s="1691">
        <f t="shared" si="25"/>
        <v>0</v>
      </c>
      <c r="G330" s="1691">
        <f t="shared" si="25"/>
        <v>0</v>
      </c>
      <c r="H330" s="1691">
        <f t="shared" si="25"/>
        <v>0</v>
      </c>
      <c r="I330" s="1691">
        <f t="shared" si="25"/>
        <v>0</v>
      </c>
      <c r="J330" s="1691">
        <f t="shared" si="25"/>
        <v>0</v>
      </c>
      <c r="K330" s="1691">
        <f>SUM(K319:K329)</f>
        <v>21241</v>
      </c>
      <c r="L330" s="1691">
        <f>SUM(L319:L329)</f>
        <v>21241</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21241</v>
      </c>
      <c r="F342" s="1691">
        <f>SUM(F330)</f>
        <v>0</v>
      </c>
      <c r="G342" s="1691">
        <f>SUM(G330)</f>
        <v>0</v>
      </c>
      <c r="H342" s="1691">
        <f>SUM(H330,H334,H340)</f>
        <v>0</v>
      </c>
      <c r="I342" s="1691">
        <f>SUM(I330)</f>
        <v>0</v>
      </c>
      <c r="J342" s="1691">
        <f>SUM(J330)</f>
        <v>0</v>
      </c>
      <c r="K342" s="1691">
        <f>SUM(K330,K334,K340)</f>
        <v>21241</v>
      </c>
      <c r="L342" s="1698">
        <f>SUM(L330,L340,L341)</f>
        <v>21241</v>
      </c>
    </row>
    <row r="343" spans="1:14" ht="12.75" customHeight="1" thickTop="1" x14ac:dyDescent="0.2">
      <c r="A343" s="2197" t="s">
        <v>1053</v>
      </c>
      <c r="B343" s="2198"/>
      <c r="C343" s="617"/>
      <c r="D343" s="617"/>
      <c r="E343" s="617"/>
      <c r="F343" s="617"/>
      <c r="G343" s="617"/>
      <c r="H343" s="617"/>
      <c r="I343" s="617"/>
      <c r="J343" s="617"/>
      <c r="K343" s="1705">
        <f>'Revenues 9-14'!J275-'Expenditures 15-22'!K342</f>
        <v>4289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7" t="s">
        <v>1023</v>
      </c>
      <c r="B345" s="2188"/>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84" t="s">
        <v>1053</v>
      </c>
      <c r="B368" s="2185"/>
      <c r="C368" s="655"/>
      <c r="D368" s="655"/>
      <c r="E368" s="627"/>
      <c r="F368" s="627"/>
      <c r="G368" s="627"/>
      <c r="H368" s="627"/>
      <c r="I368" s="627"/>
      <c r="J368" s="624"/>
      <c r="K368" s="1692">
        <f>'Revenues 9-14'!K275-'Expenditures 15-22'!K367</f>
        <v>5647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purl.org/dc/terms/"/>
    <ds:schemaRef ds:uri="http://schemas.microsoft.com/office/2006/documentManagement/types"/>
    <ds:schemaRef ds:uri="6ce3111e-7420-4802-b50a-75d4e9a0b980"/>
    <ds:schemaRef ds:uri="http://schemas.microsoft.com/office/2006/metadata/properties"/>
    <ds:schemaRef ds:uri="d21dc803-237d-4c68-8692-8d731fd29118"/>
    <ds:schemaRef ds:uri="http://purl.org/dc/elements/1.1/"/>
    <ds:schemaRef ds:uri="http://schemas.microsoft.com/sharepoint/v3"/>
    <ds:schemaRef ds:uri="http://schemas.microsoft.com/office/infopath/2007/PartnerControls"/>
    <ds:schemaRef ds:uri="4d435f69-8686-490b-bd6d-b153bf22ab50"/>
    <ds:schemaRef ds:uri="http://www.w3.org/XML/1998/namespace"/>
    <ds:schemaRef ds:uri="http://purl.org/dc/dcmitype/"/>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2018-09-18T13:59:07Z</cp:lastPrinted>
  <dcterms:created xsi:type="dcterms:W3CDTF">2003-10-29T19:06:34Z</dcterms:created>
  <dcterms:modified xsi:type="dcterms:W3CDTF">2018-09-26T20:31:46Z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River Bend CUSD #2</vt:lpwstr>
  </property>
  <property fmtid="{D5CDD505-2E9C-101B-9397-08002B2CF9AE}" pid="6" name="PPC_Template_Engagement_Date">
    <vt:lpwstr>6/30/2018</vt:lpwstr>
  </property>
</Properties>
</file>