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17655" windowHeight="217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G16" i="127" l="1"/>
  <c r="G12"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7"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3" i="127"/>
  <c r="B64" i="127"/>
  <c r="D26" i="108"/>
  <c r="E26" i="108"/>
  <c r="F26" i="108"/>
  <c r="G26" i="108"/>
  <c r="D27" i="108"/>
  <c r="E27" i="108"/>
  <c r="F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1" i="34"/>
  <c r="F130" i="34"/>
  <c r="F127" i="34"/>
  <c r="B5847" i="106"/>
  <c r="D5847" i="106" s="1"/>
  <c r="B5599" i="106"/>
  <c r="D5599" i="106" s="1"/>
  <c r="H173" i="5"/>
  <c r="B5906" i="106" s="1"/>
  <c r="D5906" i="106" s="1"/>
  <c r="H109" i="5"/>
  <c r="B6025" i="106" s="1"/>
  <c r="D6025" i="106" s="1"/>
  <c r="F106" i="34"/>
  <c r="H6" i="4"/>
  <c r="B2656" i="106" s="1"/>
  <c r="D2656"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H4" i="4"/>
  <c r="B2655" i="106" s="1"/>
  <c r="D2655" i="106" s="1"/>
  <c r="D109" i="5"/>
  <c r="B5356" i="106" s="1"/>
  <c r="D5356" i="106" s="1"/>
  <c r="C172" i="5"/>
  <c r="B5214" i="106" s="1"/>
  <c r="D5214" i="106" s="1"/>
  <c r="K274" i="5"/>
  <c r="B5752" i="106"/>
  <c r="D5752" i="106" s="1"/>
  <c r="F111" i="34"/>
  <c r="F128" i="34"/>
  <c r="I274" i="5"/>
  <c r="K173" i="5"/>
  <c r="K6" i="4" s="1"/>
  <c r="B3570" i="106" s="1"/>
  <c r="D3570" i="106" s="1"/>
  <c r="F172" i="5"/>
  <c r="B5644" i="106" s="1"/>
  <c r="D5644" i="106" s="1"/>
  <c r="L367" i="29"/>
  <c r="B7235" i="106"/>
  <c r="D7235" i="106" s="1"/>
  <c r="B7041" i="106"/>
  <c r="D7041" i="106" s="1"/>
  <c r="B3723" i="106"/>
  <c r="D3723" i="106" s="1"/>
  <c r="K76" i="4"/>
  <c r="B3586" i="106" s="1"/>
  <c r="D3586" i="106" s="1"/>
  <c r="H76" i="4"/>
  <c r="B3298" i="106" s="1"/>
  <c r="D3298" i="106" s="1"/>
  <c r="B1124" i="106"/>
  <c r="D1124" i="106" s="1"/>
  <c r="K24" i="12"/>
  <c r="D6103" i="106"/>
  <c r="B3649" i="106"/>
  <c r="D3649" i="106" s="1"/>
  <c r="G367" i="29"/>
  <c r="B3621" i="106"/>
  <c r="D3621" i="106" s="1"/>
  <c r="C367" i="29"/>
  <c r="K350" i="29"/>
  <c r="B1410" i="106"/>
  <c r="D1410" i="106" s="1"/>
  <c r="G109" i="5"/>
  <c r="K184" i="29"/>
  <c r="F13" i="4" s="1"/>
  <c r="B2596" i="106" s="1"/>
  <c r="D2596" i="106" s="1"/>
  <c r="D7" i="7"/>
  <c r="B1763" i="106" s="1"/>
  <c r="D1763" i="106" s="1"/>
  <c r="F28" i="108"/>
  <c r="F41" i="108" s="1"/>
  <c r="G43" i="108" s="1"/>
  <c r="E28" i="108"/>
  <c r="B1223" i="106"/>
  <c r="D1223" i="106" s="1"/>
  <c r="D4" i="4"/>
  <c r="B2564" i="106" s="1"/>
  <c r="D2564" i="106" s="1"/>
  <c r="C173" i="5"/>
  <c r="B5223" i="106" s="1"/>
  <c r="D5223" i="106" s="1"/>
  <c r="C109" i="5"/>
  <c r="B5121" i="106" s="1"/>
  <c r="D5121" i="106" s="1"/>
  <c r="B1329" i="106"/>
  <c r="D1329" i="106" s="1"/>
  <c r="F61" i="34"/>
  <c r="E109" i="5"/>
  <c r="E4" i="4" s="1"/>
  <c r="B2630" i="106" s="1"/>
  <c r="D263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H8" i="4"/>
  <c r="D274" i="5"/>
  <c r="B3447" i="106"/>
  <c r="D3447" i="106" s="1"/>
  <c r="B7270" i="106"/>
  <c r="D7255" i="106" l="1"/>
  <c r="D7253" i="106"/>
  <c r="D7252" i="106"/>
  <c r="B7733" i="106"/>
  <c r="D7733" i="106" s="1"/>
  <c r="K26" i="12"/>
  <c r="B7743" i="106" s="1"/>
  <c r="D7743" i="106" s="1"/>
  <c r="H367" i="29"/>
  <c r="B3660" i="106" s="1"/>
  <c r="D3660" i="106" s="1"/>
  <c r="C4" i="4"/>
  <c r="B2551" i="106" s="1"/>
  <c r="D2551" i="106" s="1"/>
  <c r="L16" i="11"/>
  <c r="B2061" i="106" s="1"/>
  <c r="D2061" i="106" s="1"/>
  <c r="B3670" i="106"/>
  <c r="D3670" i="106" s="1"/>
  <c r="K352" i="29"/>
  <c r="B6024" i="106"/>
  <c r="D6024" i="106" s="1"/>
  <c r="G4" i="4"/>
  <c r="B2603" i="106" s="1"/>
  <c r="D2603" i="106" s="1"/>
  <c r="D19" i="7"/>
  <c r="B1775" i="106" s="1"/>
  <c r="D1775" i="106" s="1"/>
  <c r="C114" i="29"/>
  <c r="B757" i="106" s="1"/>
  <c r="D757" i="106" s="1"/>
  <c r="B5527" i="106"/>
  <c r="D5527" i="106" s="1"/>
  <c r="B1317" i="106"/>
  <c r="D131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F8" i="4" l="1"/>
  <c r="K13" i="4"/>
  <c r="B3572" i="106" s="1"/>
  <c r="D3572" i="106" s="1"/>
  <c r="B3672" i="106"/>
  <c r="D3672" i="106" s="1"/>
  <c r="K367" i="29"/>
  <c r="K368" i="29" s="1"/>
  <c r="B3681" i="106" s="1"/>
  <c r="D3681" i="106" s="1"/>
  <c r="B1145" i="106"/>
  <c r="D1145"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<sst xmlns="http://schemas.openxmlformats.org/spreadsheetml/2006/main" count="5068" uniqueCount="2134">
  <si>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</si>
  <si>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</si>
  <si>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</si>
  <si>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</si>
  <si>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</si>
  <si>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</si>
  <si>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</si>
  <si>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</si>
  <si>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</si>
  <si>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</si>
  <si>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</si>
  <si>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</si>
  <si>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</si>
  <si>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</si>
  <si>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</si>
  <si>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</si>
  <si>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</si>
  <si>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</si>
  <si>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</si>
  <si>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</si>
  <si>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</si>
  <si>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</si>
  <si>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</si>
  <si>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</si>
  <si>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</si>
  <si>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</si>
  <si>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</si>
  <si>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</si>
  <si>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</si>
  <si>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</si>
  <si>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</si>
  <si>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</si>
  <si>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</si>
  <si>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</si>
  <si>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</si>
  <si>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</si>
  <si>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</si>
  <si>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</si>
  <si>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</si>
  <si>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</si>
  <si>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</si>
  <si>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</si>
  <si>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</si>
  <si>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</si>
  <si>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</si>
  <si>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</si>
  <si>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</si>
  <si>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</si>
  <si>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</si>
  <si>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</si>
  <si>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</si>
  <si>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</si>
  <si>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</si>
  <si>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</si>
  <si>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</si>
  <si>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</si>
  <si>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</si>
  <si>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</si>
  <si>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</si>
  <si>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</si>
  <si>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</si>
  <si>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</si>
  <si>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</si>
  <si>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</si>
  <si>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</si>
  <si>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</si>
  <si>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</si>
  <si>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</si>
  <si>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</si>
  <si>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</si>
  <si>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</si>
  <si>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</si>
  <si>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</si>
  <si>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</si>
  <si>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</si>
  <si>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</si>
  <si>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</si>
  <si>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</si>
  <si>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</si>
  <si>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</si>
  <si>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</si>
  <si>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</si>
  <si>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</si>
  <si>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</si>
  <si>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</si>
  <si>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</si>
  <si>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</si>
  <si>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</si>
  <si>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</si>
  <si>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</si>
  <si>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</si>
  <si>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</si>
  <si>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</si>
  <si>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</si>
  <si>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</si>
  <si>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</si>
  <si>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</si>
  <si>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</si>
  <si>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</si>
  <si>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</si>
  <si>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</si>
  <si>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</si>
  <si>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</si>
  <si>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</si>
  <si>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</si>
  <si>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</si>
  <si>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</si>
  <si>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</si>
  <si>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</si>
  <si>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</si>
  <si>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</si>
  <si>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</si>
  <si>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</si>
  <si>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</si>
  <si>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</si>
  <si>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</si>
  <si>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</si>
  <si>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</si>
  <si>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</si>
  <si>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</si>
  <si>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</si>
  <si>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</si>
  <si>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</si>
  <si>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</si>
  <si>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</si>
  <si>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</si>
  <si>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</si>
  <si>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</si>
  <si>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</si>
  <si>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</si>
  <si>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</si>
  <si>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</si>
  <si>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</si>
  <si>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</si>
  <si>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</si>
  <si>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</si>
  <si>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</si>
  <si>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</si>
  <si>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</si>
  <si>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</si>
  <si>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</si>
  <si>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</si>
  <si>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</si>
  <si>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</si>
  <si>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</si>
  <si>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</si>
  <si>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</si>
  <si>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</si>
  <si>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</si>
  <si>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</si>
  <si>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</si>
  <si>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</si>
  <si>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</si>
  <si>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</si>
  <si>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</si>
  <si>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</si>
  <si>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</si>
  <si>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</si>
  <si>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</si>
  <si>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</si>
  <si>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</si>
  <si>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</si>
  <si>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</si>
  <si>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</si>
  <si>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</si>
  <si>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</si>
  <si>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</si>
  <si>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</si>
  <si>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</si>
  <si>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</si>
  <si>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</si>
  <si>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</si>
  <si>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</si>
  <si>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</si>
  <si>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</si>
  <si>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</si>
  <si>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</si>
  <si>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</si>
  <si>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</si>
  <si>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</si>
  <si>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</si>
  <si>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</si>
  <si>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</si>
  <si>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</si>
  <si>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</si>
  <si>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</si>
  <si>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</si>
  <si>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</si>
  <si>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</si>
  <si>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</si>
  <si>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</si>
  <si>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</si>
  <si>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</si>
  <si>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</si>
  <si>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</si>
  <si>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</si>
  <si>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</si>
  <si>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</si>
  <si>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</si>
  <si>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</si>
  <si>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</si>
  <si>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</si>
  <si>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</si>
  <si>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</si>
  <si>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</si>
  <si>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</si>
  <si>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</si>
  <si>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</si>
  <si>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</si>
  <si>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</si>
  <si>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</si>
  <si>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</si>
  <si>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</si>
  <si>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</si>
  <si>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</si>
  <si>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</si>
  <si>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</si>
  <si>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</si>
  <si>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</si>
  <si>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</si>
  <si>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</si>
  <si>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</si>
  <si>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</si>
  <si>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</si>
  <si>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</si>
  <si>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</si>
  <si>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</si>
  <si>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</si>
  <si>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</si>
  <si>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</si>
  <si>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</si>
  <si>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</si>
  <si>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</si>
  <si>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</si>
  <si>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</si>
  <si>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</si>
  <si>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</si>
  <si>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</si>
  <si>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</si>
  <si>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</si>
  <si>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</si>
  <si>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</si>
  <si>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</si>
  <si>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</si>
  <si>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</si>
  <si>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</si>
  <si>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</si>
  <si>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</si>
  <si>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</si>
  <si>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</si>
  <si>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</si>
  <si>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</si>
  <si>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</si>
  <si>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</si>
  <si>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</si>
  <si>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</si>
  <si>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</si>
  <si>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</si>
  <si>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</si>
  <si>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</si>
  <si>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</si>
  <si>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</si>
  <si>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</si>
  <si>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</si>
  <si>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</si>
  <si>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</si>
  <si>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</si>
  <si>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</si>
  <si>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</si>
  <si>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</si>
  <si>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</si>
  <si>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</si>
  <si>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</si>
  <si>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</si>
  <si>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</si>
  <si>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</si>
  <si>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</si>
  <si>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</si>
  <si>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</si>
  <si>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</si>
  <si>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</si>
  <si>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</si>
  <si>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</si>
  <si>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</si>
  <si>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</si>
  <si>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</si>
  <si>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</si>
  <si>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</si>
  <si>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</si>
  <si>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</si>
  <si>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</si>
  <si>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</si>
  <si>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</si>
  <si>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</si>
  <si>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</si>
  <si>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</si>
  <si>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</si>
  <si>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</si>
  <si>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</si>
  <si>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</si>
  <si>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</si>
  <si>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</si>
  <si>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</si>
  <si>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</si>
  <si>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</si>
  <si>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</si>
  <si>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</si>
  <si>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</si>
  <si>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</si>
  <si>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</si>
  <si>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</si>
  <si>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</si>
  <si>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</si>
  <si>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</si>
  <si>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</si>
  <si>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</si>
  <si>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</si>
  <si>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</si>
  <si>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</si>
  <si>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</si>
  <si>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</si>
  <si>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</si>
  <si>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</si>
  <si>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</si>
  <si>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</si>
  <si>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</si>
  <si>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</si>
  <si>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</si>
  <si>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</si>
  <si>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</si>
  <si>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</si>
  <si>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</si>
  <si>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</si>
  <si>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</si>
  <si>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</si>
  <si>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</si>
  <si>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</si>
  <si>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</si>
  <si>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</si>
  <si>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</si>
  <si>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</si>
  <si>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</si>
  <si>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</si>
  <si>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</si>
  <si>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</si>
  <si>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</si>
  <si>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</si>
  <si>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</si>
  <si>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</si>
  <si>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</si>
  <si>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</si>
  <si>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</si>
  <si>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</si>
  <si>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</si>
  <si>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</si>
  <si>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</si>
  <si>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</si>
  <si>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</si>
  <si>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</si>
  <si>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</si>
  <si>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</si>
  <si>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</si>
  <si>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</si>
  <si>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</si>
  <si>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</si>
  <si>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</si>
  <si>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</si>
  <si>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</si>
  <si>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</si>
  <si>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</si>
  <si>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</si>
  <si>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</si>
  <si>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</si>
  <si>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</si>
  <si>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</si>
  <si>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</si>
  <si>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</si>
  <si>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</si>
  <si>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</si>
  <si>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</si>
  <si>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</si>
  <si>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</si>
  <si>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</si>
  <si>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</si>
  <si>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</si>
  <si>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</si>
  <si>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</si>
  <si>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</si>
  <si>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</si>
  <si>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</si>
  <si>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</si>
  <si>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</si>
  <si>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</si>
  <si>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</si>
  <si>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</si>
  <si>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</si>
  <si>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</si>
  <si>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</si>
  <si>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</si>
  <si>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</si>
  <si>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</si>
  <si>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</si>
  <si>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</si>
  <si>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</si>
  <si>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</si>
  <si>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</si>
  <si>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</si>
  <si>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</si>
  <si>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</si>
  <si>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</si>
  <si>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</si>
  <si>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</si>
  <si>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</si>
  <si>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</si>
  <si>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</si>
  <si>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</si>
  <si>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</si>
  <si>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</si>
  <si>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</si>
  <si>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</si>
  <si>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</si>
  <si>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</si>
  <si>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</si>
  <si>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</si>
  <si>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</si>
  <si>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</si>
  <si>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</si>
  <si>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</si>
  <si>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</si>
  <si>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</si>
  <si>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</si>
  <si>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</si>
  <si>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</si>
  <si>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</si>
  <si>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</si>
  <si>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</si>
  <si>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</si>
  <si>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</si>
  <si>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</si>
  <si>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</si>
  <si>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</si>
  <si>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</si>
  <si>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</si>
  <si>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</si>
  <si>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</si>
  <si>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</si>
  <si>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</si>
  <si>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</si>
  <si>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</si>
  <si>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</si>
  <si>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</si>
  <si>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</si>
  <si>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</si>
  <si>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</si>
  <si>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</si>
  <si>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</si>
  <si>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</si>
  <si>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</si>
  <si>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</si>
  <si>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</si>
  <si>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</si>
  <si>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</si>
  <si>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</si>
  <si>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</si>
  <si>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</si>
  <si>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</si>
  <si>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</si>
  <si>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</si>
  <si>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</si>
  <si>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</si>
  <si>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</si>
  <si>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</si>
  <si>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</si>
  <si>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</si>
  <si>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</si>
  <si>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</si>
  <si>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</si>
  <si>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</si>
  <si>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</si>
  <si>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</si>
  <si>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</si>
  <si>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</si>
  <si>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</si>
  <si>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</si>
  <si>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</si>
  <si>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</si>
  <si>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</si>
  <si>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</si>
  <si>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</si>
  <si>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</si>
  <si>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</si>
  <si>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</si>
  <si>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</si>
  <si>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</si>
  <si>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</si>
  <si>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</si>
  <si>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</si>
  <si>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</si>
  <si>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</si>
  <si>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</si>
  <si>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</si>
  <si>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</si>
  <si>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</si>
  <si>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</si>
  <si>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</si>
  <si>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</si>
  <si>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</si>
  <si>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</si>
  <si>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</si>
  <si>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</si>
  <si>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</si>
  <si>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</si>
  <si>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</si>
  <si>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</si>
  <si>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</si>
  <si>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</si>
  <si>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</si>
  <si>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</si>
  <si>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</si>
  <si>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</si>
  <si>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</si>
  <si>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</si>
  <si>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</si>
  <si>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</si>
  <si>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</si>
  <si>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</si>
  <si>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</si>
  <si>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</si>
  <si>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</si>
  <si>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</si>
  <si>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</si>
  <si>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</si>
  <si>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</si>
  <si>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</si>
  <si>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</si>
  <si>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</si>
  <si>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</si>
  <si>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</si>
  <si>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</si>
  <si>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</si>
  <si>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</si>
  <si>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</si>
  <si>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</si>
  <si>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</si>
  <si>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</si>
  <si>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</si>
  <si>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</si>
  <si>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</si>
  <si>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</si>
  <si>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</si>
  <si>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</si>
  <si>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</si>
  <si>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</si>
  <si>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</si>
  <si>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</si>
  <si>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</si>
  <si>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</si>
  <si>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</si>
  <si>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</si>
  <si>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</si>
  <si>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</si>
  <si>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</si>
  <si>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</si>
  <si>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</si>
  <si>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</si>
  <si>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</si>
  <si>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</si>
  <si>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</si>
  <si>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</si>
  <si>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</si>
  <si>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</si>
  <si>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</si>
  <si>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</si>
  <si>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</si>
  <si>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</si>
  <si>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</si>
  <si>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</si>
  <si>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</si>
  <si>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</si>
  <si>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</si>
  <si>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</si>
  <si>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</si>
  <si>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</si>
  <si>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</si>
  <si>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</si>
  <si>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</si>
  <si>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</si>
  <si>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</si>
  <si>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</si>
  <si>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</si>
  <si>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</si>
  <si>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</si>
  <si>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</si>
  <si>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</si>
  <si>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</si>
  <si>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</si>
  <si>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</si>
  <si>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</si>
  <si>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</si>
  <si>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</si>
  <si>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</si>
  <si>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</si>
  <si>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</si>
  <si>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</si>
  <si>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</si>
  <si>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</si>
  <si>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</si>
  <si>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</si>
  <si>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</si>
  <si>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</si>
  <si>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</si>
  <si>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</si>
  <si>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</si>
  <si>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</si>
  <si>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</si>
  <si>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</si>
  <si>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</si>
  <si>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</si>
  <si>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</si>
  <si>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</si>
  <si>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</si>
  <si>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</si>
  <si>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</si>
  <si>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</si>
  <si>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</si>
  <si>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</si>
  <si>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</si>
  <si>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</si>
  <si>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</si>
  <si>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</si>
  <si>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</si>
  <si>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</si>
  <si>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</si>
  <si>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</si>
  <si>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</si>
  <si>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</si>
  <si>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</si>
  <si>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</si>
  <si>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</si>
  <si>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</si>
  <si>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</si>
  <si>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</si>
  <si>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</si>
  <si>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</si>
  <si>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</si>
  <si>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</si>
  <si>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</si>
  <si>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</si>
  <si>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</si>
  <si>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</si>
  <si>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</si>
  <si>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</si>
  <si>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</si>
  <si>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</si>
  <si>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</si>
  <si>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</si>
  <si>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</si>
  <si>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</si>
  <si>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</si>
  <si>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</si>
  <si>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</si>
  <si>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</si>
  <si>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</si>
  <si>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</si>
  <si>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</si>
  <si>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</si>
  <si>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</si>
  <si>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</si>
  <si>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</si>
  <si>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</si>
  <si>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</si>
  <si>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</si>
  <si>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</si>
  <si>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</si>
  <si>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</si>
  <si>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</si>
  <si>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</si>
  <si>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</si>
  <si>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</si>
  <si>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</si>
  <si>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</si>
  <si>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</si>
  <si>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</si>
  <si>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</si>
  <si>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</si>
  <si>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</si>
  <si>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</si>
  <si>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</si>
  <si>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</si>
  <si>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</si>
  <si>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</si>
  <si>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</si>
  <si>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</si>
  <si>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</si>
  <si>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</si>
  <si>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</si>
  <si>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</si>
  <si>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</si>
  <si>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</si>
  <si>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</si>
  <si>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</si>
  <si>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</si>
  <si>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</si>
  <si>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</si>
  <si>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</si>
  <si>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</si>
  <si>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</si>
  <si>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</si>
  <si>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</si>
  <si>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</si>
  <si>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</si>
  <si>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</si>
  <si>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</si>
  <si>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</si>
  <si>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</si>
  <si>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</si>
  <si>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</si>
  <si>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</si>
  <si>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</si>
  <si>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</si>
  <si>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</si>
  <si>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</si>
  <si>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</si>
  <si>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</si>
  <si>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</si>
  <si>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</si>
  <si>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</si>
  <si>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</si>
  <si>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</si>
  <si>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</si>
  <si>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</si>
  <si>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</si>
  <si>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</si>
  <si>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</si>
  <si>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</si>
  <si>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</si>
  <si>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</si>
  <si>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</si>
  <si>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</si>
  <si>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</si>
  <si>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</si>
  <si>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</si>
  <si>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</si>
  <si>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</si>
  <si>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</si>
  <si>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</si>
  <si>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</si>
  <si>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</si>
  <si>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</si>
  <si>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</si>
  <si>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</si>
  <si>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</si>
  <si>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</si>
  <si>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</si>
  <si>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</si>
  <si>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</si>
  <si>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</si>
  <si>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</si>
  <si>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</si>
  <si>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</si>
  <si>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</si>
  <si>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</si>
  <si>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</si>
  <si>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</si>
  <si>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</si>
  <si>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</si>
  <si>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</si>
  <si>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</si>
  <si>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</si>
  <si>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</si>
  <si>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</si>
  <si>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</si>
  <si>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</si>
  <si>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</si>
  <si>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</si>
  <si>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</si>
  <si>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</si>
  <si>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</si>
  <si>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</si>
  <si>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</si>
  <si>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</si>
  <si>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</si>
  <si>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</si>
  <si>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</si>
  <si>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</si>
  <si>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</si>
  <si>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</si>
  <si>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</si>
  <si>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</si>
  <si>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</si>
  <si>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</si>
  <si>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</si>
  <si>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</si>
  <si>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</si>
  <si>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</si>
  <si>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</si>
  <si>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</si>
  <si>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</si>
  <si>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</si>
  <si>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</si>
  <si>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</si>
  <si>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</si>
  <si>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</si>
  <si>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</si>
  <si>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</si>
  <si>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</si>
  <si>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</si>
  <si>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</si>
  <si>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</si>
  <si>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</si>
  <si>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</si>
  <si>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</si>
  <si>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</si>
  <si>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</si>
  <si>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</si>
  <si>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</si>
  <si>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</si>
  <si>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</si>
  <si>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</si>
  <si>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</si>
  <si>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</si>
  <si>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</si>
  <si>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</si>
  <si>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</si>
  <si>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</si>
  <si>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</si>
  <si>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</si>
  <si>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</si>
  <si>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</si>
  <si>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</si>
  <si>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</si>
  <si>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</si>
  <si>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</si>
  <si>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</si>
  <si>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</si>
  <si>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</si>
  <si>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</si>
  <si>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</si>
  <si>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</si>
  <si>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</si>
  <si>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</si>
  <si>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</si>
  <si>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</si>
  <si>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</si>
  <si>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</si>
  <si>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</si>
  <si>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</si>
  <si>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</si>
  <si>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</si>
  <si>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</si>
  <si>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</si>
  <si>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</si>
  <si>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</si>
  <si>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</si>
  <si>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</si>
  <si>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</si>
  <si>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</si>
  <si>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</si>
  <si>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</si>
  <si>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</si>
  <si>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</si>
  <si>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</si>
  <si>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</si>
  <si>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</si>
  <si>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</si>
  <si>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</si>
  <si>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</si>
  <si>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</si>
  <si>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</si>
  <si>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</si>
  <si>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</si>
  <si>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</si>
  <si>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</si>
  <si>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</si>
  <si>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</si>
  <si>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</si>
  <si>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</si>
  <si>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</si>
  <si>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</si>
  <si>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</si>
  <si>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</si>
  <si>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</si>
  <si>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</si>
  <si>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</si>
  <si>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</si>
  <si>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</si>
  <si>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</si>
  <si>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</si>
  <si>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</si>
  <si>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</si>
  <si>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</si>
  <si>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</si>
  <si>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</si>
  <si>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</si>
  <si>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</si>
  <si>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</si>
  <si>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</si>
  <si>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</si>
  <si>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</si>
  <si>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</si>
  <si>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</si>
  <si>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</si>
  <si>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</si>
  <si>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</si>
  <si>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</si>
  <si>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</si>
  <si>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</si>
  <si>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</si>
  <si>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</si>
  <si>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</si>
  <si>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</si>
  <si>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</si>
  <si>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</si>
  <si>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</si>
  <si>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</si>
  <si>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</si>
  <si>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</si>
  <si>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</si>
  <si>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</si>
  <si>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</si>
  <si>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</si>
  <si>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</si>
  <si>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</si>
  <si>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</si>
  <si>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</si>
  <si>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</si>
  <si>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</si>
  <si>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</si>
  <si>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</si>
  <si>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</si>
  <si>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</si>
  <si>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</si>
  <si>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</si>
  <si>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</si>
  <si>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</si>
  <si>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</si>
  <si>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</si>
  <si>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</si>
  <si>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</si>
  <si>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</si>
  <si>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</si>
  <si>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</si>
  <si>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</si>
  <si>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</si>
  <si>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</si>
  <si>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</si>
  <si>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</si>
  <si>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</si>
  <si>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</si>
  <si>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</si>
  <si>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</si>
  <si>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</si>
  <si>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</si>
  <si>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</si>
  <si>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</si>
  <si>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</si>
  <si>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</si>
  <si>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</si>
  <si>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</si>
  <si>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</si>
  <si>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</si>
  <si>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</si>
  <si>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</si>
  <si>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</si>
  <si>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</si>
  <si>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</si>
  <si>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</si>
  <si>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</si>
  <si>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</si>
  <si>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</si>
  <si>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</si>
  <si>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</si>
  <si>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</si>
  <si>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</si>
  <si>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</si>
  <si>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</si>
  <si>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</si>
  <si>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</si>
  <si>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</si>
  <si>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</si>
  <si>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</si>
  <si>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</si>
  <si>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</si>
  <si>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</si>
  <si>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</si>
  <si>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</si>
  <si>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</si>
  <si>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</si>
  <si>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</si>
  <si>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</si>
  <si>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</si>
  <si>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</si>
  <si>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</si>
  <si>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</si>
  <si>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</si>
  <si>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</si>
  <si>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</si>
  <si>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</si>
  <si>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</si>
  <si>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</si>
  <si>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</si>
  <si>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</si>
  <si>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</si>
  <si>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</si>
  <si>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</si>
  <si>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</si>
  <si>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</si>
  <si>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</si>
  <si>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</si>
  <si>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</si>
  <si>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</si>
  <si>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</si>
  <si>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</si>
  <si>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</si>
  <si>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</si>
  <si>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</si>
  <si>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</si>
  <si>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</si>
  <si>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</si>
  <si>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</si>
  <si>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</si>
  <si>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</si>
  <si>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</si>
  <si>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</si>
  <si>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</si>
  <si>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</si>
  <si>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</si>
  <si>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</si>
  <si>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</si>
  <si>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</si>
  <si>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</si>
  <si>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</si>
  <si>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</si>
  <si>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</si>
  <si>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</si>
  <si>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</si>
  <si>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</si>
  <si>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</si>
  <si>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</si>
  <si>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</si>
  <si>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</si>
  <si>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</si>
  <si>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</si>
  <si>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</si>
  <si>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</si>
  <si>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</si>
  <si>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</si>
  <si>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</si>
  <si>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</si>
  <si>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</si>
  <si>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</si>
  <si>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</si>
  <si>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</si>
  <si>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</si>
  <si>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</si>
  <si>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</si>
  <si>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</si>
  <si>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</si>
  <si>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</si>
  <si>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</si>
  <si>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</si>
  <si>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</si>
  <si>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</si>
  <si>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</si>
  <si>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</si>
  <si>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</si>
  <si>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</si>
  <si>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</si>
  <si>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</si>
  <si>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</si>
  <si>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</si>
  <si>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</si>
  <si>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</si>
  <si>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</si>
  <si>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</si>
  <si>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</si>
  <si>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</si>
  <si>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</si>
  <si>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</si>
  <si>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</si>
  <si>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</si>
  <si>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</si>
  <si>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</si>
  <si>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</si>
  <si>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</si>
  <si>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</si>
  <si>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</si>
  <si>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</si>
  <si>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</si>
  <si>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</si>
  <si>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</si>
  <si>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</si>
  <si>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</si>
  <si>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</si>
  <si>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</si>
  <si>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</si>
  <si>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</si>
  <si>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</si>
  <si>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</si>
  <si>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</si>
  <si>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</si>
  <si>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</si>
  <si>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</si>
  <si>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</si>
  <si>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</si>
  <si>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</si>
  <si>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</si>
  <si>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</si>
  <si>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</si>
  <si>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</si>
  <si>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</si>
  <si>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</si>
  <si>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</si>
  <si>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</si>
  <si>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</si>
  <si>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</si>
  <si>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</si>
  <si>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</si>
  <si>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</si>
  <si>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</si>
  <si>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</si>
  <si>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</si>
  <si>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</si>
  <si>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</si>
  <si>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</si>
  <si>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</si>
  <si>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</si>
  <si>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</si>
  <si>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</si>
  <si>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</si>
  <si>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</si>
  <si>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</si>
  <si>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</si>
  <si>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</si>
  <si>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</si>
  <si>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</si>
  <si>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</si>
  <si>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</si>
  <si>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</si>
  <si>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</si>
  <si>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</si>
  <si>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</si>
  <si>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</si>
  <si>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</si>
  <si>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</si>
  <si>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</si>
  <si>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</si>
  <si>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</si>
  <si>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</si>
  <si>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</si>
  <si>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</si>
  <si>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</si>
  <si>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</si>
  <si>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</si>
  <si>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</si>
  <si>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</si>
  <si>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</si>
  <si>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</si>
  <si>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</si>
  <si>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</si>
  <si>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</si>
  <si>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</si>
  <si>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</si>
  <si>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</si>
  <si>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</si>
  <si>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</si>
  <si>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</si>
  <si>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</si>
  <si>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</si>
  <si>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</si>
  <si>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</si>
  <si>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</si>
  <si>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</si>
  <si>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</si>
  <si>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</si>
  <si>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</si>
  <si>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</si>
  <si>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</si>
  <si>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</si>
  <si>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</si>
  <si>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</si>
  <si>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</si>
  <si>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</si>
  <si>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</si>
  <si>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</si>
  <si>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</si>
  <si>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</si>
  <si>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</si>
  <si>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</si>
  <si>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</si>
  <si>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</si>
  <si>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</si>
  <si>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</si>
  <si>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</si>
  <si>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</si>
  <si>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</si>
  <si>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</si>
  <si>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</si>
  <si>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</si>
  <si>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</si>
  <si>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</si>
  <si>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</si>
  <si>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</si>
  <si>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</si>
  <si>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</si>
  <si>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</si>
  <si>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</si>
  <si>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</si>
  <si>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</si>
  <si>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</si>
  <si>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</si>
  <si>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</si>
  <si>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</si>
  <si>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</si>
  <si>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</si>
  <si>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</si>
  <si>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</si>
  <si>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</si>
  <si>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</si>
  <si>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</si>
  <si>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</si>
  <si>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</si>
  <si>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</si>
  <si>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</si>
  <si>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</si>
  <si>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</si>
  <si>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</si>
  <si>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</si>
  <si>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</si>
  <si>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</si>
  <si>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</si>
  <si>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</si>
  <si>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</si>
  <si>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</si>
  <si>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</si>
  <si>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</si>
  <si>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</si>
  <si>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</si>
  <si>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</si>
  <si>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</si>
  <si>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</si>
  <si>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</si>
  <si>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</si>
  <si>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</si>
  <si>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</si>
  <si>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</si>
  <si>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</si>
  <si>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</si>
  <si>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</si>
  <si>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</si>
  <si>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</si>
  <si>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</si>
  <si>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</si>
  <si>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</si>
  <si>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</si>
  <si>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</si>
  <si>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</si>
  <si>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</si>
  <si>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</si>
  <si>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</si>
  <si>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</si>
  <si>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</si>
  <si>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</si>
  <si>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</si>
  <si>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</si>
  <si>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</si>
  <si>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</si>
  <si>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</si>
  <si>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</si>
  <si>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</si>
  <si>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</si>
  <si>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</si>
  <si>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</si>
  <si>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</si>
  <si>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</si>
  <si>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</si>
  <si>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</si>
  <si>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</si>
  <si>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</si>
  <si>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</si>
  <si>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</si>
  <si>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</si>
  <si>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</si>
  <si>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</si>
  <si>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</si>
  <si>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</si>
  <si>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</si>
  <si>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</si>
  <si>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</si>
  <si>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</si>
  <si>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</si>
  <si>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</si>
  <si>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</si>
  <si>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</si>
  <si>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</si>
  <si>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</si>
  <si>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</si>
  <si>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</si>
  <si>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</si>
  <si>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</si>
  <si>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</si>
  <si>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</si>
  <si>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</si>
  <si>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</si>
  <si>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</si>
  <si>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</si>
  <si>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</si>
  <si>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</si>
  <si>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</si>
  <si>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</si>
  <si>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</si>
  <si>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</si>
  <si>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</si>
  <si>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</si>
  <si>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</si>
  <si>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</si>
  <si>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</si>
  <si>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</si>
  <si>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</si>
  <si>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</si>
  <si>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</si>
  <si>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</si>
  <si>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</si>
  <si>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</si>
  <si>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</si>
  <si>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</si>
  <si>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</si>
  <si>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</si>
  <si>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</si>
  <si>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</si>
  <si>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</si>
  <si>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</si>
  <si>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</si>
  <si>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</si>
  <si>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</si>
  <si>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</si>
  <si>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</si>
  <si>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</si>
  <si>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</si>
  <si>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</si>
  <si>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</si>
  <si>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</si>
  <si>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</si>
  <si>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</si>
  <si>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</si>
  <si>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</si>
  <si>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</si>
  <si>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</si>
  <si>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</si>
  <si>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</si>
  <si>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</si>
  <si>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</si>
  <si>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</si>
  <si>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</si>
  <si>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</si>
  <si>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</si>
  <si>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</si>
  <si>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</si>
  <si>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</si>
  <si>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</si>
  <si>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</si>
  <si>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</si>
  <si>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</si>
  <si>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</si>
  <si>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</si>
  <si>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</si>
  <si>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</si>
  <si>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</si>
  <si>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</si>
  <si>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</si>
  <si>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</si>
  <si>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</si>
  <si>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</si>
  <si>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</si>
  <si>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</si>
  <si>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</si>
  <si>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</si>
  <si>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</si>
  <si>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</si>
  <si>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</si>
  <si>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</si>
  <si>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</si>
  <si>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</si>
  <si>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</si>
  <si>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</si>
  <si>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</si>
  <si>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</si>
  <si>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</si>
  <si>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</si>
  <si>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</si>
  <si>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</si>
  <si>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</si>
  <si>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</si>
  <si>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</si>
  <si>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</si>
  <si>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</si>
  <si>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</si>
  <si>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</si>
  <si>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</si>
  <si>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</si>
  <si>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</si>
  <si>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</si>
  <si>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</si>
  <si>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</si>
  <si>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</si>
  <si>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</si>
  <si>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</si>
  <si>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</si>
  <si>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</si>
  <si>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</si>
  <si>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</si>
  <si>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</si>
  <si>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</si>
  <si>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</si>
  <si>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</si>
  <si>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</si>
  <si>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</si>
  <si>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</si>
  <si>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</si>
  <si>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</si>
  <si>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</si>
  <si>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</si>
  <si>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</si>
  <si>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</si>
  <si>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</si>
  <si>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</si>
  <si>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</si>
  <si>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</si>
  <si>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</si>
  <si>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</si>
  <si>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</si>
  <si>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</si>
  <si>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</si>
  <si>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</si>
  <si>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</si>
  <si>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</si>
  <si>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</si>
  <si>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</si>
  <si>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</si>
  <si>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</si>
  <si>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</si>
  <si>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</si>
  <si>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</si>
  <si>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</si>
  <si>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</si>
  <si>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</si>
  <si>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</si>
  <si>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</si>
  <si>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</si>
  <si>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</si>
  <si>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</si>
  <si>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</si>
  <si>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</si>
  <si>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</si>
  <si>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</si>
  <si>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</si>
  <si>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</si>
  <si>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</si>
  <si>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</si>
  <si>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</si>
  <si>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</si>
  <si>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</si>
  <si>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</si>
  <si>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</si>
  <si>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</si>
  <si>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</si>
  <si>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</si>
  <si>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</si>
  <si>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</si>
  <si>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</si>
  <si>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</si>
  <si>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</si>
  <si>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</si>
  <si>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</si>
  <si>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</si>
  <si>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</si>
  <si>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</si>
  <si>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</si>
  <si>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</si>
  <si>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</si>
  <si>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</si>
  <si>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</si>
  <si>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</si>
  <si>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</si>
  <si>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</si>
  <si>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</si>
  <si>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</si>
  <si>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</si>
  <si>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</si>
  <si>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</si>
  <si>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</si>
  <si>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</si>
  <si>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</si>
  <si>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</si>
  <si>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</si>
  <si>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</si>
  <si>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</si>
  <si>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</si>
  <si>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</si>
  <si>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</si>
  <si>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</si>
  <si>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</si>
  <si>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</si>
  <si>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</si>
  <si>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</si>
  <si>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</si>
  <si>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</si>
  <si>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</si>
  <si>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</si>
  <si>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</si>
  <si>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</si>
  <si>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</si>
  <si>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</si>
  <si>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</si>
  <si>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</si>
  <si>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</si>
  <si>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</si>
  <si>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</si>
  <si>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</si>
  <si>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</si>
  <si>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</si>
  <si>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</si>
  <si>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</si>
  <si>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</si>
  <si>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</si>
  <si>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</si>
  <si>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</si>
  <si>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</si>
  <si>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</si>
  <si>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</si>
  <si>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</si>
  <si>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</si>
  <si>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</si>
  <si>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</si>
  <si>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</si>
  <si>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</si>
  <si>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</si>
  <si>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</si>
  <si>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</si>
  <si>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</si>
  <si>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</si>
  <si>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</si>
  <si>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</si>
  <si>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</si>
  <si>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</si>
  <si>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</si>
  <si>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</si>
  <si>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</si>
  <si>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</si>
  <si>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</si>
  <si>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</si>
  <si>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</si>
  <si>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</si>
  <si>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</si>
  <si>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</si>
  <si>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</si>
  <si>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</si>
  <si>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</si>
  <si>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</si>
  <si>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</si>
  <si>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</si>
  <si>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</si>
  <si>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</si>
  <si>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</si>
  <si>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</si>
  <si>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</si>
  <si>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</si>
  <si>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</si>
  <si>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</si>
  <si>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</si>
  <si>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</si>
  <si>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</si>
  <si>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</si>
  <si>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</si>
  <si>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</si>
  <si>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</si>
  <si>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</si>
  <si>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</si>
  <si>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</si>
  <si>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</si>
  <si>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</si>
  <si>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</si>
  <si>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</si>
  <si>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</si>
  <si>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</si>
  <si>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</si>
  <si>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</si>
  <si>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</si>
  <si>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</si>
  <si>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</si>
  <si>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</si>
  <si>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</si>
  <si>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</si>
  <si>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</si>
  <si>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</si>
  <si>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</si>
  <si>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</si>
  <si>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</si>
  <si>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</si>
  <si>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</si>
  <si>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</si>
  <si>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</si>
  <si>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</si>
  <si>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</si>
  <si>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</si>
  <si>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</si>
  <si>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</si>
  <si>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</si>
  <si>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</si>
  <si>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</si>
  <si>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</si>
  <si>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</si>
  <si>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</si>
  <si>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</si>
  <si>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</si>
  <si>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</si>
  <si>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</si>
  <si>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</si>
  <si>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</si>
  <si>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</si>
  <si>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</si>
  <si>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</si>
  <si>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</si>
  <si>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</si>
  <si>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</si>
  <si>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</si>
  <si>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</si>
  <si>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</si>
  <si>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</si>
  <si>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</si>
  <si>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</si>
  <si>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</si>
  <si>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</si>
  <si>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</si>
  <si>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</si>
  <si>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</si>
  <si>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</si>
  <si>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</si>
  <si>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</si>
  <si>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</si>
  <si>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</si>
  <si>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</si>
  <si>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</si>
  <si>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</si>
  <si>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</si>
  <si>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</si>
  <si>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</si>
  <si>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</si>
  <si>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</si>
  <si>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</si>
  <si>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</si>
  <si>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</si>
  <si>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</si>
  <si>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</si>
  <si>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</si>
  <si>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</si>
  <si>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</si>
  <si>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</si>
  <si>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</si>
  <si>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</si>
  <si>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</si>
  <si>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</si>
  <si>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</si>
  <si>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</si>
  <si>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</si>
  <si>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</si>
  <si>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</si>
  <si>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</si>
  <si>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</si>
  <si>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</si>
  <si>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</si>
  <si>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</si>
  <si>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</si>
  <si>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</si>
  <si>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</si>
  <si>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</si>
  <si>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</si>
  <si>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</si>
  <si>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</si>
  <si>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</si>
  <si>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</si>
  <si>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</si>
  <si>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</si>
  <si>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</si>
  <si>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</si>
  <si>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</si>
  <si>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</si>
  <si>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</si>
  <si>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</si>
  <si>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</si>
  <si>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</si>
  <si>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</si>
  <si>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</si>
  <si>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</si>
  <si>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</si>
  <si>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</si>
  <si>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</si>
  <si>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</si>
  <si>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</si>
  <si>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</si>
  <si>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</si>
  <si>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</si>
  <si>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</si>
  <si>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</si>
  <si>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</si>
  <si>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</si>
  <si>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</si>
  <si>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</si>
  <si>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</si>
  <si>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</si>
  <si>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</si>
  <si>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</si>
  <si>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</si>
  <si>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</si>
  <si>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</si>
  <si>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</si>
  <si>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</si>
  <si>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</si>
  <si>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</si>
  <si>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</si>
  <si>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</si>
  <si>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</si>
  <si>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</si>
  <si>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</si>
  <si>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</si>
  <si>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</si>
  <si>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</si>
  <si>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</si>
  <si>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</si>
  <si>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</si>
  <si>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</si>
  <si>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</si>
  <si>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</si>
  <si>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</si>
  <si>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</si>
  <si>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</si>
  <si>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</si>
  <si>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</si>
  <si>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</si>
  <si>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</si>
  <si>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</si>
  <si>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</si>
  <si>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</si>
  <si>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</si>
  <si>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</si>
  <si>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</si>
  <si>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</si>
  <si>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</si>
  <si>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</si>
  <si>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</si>
  <si>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</si>
  <si>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</si>
  <si>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</si>
  <si>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</si>
  <si>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</si>
  <si>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</si>
  <si>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</si>
  <si>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</si>
  <si>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</si>
  <si>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</si>
  <si>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</si>
  <si>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</si>
  <si>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</si>
  <si>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</si>
  <si>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</si>
  <si>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</si>
  <si>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</si>
  <si>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</si>
  <si>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</si>
  <si>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</si>
  <si>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</si>
  <si>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</si>
  <si>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</si>
  <si>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</si>
  <si>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</si>
  <si>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</si>
  <si>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</si>
  <si>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</si>
  <si>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</si>
  <si>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</si>
  <si>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</si>
  <si>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</si>
  <si>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</si>
  <si>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</si>
  <si>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</si>
  <si>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</si>
  <si>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</si>
  <si>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</si>
  <si>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</si>
  <si>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</si>
  <si>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</si>
  <si>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</si>
  <si>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</si>
  <si>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</si>
  <si>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</si>
  <si>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</si>
  <si>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</si>
  <si>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</si>
  <si>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</si>
  <si>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</si>
  <si>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</si>
  <si>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</si>
  <si>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</si>
  <si>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</si>
  <si>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</si>
  <si>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</si>
  <si>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</si>
  <si>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</si>
  <si>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</si>
  <si>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</si>
  <si>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</si>
  <si>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</si>
  <si>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</si>
  <si>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</si>
  <si>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</si>
  <si>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</si>
  <si>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</si>
  <si>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</si>
  <si>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</si>
  <si>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</si>
  <si>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</si>
  <si>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</si>
  <si>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</si>
  <si>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</si>
  <si>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</si>
  <si>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</si>
  <si>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</si>
  <si>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</si>
  <si>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</si>
  <si>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</si>
  <si>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</si>
  <si>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</si>
  <si>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</si>
  <si>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</si>
  <si>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</si>
  <si>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</si>
  <si>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</si>
  <si>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</si>
  <si>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</si>
  <si>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</si>
  <si>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</si>
  <si>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</si>
  <si>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</si>
  <si>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</si>
  <si>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</si>
  <si>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</si>
  <si>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</si>
  <si>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</si>
  <si>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</si>
  <si>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</si>
  <si>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</si>
  <si>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</si>
  <si>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</si>
  <si>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</si>
  <si>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</si>
  <si>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</si>
  <si>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</si>
  <si>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</si>
  <si>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</si>
  <si>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</si>
  <si>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</si>
  <si>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</si>
  <si>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</si>
  <si>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</si>
  <si>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</si>
  <si>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</si>
  <si>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</si>
  <si>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</si>
  <si>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</si>
  <si>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</si>
  <si>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</si>
  <si>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</si>
  <si>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</si>
  <si>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</si>
  <si>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</si>
  <si>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</si>
  <si>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</si>
  <si>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</si>
  <si>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</si>
  <si>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</si>
  <si>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</si>
  <si>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</si>
  <si>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</si>
  <si>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</si>
  <si>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</si>
  <si>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</si>
  <si>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</si>
  <si>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</si>
  <si>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</si>
  <si>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</si>
  <si>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</si>
  <si>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</si>
  <si>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</si>
  <si>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</si>
  <si>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</si>
  <si>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</si>
  <si>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</si>
  <si>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</si>
  <si>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</si>
  <si>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</si>
  <si>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</si>
  <si>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</si>
  <si>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</si>
  <si>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</si>
  <si>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</si>
  <si>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</si>
  <si>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</si>
  <si>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</si>
  <si>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</si>
  <si>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</si>
  <si>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</si>
  <si>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</si>
  <si>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</si>
  <si>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</si>
  <si>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</si>
  <si>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</si>
  <si>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</si>
  <si>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</si>
  <si>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</si>
  <si>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</si>
  <si>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</si>
  <si>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</si>
  <si>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</si>
  <si>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</si>
  <si>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</si>
  <si>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</si>
  <si>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</si>
  <si>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</si>
  <si>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</si>
  <si>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</si>
  <si>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</si>
  <si>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</si>
  <si>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</si>
  <si>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</si>
  <si>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</si>
  <si>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</si>
  <si>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</si>
  <si>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</si>
  <si>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</si>
  <si>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</si>
  <si>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</si>
  <si>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</si>
  <si>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</si>
  <si>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</si>
  <si>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</si>
  <si>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</si>
  <si>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</si>
  <si>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</si>
  <si>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</si>
  <si>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</si>
  <si>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</si>
  <si>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</si>
  <si>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</si>
  <si>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</si>
  <si>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</si>
  <si>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</si>
  <si>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</si>
  <si>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</si>
  <si>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</si>
  <si>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</si>
  <si>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</si>
  <si>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</si>
  <si>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</si>
  <si>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</si>
  <si>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</si>
  <si>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</si>
  <si>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</si>
  <si>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</si>
  <si>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</si>
  <si>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</si>
  <si>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</si>
  <si>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</si>
  <si>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</si>
  <si>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</si>
  <si>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</si>
  <si>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</si>
  <si>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</si>
  <si>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</si>
  <si>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</si>
  <si>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</si>
  <si>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</si>
  <si>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</si>
  <si>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</si>
  <si>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</si>
  <si>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</si>
  <si>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</si>
  <si>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</si>
  <si>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</si>
  <si>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</si>
  <si>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</si>
  <si>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</si>
  <si>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</si>
  <si>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</si>
  <si>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</si>
  <si>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</si>
  <si>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</si>
  <si>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</si>
  <si>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</si>
  <si>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</si>
  <si>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</si>
  <si>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</si>
  <si>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</si>
  <si>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</si>
  <si>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</si>
  <si>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</si>
  <si>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</si>
  <si>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</si>
  <si>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</si>
  <si>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</si>
  <si>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</si>
  <si>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</si>
  <si>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</si>
  <si>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</si>
  <si>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</si>
  <si>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</si>
  <si>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</si>
  <si>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</si>
  <si>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</si>
  <si>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</si>
  <si>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</si>
  <si>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</si>
  <si>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</si>
  <si>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</si>
  <si>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</si>
  <si>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</si>
  <si>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</si>
  <si>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</si>
  <si>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</si>
  <si>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</si>
  <si>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</si>
  <si>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</si>
  <si>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</si>
  <si>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</si>
  <si>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</si>
  <si>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</si>
  <si>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</si>
  <si>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</si>
  <si>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</si>
  <si>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</si>
  <si>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</si>
  <si>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</si>
  <si>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</si>
  <si>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</si>
  <si>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</si>
  <si>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</si>
  <si>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</si>
  <si>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</si>
  <si>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</si>
  <si>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</si>
  <si>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</si>
  <si>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</si>
  <si>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</si>
  <si>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</si>
  <si>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</si>
  <si>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</si>
  <si>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</si>
  <si>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</si>
  <si>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</si>
  <si>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</si>
  <si>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</si>
  <si>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</si>
  <si>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</si>
  <si>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</si>
  <si>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</si>
  <si>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</si>
  <si>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</si>
  <si>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</si>
  <si>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</si>
  <si>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</si>
  <si>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</si>
  <si>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</si>
  <si>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</si>
  <si>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</si>
  <si>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</si>
  <si>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</si>
  <si>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</si>
  <si>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</si>
  <si>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</si>
  <si>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WINNEBAGO/BOONE</t>
  </si>
  <si>
    <t xml:space="preserve">6605 PRAIRIE HILL ROAD </t>
  </si>
  <si>
    <t xml:space="preserve">SOUTH BELOIT </t>
  </si>
  <si>
    <t>815/389-3957</t>
  </si>
  <si>
    <t>815/389-6107</t>
  </si>
  <si>
    <t xml:space="preserve">BENNING GROUP, LLC </t>
  </si>
  <si>
    <t xml:space="preserve">JENNY L. BLOCKER </t>
  </si>
  <si>
    <t>50 W. DOUGLAS STREET, SUITE 801</t>
  </si>
  <si>
    <t xml:space="preserve">FREEPORT </t>
  </si>
  <si>
    <t>IL</t>
  </si>
  <si>
    <t>815/235-3157</t>
  </si>
  <si>
    <t>815/235-3158</t>
  </si>
  <si>
    <t>066-004238</t>
  </si>
  <si>
    <t>jblocker@benninggroup.com</t>
  </si>
  <si>
    <t>LORI FANELLO</t>
  </si>
  <si>
    <t>lfanello@kidsroe.org</t>
  </si>
  <si>
    <t>815/636-3060</t>
  </si>
  <si>
    <t>815/636-3069</t>
  </si>
  <si>
    <t>General Obligation School Building Bonds, Series 2007</t>
  </si>
  <si>
    <t>General Obligation School Building Bonds, Series 2008</t>
  </si>
  <si>
    <t>General Obligation Refunding Bonds, Series 2017</t>
  </si>
  <si>
    <t xml:space="preserve">Kinnikinnick &amp; Rockton School Districts </t>
  </si>
  <si>
    <t xml:space="preserve">Winnebago County Special Education Cooperative </t>
  </si>
  <si>
    <t xml:space="preserve">Account </t>
  </si>
  <si>
    <t xml:space="preserve">Page </t>
  </si>
  <si>
    <t xml:space="preserve">Fund </t>
  </si>
  <si>
    <t xml:space="preserve">Description </t>
  </si>
  <si>
    <t xml:space="preserve">Amount </t>
  </si>
  <si>
    <t xml:space="preserve">Line </t>
  </si>
  <si>
    <t xml:space="preserve">Yearbook </t>
  </si>
  <si>
    <t>Class t-shirt sales</t>
  </si>
  <si>
    <t xml:space="preserve">Gym fees </t>
  </si>
  <si>
    <t>Athletic fees</t>
  </si>
  <si>
    <t>Instructional materials fees</t>
  </si>
  <si>
    <t xml:space="preserve">Donations </t>
  </si>
  <si>
    <t xml:space="preserve">Misc. fees </t>
  </si>
  <si>
    <t xml:space="preserve">Jury duty </t>
  </si>
  <si>
    <t>10-1000-300</t>
  </si>
  <si>
    <t xml:space="preserve">Toshiba Financial Service </t>
  </si>
  <si>
    <t>10-2200-300</t>
  </si>
  <si>
    <t xml:space="preserve">Driscoll Consulting </t>
  </si>
  <si>
    <t>40-2550-300</t>
  </si>
  <si>
    <t>Note 1</t>
  </si>
  <si>
    <t>None</t>
  </si>
  <si>
    <t>Note 2</t>
  </si>
  <si>
    <t>ED-Instruction-Purchased Services</t>
  </si>
  <si>
    <t xml:space="preserve">ED-Instructional Staff-Purchased Services </t>
  </si>
  <si>
    <t xml:space="preserve">TR-Pupil Transportation-Purchased Services </t>
  </si>
  <si>
    <t>First Student Inc</t>
  </si>
  <si>
    <t>CLINT CZIZEK</t>
  </si>
  <si>
    <t>czizekc@prairiehill.org</t>
  </si>
  <si>
    <t>BENNING GROUP, LLC</t>
  </si>
  <si>
    <t>Other restricted grants</t>
  </si>
  <si>
    <t>Note 1: Food services - joint bid for dairy and bread products with Shirland CCSD #134, Rockton SD #140, Kinnikinnick CCSD #131, Hononegah CHSD #207, County of Winnebago SD #320, and North Boone SD #200</t>
  </si>
  <si>
    <t>Note 2: Transportation - joint bus contract with Rockton SD #140, Kinnikinnick CCSD #131, Hononegah CHSD #207, and County of Winnebago SD #320.</t>
  </si>
  <si>
    <t>Prairie Hill CCSD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</si>
</sst>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5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100" fillId="0" borderId="0" xfId="18" applyFont="1" applyProtection="1">
      <protection locked="0"/>
    </xf>
    <xf numFmtId="0" fontId="65" fillId="0" borderId="0" xfId="0" applyFont="1" applyAlignment="1">
      <alignment horizontal="left"/>
    </xf>
    <xf numFmtId="181" fontId="57" fillId="0" borderId="0" xfId="1" applyNumberFormat="1" applyFont="1" applyAlignment="1">
      <alignment horizontal="left"/>
    </xf>
    <xf numFmtId="181" fontId="57" fillId="0" borderId="78" xfId="1" applyNumberFormat="1" applyFont="1" applyBorder="1" applyAlignment="1">
      <alignment horizontal="left"/>
    </xf>
    <xf numFmtId="182" fontId="57" fillId="0" borderId="166" xfId="19" applyNumberFormat="1" applyFont="1" applyBorder="1" applyAlignment="1">
      <alignment horizontal="left"/>
    </xf>
    <xf numFmtId="182" fontId="57" fillId="0" borderId="167" xfId="19" applyNumberFormat="1" applyFont="1" applyBorder="1" applyAlignment="1">
      <alignment horizontal="left"/>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182" fontId="57" fillId="0" borderId="0" xfId="19" applyNumberFormat="1" applyFont="1" applyAlignment="1">
      <alignment horizontal="left"/>
    </xf>
    <xf numFmtId="0" fontId="57" fillId="0" borderId="0" xfId="0" applyFont="1" applyAlignment="1">
      <alignment horizontal="center"/>
    </xf>
    <xf numFmtId="0" fontId="65" fillId="0" borderId="0" xfId="0" applyFont="1" applyAlignment="1">
      <alignment horizontal="center"/>
    </xf>
    <xf numFmtId="166" fontId="62" fillId="0" borderId="0" xfId="0" applyNumberFormat="1" applyFont="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1567296</xdr:colOff>
          <xdr:row>4</xdr:row>
          <xdr:rowOff>69272</xdr:rowOff>
        </xdr:from>
        <xdr:to>
          <xdr:col>1</xdr:col>
          <xdr:colOff>2481696</xdr:colOff>
          <xdr:row>9</xdr:row>
          <xdr:rowOff>28574</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1" t="s">
        <v>425</v>
      </c>
      <c r="J1" s="2012"/>
      <c r="K1" s="2012"/>
      <c r="L1" s="2012"/>
      <c r="M1" s="2012"/>
      <c r="N1" s="2012"/>
      <c r="O1" s="2012"/>
      <c r="P1" s="2012"/>
      <c r="Q1" s="2012"/>
      <c r="R1" s="2012"/>
      <c r="S1" s="2012"/>
    </row>
    <row r="2" spans="1:28" ht="12" customHeight="1" x14ac:dyDescent="0.2">
      <c r="A2" s="47" t="s">
        <v>1684</v>
      </c>
      <c r="D2" s="48"/>
      <c r="I2" s="2013" t="s">
        <v>1036</v>
      </c>
      <c r="J2" s="2012"/>
      <c r="K2" s="2012"/>
      <c r="L2" s="2012"/>
      <c r="M2" s="2012"/>
      <c r="N2" s="2012"/>
      <c r="O2" s="2012"/>
      <c r="P2" s="2012"/>
      <c r="Q2" s="2012"/>
      <c r="R2" s="2012"/>
      <c r="S2" s="2012"/>
    </row>
    <row r="3" spans="1:28" ht="12" customHeight="1" x14ac:dyDescent="0.2">
      <c r="A3" s="155" t="s">
        <v>1685</v>
      </c>
      <c r="B3" s="156"/>
      <c r="C3" s="156"/>
      <c r="D3" s="157"/>
      <c r="I3" s="2013" t="s">
        <v>54</v>
      </c>
      <c r="J3" s="2012"/>
      <c r="K3" s="2012"/>
      <c r="L3" s="2012"/>
      <c r="M3" s="2012"/>
      <c r="N3" s="2012"/>
      <c r="O3" s="2012"/>
      <c r="P3" s="2012"/>
      <c r="Q3" s="2012"/>
      <c r="R3" s="2012"/>
      <c r="S3" s="2012"/>
    </row>
    <row r="4" spans="1:28" ht="12" customHeight="1" x14ac:dyDescent="0.2">
      <c r="A4" s="37"/>
      <c r="I4" s="2013" t="s">
        <v>545</v>
      </c>
      <c r="J4" s="2012"/>
      <c r="K4" s="2012"/>
      <c r="L4" s="2012"/>
      <c r="M4" s="2012"/>
      <c r="N4" s="2012"/>
      <c r="O4" s="2012"/>
      <c r="P4" s="2012"/>
      <c r="Q4" s="2012"/>
      <c r="R4" s="2012"/>
      <c r="S4" s="2012"/>
    </row>
    <row r="5" spans="1:28" ht="14.1" customHeight="1" x14ac:dyDescent="0.2">
      <c r="B5" s="104" t="s">
        <v>2077</v>
      </c>
      <c r="C5" s="26" t="s">
        <v>966</v>
      </c>
      <c r="D5" s="84"/>
      <c r="E5" s="84"/>
      <c r="H5" s="38"/>
      <c r="I5" s="2021" t="s">
        <v>701</v>
      </c>
      <c r="J5" s="2020"/>
      <c r="K5" s="2020"/>
      <c r="L5" s="2020"/>
      <c r="M5" s="2020"/>
      <c r="N5" s="2020"/>
      <c r="O5" s="2020"/>
      <c r="P5" s="2020"/>
      <c r="Q5" s="2020"/>
      <c r="R5" s="2020"/>
      <c r="S5" s="2020"/>
    </row>
    <row r="6" spans="1:28" ht="14.1" customHeight="1" x14ac:dyDescent="0.2">
      <c r="B6" s="104"/>
      <c r="C6" s="26" t="s">
        <v>967</v>
      </c>
      <c r="D6" s="84"/>
      <c r="E6" s="84"/>
      <c r="I6" s="2019" t="s">
        <v>938</v>
      </c>
      <c r="J6" s="2020"/>
      <c r="K6" s="2020"/>
      <c r="L6" s="2020"/>
      <c r="M6" s="2020"/>
      <c r="N6" s="2020"/>
      <c r="O6" s="2020"/>
      <c r="P6" s="2020"/>
      <c r="Q6" s="2020"/>
      <c r="R6" s="2020"/>
      <c r="S6" s="2020"/>
    </row>
    <row r="7" spans="1:28" ht="12.2" customHeight="1" x14ac:dyDescent="0.2">
      <c r="I7" s="2014">
        <v>43281</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695</v>
      </c>
      <c r="J9" s="2017"/>
      <c r="K9" s="2017"/>
      <c r="L9" s="2017"/>
      <c r="M9" s="2017"/>
      <c r="N9" s="2017"/>
      <c r="O9" s="2017"/>
      <c r="P9" s="2017"/>
      <c r="Q9" s="2017"/>
      <c r="R9" s="2017"/>
      <c r="S9" s="2018"/>
      <c r="T9" s="2032" t="s">
        <v>554</v>
      </c>
      <c r="U9" s="2033"/>
      <c r="V9" s="2033"/>
      <c r="W9" s="2033"/>
      <c r="X9" s="2033"/>
      <c r="Y9" s="2033"/>
      <c r="Z9" s="2033"/>
      <c r="AA9" s="2034"/>
    </row>
    <row r="10" spans="1:28" ht="13.5" customHeight="1" x14ac:dyDescent="0.2">
      <c r="A10" s="2039" t="s">
        <v>696</v>
      </c>
      <c r="B10" s="2040"/>
      <c r="C10" s="2040"/>
      <c r="D10" s="2040"/>
      <c r="E10" s="2040"/>
      <c r="F10" s="2040"/>
      <c r="G10" s="2040"/>
      <c r="H10" s="2041"/>
      <c r="I10" s="29"/>
      <c r="J10" s="30"/>
      <c r="K10" s="28"/>
      <c r="R10" s="30"/>
      <c r="S10" s="30"/>
      <c r="T10" s="2035"/>
      <c r="U10" s="2020"/>
      <c r="V10" s="2020"/>
      <c r="W10" s="2020"/>
      <c r="X10" s="2020"/>
      <c r="Y10" s="2020"/>
      <c r="Z10" s="2020"/>
      <c r="AA10" s="2026"/>
    </row>
    <row r="11" spans="1:28" ht="14.25" customHeight="1" x14ac:dyDescent="0.2">
      <c r="A11" s="2042" t="s">
        <v>1012</v>
      </c>
      <c r="B11" s="2043"/>
      <c r="C11" s="2043"/>
      <c r="D11" s="2043"/>
      <c r="E11" s="2043"/>
      <c r="F11" s="2043"/>
      <c r="G11" s="2043"/>
      <c r="H11" s="2044"/>
      <c r="I11" s="27"/>
      <c r="J11" s="74"/>
      <c r="K11" s="27"/>
      <c r="O11" s="148" t="s">
        <v>2077</v>
      </c>
      <c r="P11" s="100" t="s">
        <v>210</v>
      </c>
      <c r="Q11" s="30"/>
      <c r="R11" s="28"/>
      <c r="S11" s="27"/>
      <c r="T11" s="2036"/>
      <c r="U11" s="2037"/>
      <c r="V11" s="2037"/>
      <c r="W11" s="2037"/>
      <c r="X11" s="2037"/>
      <c r="Y11" s="2037"/>
      <c r="Z11" s="2037"/>
      <c r="AA11" s="203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6">
        <v>4101133004</v>
      </c>
      <c r="B13" s="2047"/>
      <c r="C13" s="2047"/>
      <c r="D13" s="2047"/>
      <c r="E13" s="2047"/>
      <c r="F13" s="2047"/>
      <c r="G13" s="2047"/>
      <c r="H13" s="2048"/>
      <c r="I13" s="31"/>
      <c r="J13" s="30"/>
      <c r="K13" s="28"/>
      <c r="L13" s="30"/>
      <c r="M13" s="30"/>
      <c r="N13" s="30"/>
      <c r="O13" s="30"/>
      <c r="P13" s="30"/>
      <c r="Q13" s="30"/>
      <c r="R13" s="30"/>
      <c r="S13" s="30"/>
      <c r="T13" s="2051" t="s">
        <v>2083</v>
      </c>
      <c r="U13" s="2052"/>
      <c r="V13" s="2052"/>
      <c r="W13" s="2052"/>
      <c r="X13" s="2052"/>
      <c r="Y13" s="2053"/>
      <c r="Z13" s="2053"/>
      <c r="AA13" s="205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5" t="s">
        <v>2078</v>
      </c>
      <c r="B15" s="2049"/>
      <c r="C15" s="2049"/>
      <c r="D15" s="2049"/>
      <c r="E15" s="2049"/>
      <c r="F15" s="2049"/>
      <c r="G15" s="2049"/>
      <c r="H15" s="2050"/>
      <c r="T15" s="2055" t="s">
        <v>2084</v>
      </c>
      <c r="U15" s="1999"/>
      <c r="V15" s="1999"/>
      <c r="W15" s="1999"/>
      <c r="X15" s="1999"/>
      <c r="Y15" s="2056"/>
      <c r="Z15" s="2056"/>
      <c r="AA15" s="205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5" t="s">
        <v>2133</v>
      </c>
      <c r="B17" s="2006"/>
      <c r="C17" s="2006"/>
      <c r="D17" s="2006"/>
      <c r="E17" s="2006"/>
      <c r="F17" s="2006"/>
      <c r="G17" s="2006"/>
      <c r="H17" s="2031"/>
      <c r="T17" s="2062" t="s">
        <v>2085</v>
      </c>
      <c r="U17" s="2063"/>
      <c r="V17" s="2063"/>
      <c r="W17" s="2063"/>
      <c r="X17" s="2063"/>
      <c r="Y17" s="2063"/>
      <c r="Z17" s="2063"/>
      <c r="AA17" s="2064"/>
    </row>
    <row r="18" spans="1:27" ht="13.5" customHeight="1" x14ac:dyDescent="0.2">
      <c r="A18" s="85" t="s">
        <v>551</v>
      </c>
      <c r="B18" s="76"/>
      <c r="C18" s="72"/>
      <c r="D18" s="76"/>
      <c r="E18" s="76"/>
      <c r="F18" s="76"/>
      <c r="G18" s="76"/>
      <c r="H18" s="56"/>
      <c r="I18" s="2030" t="s">
        <v>697</v>
      </c>
      <c r="J18" s="1981"/>
      <c r="K18" s="1981"/>
      <c r="L18" s="1981"/>
      <c r="M18" s="1981"/>
      <c r="N18" s="1981"/>
      <c r="O18" s="1981"/>
      <c r="P18" s="1981"/>
      <c r="Q18" s="1981"/>
      <c r="R18" s="1981"/>
      <c r="S18" s="1982"/>
      <c r="T18" s="85" t="s">
        <v>735</v>
      </c>
      <c r="U18" s="51"/>
      <c r="V18" s="72"/>
      <c r="W18" s="50"/>
      <c r="X18" s="85" t="s">
        <v>284</v>
      </c>
      <c r="Y18" s="81"/>
      <c r="Z18" s="159" t="s">
        <v>698</v>
      </c>
      <c r="AA18" s="46"/>
    </row>
    <row r="19" spans="1:27" ht="13.5" customHeight="1" x14ac:dyDescent="0.2">
      <c r="A19" s="2045" t="s">
        <v>2079</v>
      </c>
      <c r="B19" s="1991"/>
      <c r="C19" s="1991"/>
      <c r="D19" s="1991"/>
      <c r="E19" s="1991"/>
      <c r="F19" s="1991"/>
      <c r="G19" s="1991"/>
      <c r="H19" s="1971"/>
      <c r="I19" s="30"/>
      <c r="J19" s="99"/>
      <c r="K19" s="40"/>
      <c r="L19" s="38"/>
      <c r="M19" s="112" t="s">
        <v>333</v>
      </c>
      <c r="P19" s="27"/>
      <c r="Q19" s="27"/>
      <c r="R19" s="27"/>
      <c r="S19" s="31"/>
      <c r="T19" s="2045" t="s">
        <v>2086</v>
      </c>
      <c r="U19" s="1970"/>
      <c r="V19" s="1970"/>
      <c r="W19" s="1971"/>
      <c r="X19" s="2060" t="s">
        <v>2087</v>
      </c>
      <c r="Y19" s="2061"/>
      <c r="Z19" s="2058">
        <v>61032</v>
      </c>
      <c r="AA19" s="205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9" t="s">
        <v>2080</v>
      </c>
      <c r="B21" s="1970"/>
      <c r="C21" s="1970"/>
      <c r="D21" s="1970"/>
      <c r="E21" s="1970"/>
      <c r="F21" s="1970"/>
      <c r="G21" s="1970"/>
      <c r="H21" s="1971"/>
      <c r="I21" s="2025" t="s">
        <v>699</v>
      </c>
      <c r="J21" s="2020"/>
      <c r="K21" s="2020"/>
      <c r="L21" s="2020"/>
      <c r="M21" s="2020"/>
      <c r="N21" s="2020"/>
      <c r="O21" s="2020"/>
      <c r="P21" s="2020"/>
      <c r="Q21" s="2020"/>
      <c r="R21" s="2020"/>
      <c r="S21" s="2026"/>
      <c r="T21" s="2069" t="s">
        <v>2088</v>
      </c>
      <c r="U21" s="2070"/>
      <c r="V21" s="2070"/>
      <c r="W21" s="2070"/>
      <c r="X21" s="2075" t="s">
        <v>2089</v>
      </c>
      <c r="Y21" s="2076"/>
      <c r="Z21" s="2076"/>
      <c r="AA21" s="2077"/>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2"/>
      <c r="B23" s="2023"/>
      <c r="C23" s="2023"/>
      <c r="D23" s="2023"/>
      <c r="E23" s="2023"/>
      <c r="F23" s="2023"/>
      <c r="G23" s="2023"/>
      <c r="H23" s="2024"/>
      <c r="T23" s="2005" t="s">
        <v>2090</v>
      </c>
      <c r="U23" s="2068"/>
      <c r="V23" s="2068"/>
      <c r="W23" s="2068"/>
      <c r="X23" s="2072">
        <v>43434</v>
      </c>
      <c r="Y23" s="2073"/>
      <c r="Z23" s="2073"/>
      <c r="AA23" s="2074"/>
    </row>
    <row r="24" spans="1:27" ht="14.1" customHeight="1" x14ac:dyDescent="0.2">
      <c r="A24" s="88" t="s">
        <v>698</v>
      </c>
      <c r="B24" s="49"/>
      <c r="C24" s="49"/>
      <c r="D24" s="49"/>
      <c r="E24" s="49"/>
      <c r="F24" s="49"/>
      <c r="G24" s="49"/>
      <c r="H24" s="61"/>
      <c r="J24" s="1992">
        <f>IF(B5="x",IF(AUDITCHECK!D29="AFR form Incomplete.","",IF(AUDITCHECK!D29="Deficit reduction plan is required.","School District must complete a deficit reduction plan in the 2018-2019 Budget",)),"")</f>
        <v>0</v>
      </c>
      <c r="K24" s="1992"/>
      <c r="L24" s="1992"/>
      <c r="M24" s="1992"/>
      <c r="N24" s="1992"/>
      <c r="O24" s="1992"/>
      <c r="P24" s="1992"/>
      <c r="Q24" s="1992"/>
      <c r="R24" s="1992"/>
      <c r="S24" s="1993"/>
      <c r="T24" s="105" t="s">
        <v>552</v>
      </c>
      <c r="U24" s="106"/>
      <c r="V24" s="106"/>
      <c r="W24" s="106"/>
      <c r="X24" s="107"/>
      <c r="Y24" s="107"/>
      <c r="Z24" s="107"/>
      <c r="AA24" s="108"/>
    </row>
    <row r="25" spans="1:27" ht="14.1" customHeight="1" x14ac:dyDescent="0.2">
      <c r="A25" s="1969">
        <v>61080</v>
      </c>
      <c r="B25" s="1970"/>
      <c r="C25" s="1970"/>
      <c r="D25" s="1970"/>
      <c r="E25" s="1970"/>
      <c r="F25" s="1970"/>
      <c r="G25" s="1970"/>
      <c r="H25" s="1971"/>
      <c r="I25" s="113"/>
      <c r="J25" s="1994"/>
      <c r="K25" s="1994"/>
      <c r="L25" s="1994"/>
      <c r="M25" s="1994"/>
      <c r="N25" s="1994"/>
      <c r="O25" s="1994"/>
      <c r="P25" s="1994"/>
      <c r="Q25" s="1994"/>
      <c r="R25" s="1994"/>
      <c r="S25" s="1995"/>
      <c r="T25" s="2065" t="s">
        <v>2091</v>
      </c>
      <c r="U25" s="2066"/>
      <c r="V25" s="2066"/>
      <c r="W25" s="2066"/>
      <c r="X25" s="2066"/>
      <c r="Y25" s="2066"/>
      <c r="Z25" s="2066"/>
      <c r="AA25" s="20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0" t="s">
        <v>1591</v>
      </c>
      <c r="J27" s="1981"/>
      <c r="K27" s="1981"/>
      <c r="L27" s="1981"/>
      <c r="M27" s="1981"/>
      <c r="N27" s="1981"/>
      <c r="O27" s="1981"/>
      <c r="P27" s="1981"/>
      <c r="Q27" s="1981"/>
      <c r="R27" s="1981"/>
      <c r="S27" s="198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1"/>
      <c r="Q35" s="1970"/>
      <c r="R35" s="197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5" t="s">
        <v>2127</v>
      </c>
      <c r="B38" s="2006"/>
      <c r="C38" s="2006"/>
      <c r="D38" s="2006"/>
      <c r="E38" s="2006"/>
      <c r="F38" s="1970"/>
      <c r="G38" s="1970"/>
      <c r="H38" s="1971"/>
      <c r="I38" s="1998"/>
      <c r="J38" s="1999"/>
      <c r="K38" s="1999"/>
      <c r="L38" s="1999"/>
      <c r="M38" s="1999"/>
      <c r="N38" s="1999"/>
      <c r="O38" s="1999"/>
      <c r="P38" s="2000"/>
      <c r="Q38" s="2000"/>
      <c r="R38" s="2000"/>
      <c r="S38" s="2001"/>
      <c r="T38" s="2055" t="s">
        <v>2092</v>
      </c>
      <c r="U38" s="1999"/>
      <c r="V38" s="1999"/>
      <c r="W38" s="1999"/>
      <c r="X38" s="2000"/>
      <c r="Y38" s="2000"/>
      <c r="Z38" s="2000"/>
      <c r="AA38" s="2001"/>
    </row>
    <row r="39" spans="1:27" ht="12" customHeight="1" x14ac:dyDescent="0.2">
      <c r="A39" s="1975" t="s">
        <v>552</v>
      </c>
      <c r="B39" s="1976"/>
      <c r="C39" s="72"/>
      <c r="D39" s="69"/>
      <c r="E39" s="69"/>
      <c r="F39" s="79"/>
      <c r="G39" s="69"/>
      <c r="H39" s="56"/>
      <c r="I39" s="1975" t="s">
        <v>552</v>
      </c>
      <c r="J39" s="1976"/>
      <c r="K39" s="1976"/>
      <c r="L39" s="1976"/>
      <c r="M39" s="1976"/>
      <c r="N39" s="67"/>
      <c r="O39" s="72"/>
      <c r="P39" s="72"/>
      <c r="Q39" s="78"/>
      <c r="R39" s="72"/>
      <c r="S39" s="56"/>
      <c r="T39" s="72" t="s">
        <v>552</v>
      </c>
      <c r="U39" s="51"/>
      <c r="V39" s="72"/>
      <c r="W39" s="50"/>
      <c r="X39" s="78"/>
      <c r="Y39" s="45"/>
      <c r="Z39" s="45"/>
      <c r="AA39" s="46"/>
    </row>
    <row r="40" spans="1:27" ht="13.5" customHeight="1" x14ac:dyDescent="0.2">
      <c r="A40" s="1983" t="s">
        <v>2128</v>
      </c>
      <c r="B40" s="1984"/>
      <c r="C40" s="1985"/>
      <c r="D40" s="1985"/>
      <c r="E40" s="1985"/>
      <c r="F40" s="1986"/>
      <c r="G40" s="1986"/>
      <c r="H40" s="1987"/>
      <c r="I40" s="2008"/>
      <c r="J40" s="2009"/>
      <c r="K40" s="2009"/>
      <c r="L40" s="2009"/>
      <c r="M40" s="2009"/>
      <c r="N40" s="2009"/>
      <c r="O40" s="2009"/>
      <c r="P40" s="2009"/>
      <c r="Q40" s="2009"/>
      <c r="R40" s="2009"/>
      <c r="S40" s="2010"/>
      <c r="T40" s="2008" t="s">
        <v>2093</v>
      </c>
      <c r="U40" s="2071"/>
      <c r="V40" s="2009"/>
      <c r="W40" s="2009"/>
      <c r="X40" s="2009"/>
      <c r="Y40" s="2009"/>
      <c r="Z40" s="2009"/>
      <c r="AA40" s="201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7" t="s">
        <v>2081</v>
      </c>
      <c r="B42" s="1989"/>
      <c r="C42" s="1990"/>
      <c r="D42" s="1988" t="s">
        <v>2082</v>
      </c>
      <c r="E42" s="1989"/>
      <c r="F42" s="1989"/>
      <c r="G42" s="1989"/>
      <c r="H42" s="1990"/>
      <c r="I42" s="1972"/>
      <c r="J42" s="1973"/>
      <c r="K42" s="1973"/>
      <c r="L42" s="1973"/>
      <c r="M42" s="1973"/>
      <c r="N42" s="1973"/>
      <c r="O42" s="1974"/>
      <c r="P42" s="2007"/>
      <c r="Q42" s="1973"/>
      <c r="R42" s="1973"/>
      <c r="S42" s="1974"/>
      <c r="T42" s="1972" t="s">
        <v>2094</v>
      </c>
      <c r="U42" s="1973"/>
      <c r="V42" s="1973"/>
      <c r="W42" s="1974"/>
      <c r="X42" s="2007" t="s">
        <v>2095</v>
      </c>
      <c r="Y42" s="1973"/>
      <c r="Z42" s="1973"/>
      <c r="AA42" s="197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2"/>
      <c r="B44" s="2003"/>
      <c r="C44" s="2003"/>
      <c r="D44" s="2003"/>
      <c r="E44" s="2003"/>
      <c r="F44" s="2003"/>
      <c r="G44" s="2003"/>
      <c r="H44" s="2004"/>
      <c r="I44" s="1977"/>
      <c r="J44" s="1978"/>
      <c r="K44" s="1978"/>
      <c r="L44" s="1978"/>
      <c r="M44" s="1978"/>
      <c r="N44" s="1978"/>
      <c r="O44" s="1978"/>
      <c r="P44" s="1978"/>
      <c r="Q44" s="1978"/>
      <c r="R44" s="1978"/>
      <c r="S44" s="1979"/>
      <c r="T44" s="1977"/>
      <c r="U44" s="1996"/>
      <c r="V44" s="1996"/>
      <c r="W44" s="1996"/>
      <c r="X44" s="1996"/>
      <c r="Y44" s="1996"/>
      <c r="Z44" s="1978"/>
      <c r="AA44" s="197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1" sqref="A11:H1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1" t="s">
        <v>1905</v>
      </c>
      <c r="B2" s="1549" t="s">
        <v>2037</v>
      </c>
      <c r="C2" s="715" t="s">
        <v>1910</v>
      </c>
      <c r="D2" s="715" t="s">
        <v>1911</v>
      </c>
      <c r="E2" s="715" t="s">
        <v>1912</v>
      </c>
      <c r="F2" s="715" t="s">
        <v>1913</v>
      </c>
    </row>
    <row r="3" spans="1:6" ht="12" customHeight="1" x14ac:dyDescent="0.2">
      <c r="A3" s="2212"/>
      <c r="B3" s="1546"/>
      <c r="C3" s="1547"/>
      <c r="D3" s="1548" t="s">
        <v>274</v>
      </c>
      <c r="E3" s="1547"/>
      <c r="F3" s="1548" t="s">
        <v>275</v>
      </c>
    </row>
    <row r="4" spans="1:6" ht="13.7" customHeight="1" x14ac:dyDescent="0.2">
      <c r="A4" s="716" t="s">
        <v>1217</v>
      </c>
      <c r="B4" s="1770">
        <f>'Revenues 9-14'!C5</f>
        <v>3072684</v>
      </c>
      <c r="C4" s="1545"/>
      <c r="D4" s="1773">
        <f>B4-C4</f>
        <v>3072684</v>
      </c>
      <c r="E4" s="1545">
        <v>3097209</v>
      </c>
      <c r="F4" s="1773">
        <f>E4-C4</f>
        <v>3097209</v>
      </c>
    </row>
    <row r="5" spans="1:6" ht="13.7" customHeight="1" x14ac:dyDescent="0.2">
      <c r="A5" s="716" t="s">
        <v>925</v>
      </c>
      <c r="B5" s="1771">
        <f>'Revenues 9-14'!D5</f>
        <v>375906</v>
      </c>
      <c r="C5" s="585"/>
      <c r="D5" s="1774">
        <f t="shared" ref="D5:D18" si="0">B5-C5</f>
        <v>375906</v>
      </c>
      <c r="E5" s="585">
        <v>470128</v>
      </c>
      <c r="F5" s="1774">
        <f>E5-C5</f>
        <v>470128</v>
      </c>
    </row>
    <row r="6" spans="1:6" ht="13.7" customHeight="1" x14ac:dyDescent="0.2">
      <c r="A6" s="716" t="s">
        <v>431</v>
      </c>
      <c r="B6" s="1771">
        <f>'Revenues 9-14'!E5</f>
        <v>1200598</v>
      </c>
      <c r="C6" s="585"/>
      <c r="D6" s="1774">
        <f t="shared" si="0"/>
        <v>1200598</v>
      </c>
      <c r="E6" s="585">
        <v>1249437</v>
      </c>
      <c r="F6" s="1774">
        <f t="shared" ref="F6:F18" si="1">E6-C6</f>
        <v>1249437</v>
      </c>
    </row>
    <row r="7" spans="1:6" ht="13.7" customHeight="1" x14ac:dyDescent="0.2">
      <c r="A7" s="716" t="s">
        <v>157</v>
      </c>
      <c r="B7" s="1771">
        <f>'Revenues 9-14'!F5</f>
        <v>194579</v>
      </c>
      <c r="C7" s="585"/>
      <c r="D7" s="1774">
        <f t="shared" si="0"/>
        <v>194579</v>
      </c>
      <c r="E7" s="585">
        <v>196207</v>
      </c>
      <c r="F7" s="1774">
        <f t="shared" si="1"/>
        <v>196207</v>
      </c>
    </row>
    <row r="8" spans="1:6" ht="13.7" customHeight="1" x14ac:dyDescent="0.2">
      <c r="A8" s="716" t="s">
        <v>1241</v>
      </c>
      <c r="B8" s="1771">
        <f>'Revenues 9-14'!G5</f>
        <v>14529</v>
      </c>
      <c r="C8" s="585"/>
      <c r="D8" s="1774">
        <f t="shared" si="0"/>
        <v>14529</v>
      </c>
      <c r="E8" s="585">
        <v>58406</v>
      </c>
      <c r="F8" s="1774">
        <f t="shared" si="1"/>
        <v>58406</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26734</v>
      </c>
      <c r="C10" s="585"/>
      <c r="D10" s="1774">
        <f t="shared" si="0"/>
        <v>26734</v>
      </c>
      <c r="E10" s="585">
        <v>27104</v>
      </c>
      <c r="F10" s="1774">
        <f t="shared" si="1"/>
        <v>27104</v>
      </c>
    </row>
    <row r="11" spans="1:6" x14ac:dyDescent="0.2">
      <c r="A11" s="716" t="s">
        <v>429</v>
      </c>
      <c r="B11" s="1771">
        <f>'Revenues 9-14'!J5</f>
        <v>0</v>
      </c>
      <c r="C11" s="585"/>
      <c r="D11" s="1774">
        <f t="shared" si="0"/>
        <v>0</v>
      </c>
      <c r="E11" s="585"/>
      <c r="F11" s="1774">
        <f t="shared" si="1"/>
        <v>0</v>
      </c>
    </row>
    <row r="12" spans="1:6" ht="13.7" customHeight="1" x14ac:dyDescent="0.2">
      <c r="A12" s="716" t="s">
        <v>159</v>
      </c>
      <c r="B12" s="1771">
        <f>'Revenues 9-14'!K5</f>
        <v>53237</v>
      </c>
      <c r="C12" s="585"/>
      <c r="D12" s="1774">
        <f t="shared" si="0"/>
        <v>53237</v>
      </c>
      <c r="E12" s="585">
        <v>29263</v>
      </c>
      <c r="F12" s="1774">
        <f t="shared" si="1"/>
        <v>29263</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42658</v>
      </c>
      <c r="C14" s="585"/>
      <c r="D14" s="1774">
        <f t="shared" si="0"/>
        <v>42658</v>
      </c>
      <c r="E14" s="585">
        <v>43055</v>
      </c>
      <c r="F14" s="1774">
        <f t="shared" si="1"/>
        <v>43055</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127742</v>
      </c>
      <c r="C16" s="585"/>
      <c r="D16" s="1774">
        <f t="shared" si="0"/>
        <v>127742</v>
      </c>
      <c r="E16" s="585">
        <v>95465</v>
      </c>
      <c r="F16" s="1774">
        <f t="shared" si="1"/>
        <v>95465</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5108667</v>
      </c>
      <c r="C19" s="1772">
        <f>SUM(C4:C18)</f>
        <v>0</v>
      </c>
      <c r="D19" s="1772">
        <f>SUM(D4:D18)</f>
        <v>5108667</v>
      </c>
      <c r="E19" s="1772">
        <f>SUM(E4:E18)</f>
        <v>5266274</v>
      </c>
      <c r="F19" s="1772">
        <f>SUM(F4:F18)</f>
        <v>5266274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A11" sqref="A11:H1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3" t="s">
        <v>650</v>
      </c>
      <c r="B1" s="2231"/>
      <c r="C1" s="722"/>
    </row>
    <row r="2" spans="1:7" ht="33.75" x14ac:dyDescent="0.2">
      <c r="A2" s="2238" t="s">
        <v>1905</v>
      </c>
      <c r="B2" s="2239"/>
      <c r="C2" s="1908" t="s">
        <v>2038</v>
      </c>
      <c r="D2" s="724" t="s">
        <v>2045</v>
      </c>
      <c r="E2" s="724" t="s">
        <v>2046</v>
      </c>
      <c r="F2" s="1908" t="s">
        <v>2039</v>
      </c>
    </row>
    <row r="3" spans="1:7" ht="15.75" customHeight="1" x14ac:dyDescent="0.2">
      <c r="A3" s="2240" t="s">
        <v>1176</v>
      </c>
      <c r="B3" s="2241"/>
      <c r="C3" s="2234"/>
      <c r="D3" s="2235"/>
      <c r="E3" s="2235"/>
      <c r="F3" s="2236"/>
    </row>
    <row r="4" spans="1:7" ht="12.75" customHeight="1" thickBot="1" x14ac:dyDescent="0.25">
      <c r="A4" s="2228" t="s">
        <v>651</v>
      </c>
      <c r="B4" s="2229"/>
      <c r="C4" s="581"/>
      <c r="D4" s="581"/>
      <c r="E4" s="581"/>
      <c r="F4" s="1776">
        <f>SUM(C4+D4)-E4</f>
        <v>0</v>
      </c>
    </row>
    <row r="5" spans="1:7" ht="15.75" customHeight="1" thickTop="1" x14ac:dyDescent="0.2">
      <c r="A5" s="2232" t="s">
        <v>1172</v>
      </c>
      <c r="B5" s="2227"/>
      <c r="C5" s="2221"/>
      <c r="D5" s="2222"/>
      <c r="E5" s="2222"/>
      <c r="F5" s="222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4" t="s">
        <v>652</v>
      </c>
      <c r="B15" s="2225"/>
      <c r="C15" s="1776">
        <f>SUM(C6:C14)</f>
        <v>0</v>
      </c>
      <c r="D15" s="1776">
        <f>SUM(D6:D14)</f>
        <v>0</v>
      </c>
      <c r="E15" s="1776">
        <f>SUM(E6:E14)</f>
        <v>0</v>
      </c>
      <c r="F15" s="1776">
        <f>SUM(F6:F14)</f>
        <v>0</v>
      </c>
      <c r="G15" s="552"/>
    </row>
    <row r="16" spans="1:7" s="202" customFormat="1" ht="15.75" customHeight="1" thickTop="1" x14ac:dyDescent="0.2">
      <c r="A16" s="2237" t="s">
        <v>1173</v>
      </c>
      <c r="B16" s="2227"/>
      <c r="C16" s="2221"/>
      <c r="D16" s="2222"/>
      <c r="E16" s="2222"/>
      <c r="F16" s="2223"/>
    </row>
    <row r="17" spans="1:11" ht="12.75" customHeight="1" thickBot="1" x14ac:dyDescent="0.25">
      <c r="A17" s="2219" t="s">
        <v>66</v>
      </c>
      <c r="B17" s="2220"/>
      <c r="C17" s="727"/>
      <c r="D17" s="585"/>
      <c r="E17" s="727"/>
      <c r="F17" s="1776">
        <f>SUM(C17+D17)-E17</f>
        <v>0</v>
      </c>
    </row>
    <row r="18" spans="1:11" ht="12.75" customHeight="1" thickTop="1" thickBot="1" x14ac:dyDescent="0.25">
      <c r="A18" s="2219" t="s">
        <v>6</v>
      </c>
      <c r="B18" s="2220"/>
      <c r="C18" s="727"/>
      <c r="D18" s="585"/>
      <c r="E18" s="727"/>
      <c r="F18" s="1776">
        <f>SUM(C18+D18)-E18</f>
        <v>0</v>
      </c>
    </row>
    <row r="19" spans="1:11" ht="12.75" customHeight="1" thickTop="1" thickBot="1" x14ac:dyDescent="0.25">
      <c r="A19" s="2219" t="s">
        <v>406</v>
      </c>
      <c r="B19" s="2220"/>
      <c r="C19" s="727"/>
      <c r="D19" s="585"/>
      <c r="E19" s="727"/>
      <c r="F19" s="1776">
        <f>SUM(C19+D19)-E19</f>
        <v>0</v>
      </c>
    </row>
    <row r="20" spans="1:11" ht="12.75" customHeight="1" thickTop="1" thickBot="1" x14ac:dyDescent="0.25">
      <c r="A20" s="2219" t="s">
        <v>468</v>
      </c>
      <c r="B20" s="2220"/>
      <c r="C20" s="727"/>
      <c r="D20" s="585"/>
      <c r="E20" s="727"/>
      <c r="F20" s="1776">
        <f>SUM(C20+D20)-E20</f>
        <v>0</v>
      </c>
    </row>
    <row r="21" spans="1:11" ht="14.25" thickTop="1" thickBot="1" x14ac:dyDescent="0.25">
      <c r="A21" s="2224" t="s">
        <v>653</v>
      </c>
      <c r="B21" s="2225"/>
      <c r="C21" s="1776">
        <f>SUM(C17:C20)</f>
        <v>0</v>
      </c>
      <c r="D21" s="1776">
        <f>SUM(D17:D20)</f>
        <v>0</v>
      </c>
      <c r="E21" s="1776">
        <f>SUM(E17:E20)</f>
        <v>0</v>
      </c>
      <c r="F21" s="1776">
        <f>SUM(F17:F20)</f>
        <v>0</v>
      </c>
      <c r="G21" s="552"/>
    </row>
    <row r="22" spans="1:11" ht="15.75" customHeight="1" thickTop="1" x14ac:dyDescent="0.2">
      <c r="A22" s="2226" t="s">
        <v>1174</v>
      </c>
      <c r="B22" s="2227"/>
      <c r="C22" s="2221"/>
      <c r="D22" s="2222"/>
      <c r="E22" s="2222"/>
      <c r="F22" s="2223"/>
    </row>
    <row r="23" spans="1:11" ht="13.5" thickBot="1" x14ac:dyDescent="0.25">
      <c r="A23" s="2228" t="s">
        <v>654</v>
      </c>
      <c r="B23" s="2229"/>
      <c r="C23" s="581"/>
      <c r="D23" s="581"/>
      <c r="E23" s="581"/>
      <c r="F23" s="1776">
        <f>SUM(C23+D23)-E23</f>
        <v>0</v>
      </c>
      <c r="G23" s="552"/>
    </row>
    <row r="24" spans="1:11" ht="15.75" customHeight="1" thickTop="1" x14ac:dyDescent="0.2">
      <c r="A24" s="2226" t="s">
        <v>1175</v>
      </c>
      <c r="B24" s="2227"/>
      <c r="C24" s="2221"/>
      <c r="D24" s="2222"/>
      <c r="E24" s="2222"/>
      <c r="F24" s="2223"/>
    </row>
    <row r="25" spans="1:11" ht="13.5" thickBot="1" x14ac:dyDescent="0.25">
      <c r="A25" s="2228" t="s">
        <v>655</v>
      </c>
      <c r="B25" s="2229"/>
      <c r="C25" s="581"/>
      <c r="D25" s="581"/>
      <c r="E25" s="581"/>
      <c r="F25" s="1776">
        <f>SUM(C25+D25)-E25</f>
        <v>0</v>
      </c>
      <c r="G25" s="552"/>
    </row>
    <row r="26" spans="1:11" ht="15.75" customHeight="1" thickTop="1" x14ac:dyDescent="0.2">
      <c r="A26" s="2232" t="s">
        <v>678</v>
      </c>
      <c r="B26" s="2227"/>
      <c r="C26" s="728"/>
      <c r="D26" s="728"/>
      <c r="E26" s="728"/>
      <c r="F26" s="729"/>
    </row>
    <row r="27" spans="1:11" ht="13.5" thickBot="1" x14ac:dyDescent="0.25">
      <c r="A27" s="2224" t="s">
        <v>1130</v>
      </c>
      <c r="B27" s="2225"/>
      <c r="C27" s="585"/>
      <c r="D27" s="585"/>
      <c r="E27" s="585"/>
      <c r="F27" s="1776">
        <f>SUM(C27+D27)-E27</f>
        <v>0</v>
      </c>
      <c r="G27" s="552"/>
    </row>
    <row r="28" spans="1:11" ht="7.5" customHeight="1" thickTop="1" x14ac:dyDescent="0.2">
      <c r="A28" s="594"/>
    </row>
    <row r="29" spans="1:11" ht="23.25" customHeight="1" x14ac:dyDescent="0.2">
      <c r="A29" s="2230" t="s">
        <v>603</v>
      </c>
      <c r="B29" s="2231"/>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2096</v>
      </c>
      <c r="B31" s="734">
        <v>39373</v>
      </c>
      <c r="C31" s="735">
        <v>10000000</v>
      </c>
      <c r="D31" s="736">
        <v>6</v>
      </c>
      <c r="E31" s="735">
        <v>855000</v>
      </c>
      <c r="F31" s="735"/>
      <c r="G31" s="735"/>
      <c r="H31" s="735">
        <v>550000</v>
      </c>
      <c r="I31" s="1777">
        <f>((E31+F31)-H31)+G31</f>
        <v>305000</v>
      </c>
      <c r="J31" s="735">
        <v>305000</v>
      </c>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t="s">
        <v>2097</v>
      </c>
      <c r="B33" s="734">
        <v>39504</v>
      </c>
      <c r="C33" s="735">
        <v>3900000</v>
      </c>
      <c r="D33" s="736">
        <v>6</v>
      </c>
      <c r="E33" s="735">
        <v>625000</v>
      </c>
      <c r="F33" s="735"/>
      <c r="G33" s="735"/>
      <c r="H33" s="735">
        <v>225000</v>
      </c>
      <c r="I33" s="1777">
        <f t="shared" ref="I33:I48" si="1">((E33+F33)-H33)+G33</f>
        <v>400000</v>
      </c>
      <c r="J33" s="735">
        <v>400000</v>
      </c>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t="s">
        <v>2098</v>
      </c>
      <c r="B35" s="734">
        <v>42859</v>
      </c>
      <c r="C35" s="739">
        <v>9175000</v>
      </c>
      <c r="D35" s="736">
        <v>3</v>
      </c>
      <c r="E35" s="739">
        <v>9175000</v>
      </c>
      <c r="F35" s="739"/>
      <c r="G35" s="739"/>
      <c r="H35" s="739">
        <v>135000</v>
      </c>
      <c r="I35" s="1777">
        <f t="shared" si="1"/>
        <v>9040000</v>
      </c>
      <c r="J35" s="739">
        <v>9040000</v>
      </c>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23075000</v>
      </c>
      <c r="D49" s="746"/>
      <c r="E49" s="1777">
        <f t="shared" ref="E49:J49" si="2">SUM(E31:E48)</f>
        <v>10655000</v>
      </c>
      <c r="F49" s="1777">
        <f t="shared" si="2"/>
        <v>0</v>
      </c>
      <c r="G49" s="1777">
        <f t="shared" si="2"/>
        <v>0</v>
      </c>
      <c r="H49" s="1777">
        <f t="shared" si="2"/>
        <v>910000</v>
      </c>
      <c r="I49" s="1777">
        <f t="shared" si="2"/>
        <v>9745000</v>
      </c>
      <c r="J49" s="1777">
        <f t="shared" si="2"/>
        <v>9745000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3" t="s">
        <v>605</v>
      </c>
      <c r="C52" s="2214"/>
      <c r="D52" s="2214"/>
      <c r="E52" s="750" t="s">
        <v>900</v>
      </c>
      <c r="F52" s="2215"/>
      <c r="G52" s="2216"/>
      <c r="H52" s="737"/>
      <c r="I52" s="737"/>
      <c r="J52" s="747"/>
    </row>
    <row r="53" spans="1:11" ht="11.25" customHeight="1" x14ac:dyDescent="0.2">
      <c r="A53" s="751" t="s">
        <v>969</v>
      </c>
      <c r="B53" s="752" t="s">
        <v>1008</v>
      </c>
      <c r="C53" s="747"/>
      <c r="D53" s="738"/>
      <c r="E53" s="750" t="s">
        <v>518</v>
      </c>
      <c r="F53" s="2217"/>
      <c r="G53" s="2218"/>
      <c r="H53" s="737"/>
      <c r="I53" s="737"/>
      <c r="J53" s="747"/>
    </row>
    <row r="54" spans="1:11" ht="11.25" customHeight="1" x14ac:dyDescent="0.2">
      <c r="A54" s="753" t="s">
        <v>970</v>
      </c>
      <c r="B54" s="748" t="s">
        <v>1009</v>
      </c>
      <c r="C54" s="747"/>
      <c r="D54" s="738"/>
      <c r="E54" s="750" t="s">
        <v>519</v>
      </c>
      <c r="F54" s="2217"/>
      <c r="G54" s="221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1" sqref="A11:H1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911</v>
      </c>
      <c r="B1" s="2243"/>
      <c r="C1" s="2243"/>
      <c r="D1" s="2243"/>
      <c r="E1" s="2243"/>
      <c r="F1" s="2243"/>
      <c r="G1" s="2244"/>
      <c r="H1" s="1551"/>
      <c r="I1" s="761"/>
      <c r="J1" s="433"/>
    </row>
    <row r="2" spans="1:11" ht="26.25" x14ac:dyDescent="0.2">
      <c r="A2" s="2261" t="s">
        <v>1776</v>
      </c>
      <c r="B2" s="2262"/>
      <c r="C2" s="2262"/>
      <c r="D2" s="2262"/>
      <c r="E2" s="2263"/>
      <c r="F2" s="762" t="s">
        <v>960</v>
      </c>
      <c r="G2" s="763" t="s">
        <v>1773</v>
      </c>
      <c r="H2" s="763" t="s">
        <v>430</v>
      </c>
      <c r="I2" s="763" t="s">
        <v>1220</v>
      </c>
      <c r="J2" s="763" t="s">
        <v>1919</v>
      </c>
      <c r="K2" s="763" t="s">
        <v>140</v>
      </c>
    </row>
    <row r="3" spans="1:11" x14ac:dyDescent="0.2">
      <c r="A3" s="2264" t="s">
        <v>1698</v>
      </c>
      <c r="B3" s="2265"/>
      <c r="C3" s="2265"/>
      <c r="D3" s="2265"/>
      <c r="E3" s="2266"/>
      <c r="F3" s="764"/>
      <c r="G3" s="765"/>
      <c r="H3" s="765"/>
      <c r="I3" s="765"/>
      <c r="J3" s="766"/>
      <c r="K3" s="766"/>
    </row>
    <row r="4" spans="1:11" x14ac:dyDescent="0.2">
      <c r="A4" s="2267" t="s">
        <v>387</v>
      </c>
      <c r="B4" s="2268"/>
      <c r="C4" s="2268"/>
      <c r="D4" s="2268"/>
      <c r="E4" s="2214"/>
      <c r="F4" s="767"/>
      <c r="G4" s="768"/>
      <c r="H4" s="769"/>
      <c r="I4" s="768"/>
      <c r="J4" s="770"/>
      <c r="K4" s="770"/>
    </row>
    <row r="5" spans="1:11" x14ac:dyDescent="0.2">
      <c r="A5" s="2245" t="s">
        <v>1129</v>
      </c>
      <c r="B5" s="2246"/>
      <c r="C5" s="2246"/>
      <c r="D5" s="2246"/>
      <c r="E5" s="2247"/>
      <c r="F5" s="771" t="s">
        <v>903</v>
      </c>
      <c r="G5" s="772"/>
      <c r="H5" s="765">
        <v>42658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5" t="s">
        <v>1920</v>
      </c>
      <c r="B10" s="2246"/>
      <c r="C10" s="2246"/>
      <c r="D10" s="2246"/>
      <c r="E10" s="2248"/>
      <c r="F10" s="784" t="s">
        <v>917</v>
      </c>
      <c r="G10" s="783"/>
      <c r="H10" s="785"/>
      <c r="I10" s="765"/>
      <c r="J10" s="766"/>
      <c r="K10" s="766"/>
    </row>
    <row r="11" spans="1:11" x14ac:dyDescent="0.2">
      <c r="A11" s="2245" t="s">
        <v>162</v>
      </c>
      <c r="B11" s="2246"/>
      <c r="C11" s="2246"/>
      <c r="D11" s="2246"/>
      <c r="E11" s="2247"/>
      <c r="F11" s="771" t="s">
        <v>907</v>
      </c>
      <c r="G11" s="772"/>
      <c r="H11" s="765"/>
      <c r="I11" s="765"/>
      <c r="J11" s="766"/>
      <c r="K11" s="774"/>
    </row>
    <row r="12" spans="1:11" ht="13.5" thickBot="1" x14ac:dyDescent="0.25">
      <c r="A12" s="2272" t="s">
        <v>961</v>
      </c>
      <c r="B12" s="2273"/>
      <c r="C12" s="2273"/>
      <c r="D12" s="2273"/>
      <c r="E12" s="2274"/>
      <c r="F12" s="1778"/>
      <c r="G12" s="1779">
        <f>SUM(G5:G11)</f>
        <v>0</v>
      </c>
      <c r="H12" s="1779">
        <f>SUM(H5:H11)</f>
        <v>42658</v>
      </c>
      <c r="I12" s="1779">
        <f>SUM(I5:I11)</f>
        <v>0</v>
      </c>
      <c r="J12" s="1779">
        <f>SUM(J5:J11)</f>
        <v>0</v>
      </c>
      <c r="K12" s="1779">
        <f>SUM(K5:K11)</f>
        <v>0</v>
      </c>
    </row>
    <row r="13" spans="1:11" ht="13.5" thickTop="1" x14ac:dyDescent="0.2">
      <c r="A13" s="2269" t="s">
        <v>388</v>
      </c>
      <c r="B13" s="2270"/>
      <c r="C13" s="2270"/>
      <c r="D13" s="2270"/>
      <c r="E13" s="2271"/>
      <c r="F13" s="786"/>
      <c r="G13" s="787"/>
      <c r="H13" s="788"/>
      <c r="I13" s="789"/>
      <c r="J13" s="789"/>
      <c r="K13" s="789"/>
    </row>
    <row r="14" spans="1:11" x14ac:dyDescent="0.2">
      <c r="A14" s="2252" t="s">
        <v>476</v>
      </c>
      <c r="B14" s="2252"/>
      <c r="C14" s="2252"/>
      <c r="D14" s="2252"/>
      <c r="E14" s="2253"/>
      <c r="F14" s="790" t="s">
        <v>909</v>
      </c>
      <c r="G14" s="783"/>
      <c r="H14" s="765">
        <v>42658</v>
      </c>
      <c r="I14" s="772"/>
      <c r="J14" s="774"/>
      <c r="K14" s="766"/>
    </row>
    <row r="15" spans="1:11" x14ac:dyDescent="0.2">
      <c r="A15" s="2246" t="s">
        <v>4</v>
      </c>
      <c r="B15" s="2246"/>
      <c r="C15" s="2246"/>
      <c r="D15" s="2246"/>
      <c r="E15" s="2247"/>
      <c r="F15" s="790" t="s">
        <v>910</v>
      </c>
      <c r="G15" s="772"/>
      <c r="H15" s="765"/>
      <c r="I15" s="765"/>
      <c r="J15" s="766"/>
      <c r="K15" s="766"/>
    </row>
    <row r="16" spans="1:11" x14ac:dyDescent="0.2">
      <c r="A16" s="2246" t="s">
        <v>316</v>
      </c>
      <c r="B16" s="2246"/>
      <c r="C16" s="2246"/>
      <c r="D16" s="2246"/>
      <c r="E16" s="2247"/>
      <c r="F16" s="790" t="s">
        <v>980</v>
      </c>
      <c r="G16" s="773"/>
      <c r="H16" s="768"/>
      <c r="I16" s="768"/>
      <c r="J16" s="770"/>
      <c r="K16" s="770"/>
    </row>
    <row r="17" spans="1:11" x14ac:dyDescent="0.2">
      <c r="A17" s="2277" t="s">
        <v>992</v>
      </c>
      <c r="B17" s="2277"/>
      <c r="C17" s="2277"/>
      <c r="D17" s="2277"/>
      <c r="E17" s="2278"/>
      <c r="F17" s="791"/>
      <c r="G17" s="792"/>
      <c r="H17" s="793"/>
      <c r="I17" s="793"/>
      <c r="J17" s="794"/>
      <c r="K17" s="795"/>
    </row>
    <row r="18" spans="1:11" x14ac:dyDescent="0.2">
      <c r="A18" s="2256" t="s">
        <v>386</v>
      </c>
      <c r="B18" s="2257"/>
      <c r="C18" s="2257"/>
      <c r="D18" s="2257"/>
      <c r="E18" s="2258"/>
      <c r="F18" s="790" t="s">
        <v>989</v>
      </c>
      <c r="G18" s="783"/>
      <c r="H18" s="783"/>
      <c r="I18" s="783"/>
      <c r="J18" s="766"/>
      <c r="K18" s="796"/>
    </row>
    <row r="19" spans="1:11" ht="21.75" customHeight="1" x14ac:dyDescent="0.2">
      <c r="A19" s="2254" t="s">
        <v>1916</v>
      </c>
      <c r="B19" s="2254"/>
      <c r="C19" s="2254"/>
      <c r="D19" s="2254"/>
      <c r="E19" s="2255"/>
      <c r="F19" s="790" t="s">
        <v>990</v>
      </c>
      <c r="G19" s="783"/>
      <c r="H19" s="783"/>
      <c r="I19" s="783"/>
      <c r="J19" s="766"/>
      <c r="K19" s="796"/>
    </row>
    <row r="20" spans="1:11" x14ac:dyDescent="0.2">
      <c r="A20" s="2256" t="s">
        <v>1921</v>
      </c>
      <c r="B20" s="2257"/>
      <c r="C20" s="2257"/>
      <c r="D20" s="2257"/>
      <c r="E20" s="2258"/>
      <c r="F20" s="790" t="s">
        <v>991</v>
      </c>
      <c r="G20" s="783"/>
      <c r="H20" s="783"/>
      <c r="I20" s="783"/>
      <c r="J20" s="766"/>
      <c r="K20" s="796"/>
    </row>
    <row r="21" spans="1:11" ht="13.5" thickBot="1" x14ac:dyDescent="0.25">
      <c r="A21" s="2275" t="s">
        <v>659</v>
      </c>
      <c r="B21" s="2275"/>
      <c r="C21" s="2275"/>
      <c r="D21" s="2275"/>
      <c r="E21" s="2275"/>
      <c r="F21" s="1780"/>
      <c r="G21" s="793"/>
      <c r="H21" s="797"/>
      <c r="I21" s="797"/>
      <c r="J21" s="1781">
        <f>SUM(J18:J20)</f>
        <v>0</v>
      </c>
      <c r="K21" s="794"/>
    </row>
    <row r="22" spans="1:11" ht="13.5" thickTop="1" x14ac:dyDescent="0.2">
      <c r="A22" s="2246" t="s">
        <v>1922</v>
      </c>
      <c r="B22" s="2246"/>
      <c r="C22" s="2246"/>
      <c r="D22" s="2246"/>
      <c r="E22" s="2247"/>
      <c r="F22" s="790" t="s">
        <v>917</v>
      </c>
      <c r="G22" s="783"/>
      <c r="H22" s="765"/>
      <c r="I22" s="765"/>
      <c r="J22" s="798"/>
      <c r="K22" s="766"/>
    </row>
    <row r="23" spans="1:11" ht="13.5" thickBot="1" x14ac:dyDescent="0.25">
      <c r="A23" s="2276" t="s">
        <v>962</v>
      </c>
      <c r="B23" s="2275"/>
      <c r="C23" s="2275"/>
      <c r="D23" s="2275"/>
      <c r="E23" s="2275"/>
      <c r="F23" s="1782"/>
      <c r="G23" s="1779">
        <f>SUM(G14:G16,G21,G22)</f>
        <v>0</v>
      </c>
      <c r="H23" s="1779">
        <f>SUM(H14:H16,H21,H22)</f>
        <v>42658</v>
      </c>
      <c r="I23" s="1779">
        <f>SUM(I14:I16,I21,I22)</f>
        <v>0</v>
      </c>
      <c r="J23" s="1779">
        <f>SUM(J14:J16,J21,J22)</f>
        <v>0</v>
      </c>
      <c r="K23" s="1779">
        <f>SUM(K14:K16,K21,K22)</f>
        <v>0</v>
      </c>
    </row>
    <row r="24" spans="1:11" ht="14.25" thickTop="1" thickBot="1" x14ac:dyDescent="0.25">
      <c r="A24" s="2276" t="s">
        <v>2026</v>
      </c>
      <c r="B24" s="2275"/>
      <c r="C24" s="2275"/>
      <c r="D24" s="2275"/>
      <c r="E24" s="2275"/>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9"/>
      <c r="I31" s="2250"/>
      <c r="J31" s="2250"/>
      <c r="K31" s="2250"/>
    </row>
    <row r="32" spans="1:11" x14ac:dyDescent="0.2">
      <c r="A32" s="810"/>
      <c r="B32" s="237"/>
      <c r="C32" s="237"/>
      <c r="D32" s="237"/>
      <c r="E32" s="806"/>
      <c r="F32" s="812" t="s">
        <v>561</v>
      </c>
      <c r="G32" s="765"/>
      <c r="H32" s="2251"/>
      <c r="I32" s="2250"/>
      <c r="J32" s="2250"/>
      <c r="K32" s="2250"/>
    </row>
    <row r="33" spans="1:11" ht="1.5" customHeight="1" x14ac:dyDescent="0.2">
      <c r="A33" s="813" t="s">
        <v>1231</v>
      </c>
      <c r="B33" s="364"/>
      <c r="C33" s="364"/>
      <c r="D33" s="364"/>
      <c r="E33" s="364"/>
      <c r="F33" s="364"/>
      <c r="G33" s="814"/>
      <c r="H33" s="2251"/>
      <c r="I33" s="2250"/>
      <c r="J33" s="2250"/>
      <c r="K33" s="225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6" t="s">
        <v>562</v>
      </c>
      <c r="B41" s="2259"/>
      <c r="C41" s="2259"/>
      <c r="D41" s="2259"/>
      <c r="E41" s="2259"/>
      <c r="F41" s="226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1" sqref="A11:H1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1" t="s">
        <v>2035</v>
      </c>
      <c r="B1" s="2282"/>
      <c r="C1" s="2283"/>
      <c r="D1" s="827"/>
      <c r="E1" s="828"/>
      <c r="F1" s="828"/>
      <c r="G1" s="829"/>
      <c r="H1" s="830"/>
      <c r="I1" s="831"/>
      <c r="J1" s="2279"/>
      <c r="K1" s="2280"/>
      <c r="L1" s="228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18235</v>
      </c>
      <c r="D5" s="842"/>
      <c r="E5" s="842"/>
      <c r="F5" s="1781">
        <f>(C5+D5)-E5</f>
        <v>18235</v>
      </c>
      <c r="G5" s="838"/>
      <c r="H5" s="843"/>
      <c r="I5" s="843"/>
      <c r="J5" s="843"/>
      <c r="K5" s="794"/>
      <c r="L5" s="1790">
        <f>F5-K5</f>
        <v>18235</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19080012</v>
      </c>
      <c r="D8" s="845"/>
      <c r="E8" s="845"/>
      <c r="F8" s="1781">
        <f>(C8+D8)-E8</f>
        <v>19080012</v>
      </c>
      <c r="G8" s="844">
        <v>50</v>
      </c>
      <c r="H8" s="766">
        <v>4770267</v>
      </c>
      <c r="I8" s="766">
        <v>381601</v>
      </c>
      <c r="J8" s="766"/>
      <c r="K8" s="1790">
        <f>(H8+I8)-J8</f>
        <v>5151868</v>
      </c>
      <c r="L8" s="1790">
        <f>F8-K8</f>
        <v>13928144</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931292</v>
      </c>
      <c r="D10" s="847"/>
      <c r="E10" s="847"/>
      <c r="F10" s="1785">
        <f>(C10+D10)-E10</f>
        <v>931292</v>
      </c>
      <c r="G10" s="844">
        <v>20</v>
      </c>
      <c r="H10" s="848">
        <v>389520</v>
      </c>
      <c r="I10" s="848">
        <v>45564</v>
      </c>
      <c r="J10" s="848"/>
      <c r="K10" s="1790">
        <f>(H10+I10)-J10</f>
        <v>435084</v>
      </c>
      <c r="L10" s="1790">
        <f>F10-K10</f>
        <v>496208</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1130513</v>
      </c>
      <c r="D12" s="845">
        <v>56354</v>
      </c>
      <c r="E12" s="845">
        <v>57320</v>
      </c>
      <c r="F12" s="1781">
        <f>(C12+D12)-E12</f>
        <v>1129547</v>
      </c>
      <c r="G12" s="844">
        <v>10</v>
      </c>
      <c r="H12" s="766">
        <v>694908</v>
      </c>
      <c r="I12" s="766">
        <v>109767</v>
      </c>
      <c r="J12" s="766">
        <v>57320</v>
      </c>
      <c r="K12" s="1790">
        <f>(H12+I12)-J12</f>
        <v>747355</v>
      </c>
      <c r="L12" s="1790">
        <f>F12-K12</f>
        <v>382192</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21160052</v>
      </c>
      <c r="D16" s="1781">
        <f>SUM(D3,D5:D6,D8:D10,D12:D15)</f>
        <v>56354</v>
      </c>
      <c r="E16" s="1781">
        <f>SUM(E3,E5:E6,E8:E10,E12:E15)</f>
        <v>57320</v>
      </c>
      <c r="F16" s="1781">
        <f>SUM(F3,F5:F6,F8:F10,F12:F15)</f>
        <v>21159086</v>
      </c>
      <c r="G16" s="844"/>
      <c r="H16" s="1781">
        <f>SUM(H3,H6,H8:H10,H12:H14,)</f>
        <v>5854695</v>
      </c>
      <c r="I16" s="1781">
        <f>SUM(I3,I6,I8:I10,I12:I14,)</f>
        <v>536932</v>
      </c>
      <c r="J16" s="1781">
        <f>SUM(J3,J6,J8:J10,J12:J14,)</f>
        <v>57320</v>
      </c>
      <c r="K16" s="1781">
        <f>(H16+I16)-J16</f>
        <v>6334307</v>
      </c>
      <c r="L16" s="1781">
        <f>F16-K16</f>
        <v>14824779</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536932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11" sqref="A11:H11"/>
      <selection pane="bottomLeft" activeCell="A11" sqref="A11:H1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7" t="s">
        <v>1699</v>
      </c>
      <c r="B1" s="2288"/>
      <c r="C1" s="2288"/>
      <c r="D1" s="2288"/>
      <c r="E1" s="2288"/>
      <c r="F1" s="2289"/>
      <c r="G1" s="856"/>
    </row>
    <row r="2" spans="1:7" ht="15" customHeight="1" thickBot="1" x14ac:dyDescent="0.25">
      <c r="A2" s="2290" t="s">
        <v>498</v>
      </c>
      <c r="B2" s="2291"/>
      <c r="C2" s="2291"/>
      <c r="D2" s="2291"/>
      <c r="E2" s="2291"/>
      <c r="F2" s="229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3"/>
      <c r="B5" s="2294"/>
      <c r="C5" s="2294"/>
      <c r="D5" s="2294"/>
      <c r="E5" s="2294"/>
      <c r="F5" s="2294"/>
    </row>
    <row r="6" spans="1:7" ht="13.5" customHeight="1" thickBot="1" x14ac:dyDescent="0.25">
      <c r="A6" s="2284" t="s">
        <v>1166</v>
      </c>
      <c r="B6" s="2285"/>
      <c r="C6" s="2285"/>
      <c r="D6" s="2285"/>
      <c r="E6" s="2285"/>
      <c r="F6" s="228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5512295</v>
      </c>
      <c r="G8" s="866"/>
    </row>
    <row r="9" spans="1:7" x14ac:dyDescent="0.2">
      <c r="A9" s="870" t="s">
        <v>480</v>
      </c>
      <c r="B9" s="871" t="s">
        <v>1989</v>
      </c>
      <c r="C9" s="872"/>
      <c r="D9" s="870" t="s">
        <v>522</v>
      </c>
      <c r="E9" s="869"/>
      <c r="F9" s="1934">
        <f>'Expenditures 15-22'!K151</f>
        <v>507571</v>
      </c>
      <c r="G9" s="873"/>
    </row>
    <row r="10" spans="1:7" x14ac:dyDescent="0.2">
      <c r="A10" s="870" t="s">
        <v>520</v>
      </c>
      <c r="B10" s="871" t="s">
        <v>1990</v>
      </c>
      <c r="C10" s="872"/>
      <c r="D10" s="870" t="s">
        <v>522</v>
      </c>
      <c r="E10" s="869"/>
      <c r="F10" s="1934">
        <f>'Expenditures 15-22'!K174</f>
        <v>1211944</v>
      </c>
      <c r="G10" s="873"/>
    </row>
    <row r="11" spans="1:7" x14ac:dyDescent="0.2">
      <c r="A11" s="870" t="s">
        <v>481</v>
      </c>
      <c r="B11" s="871" t="s">
        <v>1991</v>
      </c>
      <c r="C11" s="872"/>
      <c r="D11" s="870" t="s">
        <v>522</v>
      </c>
      <c r="E11" s="869"/>
      <c r="F11" s="1934">
        <f>'Expenditures 15-22'!K210</f>
        <v>268825</v>
      </c>
      <c r="G11" s="873"/>
    </row>
    <row r="12" spans="1:7" x14ac:dyDescent="0.2">
      <c r="A12" s="870" t="s">
        <v>482</v>
      </c>
      <c r="B12" s="871" t="s">
        <v>1992</v>
      </c>
      <c r="C12" s="872"/>
      <c r="D12" s="870" t="s">
        <v>522</v>
      </c>
      <c r="E12" s="869"/>
      <c r="F12" s="1934">
        <f>'Expenditures 15-22'!K295</f>
        <v>196307</v>
      </c>
      <c r="G12" s="873"/>
    </row>
    <row r="13" spans="1:7" x14ac:dyDescent="0.2">
      <c r="A13" s="870" t="s">
        <v>108</v>
      </c>
      <c r="B13" s="871" t="s">
        <v>1993</v>
      </c>
      <c r="C13" s="872"/>
      <c r="D13" s="870" t="s">
        <v>522</v>
      </c>
      <c r="E13" s="869"/>
      <c r="F13" s="1934">
        <f>'Expenditures 15-22'!K342</f>
        <v>0</v>
      </c>
      <c r="G13" s="874"/>
    </row>
    <row r="14" spans="1:7" ht="12" customHeight="1" thickBot="1" x14ac:dyDescent="0.25">
      <c r="A14" s="1791"/>
      <c r="B14" s="1792"/>
      <c r="C14" s="1793"/>
      <c r="D14" s="1794" t="s">
        <v>522</v>
      </c>
      <c r="E14" s="1795" t="s">
        <v>1015</v>
      </c>
      <c r="F14" s="1796">
        <f>SUM(F8:F13)</f>
        <v>7696942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107342</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136442</v>
      </c>
      <c r="G53" s="866"/>
    </row>
    <row r="54" spans="1:7" x14ac:dyDescent="0.2">
      <c r="A54" s="870" t="s">
        <v>479</v>
      </c>
      <c r="B54" s="870" t="s">
        <v>1552</v>
      </c>
      <c r="C54" s="890" t="s">
        <v>1039</v>
      </c>
      <c r="D54" s="886" t="s">
        <v>1157</v>
      </c>
      <c r="E54" s="869"/>
      <c r="F54" s="1938">
        <f>'Expenditures 15-22'!G114</f>
        <v>42331</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14023</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910000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1195</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1211333</v>
      </c>
      <c r="G76" s="866"/>
    </row>
    <row r="77" spans="1:8" s="894" customFormat="1" ht="12" customHeight="1" thickTop="1" thickBot="1" x14ac:dyDescent="0.25">
      <c r="A77" s="1800"/>
      <c r="B77" s="1797"/>
      <c r="C77" s="1793"/>
      <c r="D77" s="1798" t="s">
        <v>2012</v>
      </c>
      <c r="E77" s="1795"/>
      <c r="F77" s="1801">
        <f>(F14-F76)</f>
        <v>6485609</v>
      </c>
      <c r="G77" s="870"/>
    </row>
    <row r="78" spans="1:8" s="894" customFormat="1" ht="12" customHeight="1" thickTop="1" x14ac:dyDescent="0.2">
      <c r="A78" s="1802"/>
      <c r="B78" s="1797"/>
      <c r="C78" s="1793"/>
      <c r="D78" s="1798" t="s">
        <v>2059</v>
      </c>
      <c r="E78" s="1795"/>
      <c r="F78" s="899">
        <v>690.53</v>
      </c>
      <c r="G78" s="900"/>
      <c r="H78" s="870"/>
    </row>
    <row r="79" spans="1:8" s="894" customFormat="1" ht="12" customHeight="1" thickBot="1" x14ac:dyDescent="0.25">
      <c r="A79" s="1803"/>
      <c r="B79" s="1797"/>
      <c r="C79" s="1793"/>
      <c r="D79" s="1798" t="s">
        <v>2013</v>
      </c>
      <c r="E79" s="1795" t="s">
        <v>1015</v>
      </c>
      <c r="F79" s="1804">
        <f>IF(F78&gt;0,F77/F78," Complete Line 78")</f>
        <v>9392.2190201729118</v>
      </c>
      <c r="G79" s="870"/>
    </row>
    <row r="80" spans="1:8" s="894" customFormat="1" ht="8.25" customHeight="1" thickTop="1" x14ac:dyDescent="0.2">
      <c r="A80" s="901"/>
      <c r="B80" s="870"/>
      <c r="C80" s="872"/>
      <c r="D80" s="902"/>
      <c r="E80" s="869"/>
      <c r="F80" s="903"/>
      <c r="G80" s="870"/>
    </row>
    <row r="81" spans="1:7" s="894" customFormat="1" ht="12" thickBot="1" x14ac:dyDescent="0.25">
      <c r="A81" s="2284" t="s">
        <v>1167</v>
      </c>
      <c r="B81" s="2285"/>
      <c r="C81" s="2285"/>
      <c r="D81" s="2285"/>
      <c r="E81" s="2285"/>
      <c r="F81" s="228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121709</v>
      </c>
      <c r="G94" s="913"/>
    </row>
    <row r="95" spans="1:7" x14ac:dyDescent="0.2">
      <c r="A95" s="909" t="s">
        <v>142</v>
      </c>
      <c r="B95" s="909" t="s">
        <v>177</v>
      </c>
      <c r="C95" s="911">
        <v>1700</v>
      </c>
      <c r="D95" s="919" t="str">
        <f>'Revenues 9-14'!A82</f>
        <v>Total District/School Activity Income</v>
      </c>
      <c r="E95" s="907"/>
      <c r="F95" s="1810">
        <f>SUM('Revenues 9-14'!C82,'Revenues 9-14'!D82)</f>
        <v>72317</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15616</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113815</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511</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188614</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47291</v>
      </c>
      <c r="G129" s="931"/>
    </row>
    <row r="130" spans="1:7" x14ac:dyDescent="0.2">
      <c r="A130" s="928" t="s">
        <v>689</v>
      </c>
      <c r="B130" s="928" t="s">
        <v>804</v>
      </c>
      <c r="C130" s="933">
        <v>4300</v>
      </c>
      <c r="D130" s="934" t="str">
        <f>'Revenues 9-14'!A211</f>
        <v>Total Title I</v>
      </c>
      <c r="E130" s="907"/>
      <c r="F130" s="1810">
        <f>SUM('Revenues 9-14'!C211,'Revenues 9-14'!D211,'Revenues 9-14'!F211,'Revenues 9-14'!G211)</f>
        <v>55297</v>
      </c>
      <c r="G130" s="931"/>
    </row>
    <row r="131" spans="1:7" x14ac:dyDescent="0.2">
      <c r="A131" s="928" t="s">
        <v>689</v>
      </c>
      <c r="B131" s="928" t="s">
        <v>805</v>
      </c>
      <c r="C131" s="933">
        <v>4400</v>
      </c>
      <c r="D131" s="934" t="str">
        <f>'Revenues 9-14'!A216</f>
        <v>Total Title IV</v>
      </c>
      <c r="E131" s="907"/>
      <c r="F131" s="1810">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118822</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14545</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3263</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18253</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4999</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785052</v>
      </c>
    </row>
    <row r="179" spans="1:7" ht="12" customHeight="1" x14ac:dyDescent="0.2">
      <c r="A179" s="1791"/>
      <c r="B179" s="1805"/>
      <c r="C179" s="1806"/>
      <c r="D179" s="1807" t="s">
        <v>2015</v>
      </c>
      <c r="E179" s="1808"/>
      <c r="F179" s="1810">
        <f>'PCTC-OEPP 27-28'!F77-F178</f>
        <v>5700557</v>
      </c>
    </row>
    <row r="180" spans="1:7" ht="12" customHeight="1" x14ac:dyDescent="0.2">
      <c r="A180" s="1791"/>
      <c r="B180" s="1805"/>
      <c r="C180" s="1806"/>
      <c r="D180" s="1807" t="s">
        <v>1924</v>
      </c>
      <c r="E180" s="1808"/>
      <c r="F180" s="1810">
        <f>'Cap Outlay Deprec 26'!I18</f>
        <v>536932</v>
      </c>
    </row>
    <row r="181" spans="1:7" ht="12" customHeight="1" x14ac:dyDescent="0.2">
      <c r="A181" s="1791"/>
      <c r="B181" s="1805"/>
      <c r="C181" s="1806"/>
      <c r="D181" s="1807" t="s">
        <v>2016</v>
      </c>
      <c r="E181" s="1808"/>
      <c r="F181" s="1810">
        <f>F179+F180</f>
        <v>6237489</v>
      </c>
    </row>
    <row r="182" spans="1:7" ht="12" customHeight="1" x14ac:dyDescent="0.2">
      <c r="A182" s="1791"/>
      <c r="B182" s="1811"/>
      <c r="C182" s="1806"/>
      <c r="D182" s="1807" t="str">
        <f>D78</f>
        <v>9 Month ADA from District Average Daily Attendance/Prior General State Aid Inquiry 2017-2018</v>
      </c>
      <c r="E182" s="1808"/>
      <c r="F182" s="1812">
        <f>'PCTC-OEPP 27-28'!F78</f>
        <v>690.53</v>
      </c>
      <c r="G182" s="931"/>
    </row>
    <row r="183" spans="1:7" ht="12" customHeight="1" thickBot="1" x14ac:dyDescent="0.25">
      <c r="A183" s="1791"/>
      <c r="B183" s="1811"/>
      <c r="C183" s="1806"/>
      <c r="D183" s="1807" t="s">
        <v>2017</v>
      </c>
      <c r="E183" s="1808" t="s">
        <v>1626</v>
      </c>
      <c r="F183" s="1813">
        <f>F181/F182</f>
        <v>9032.900815315772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1" sqref="A11:H11"/>
      <selection pane="bottomLeft" activeCell="A11" sqref="A11:H11"/>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8" t="s">
        <v>1925</v>
      </c>
      <c r="B4" s="2299"/>
      <c r="C4" s="2299"/>
      <c r="D4" s="2299"/>
      <c r="E4" s="2299"/>
      <c r="F4" s="2299"/>
      <c r="G4" s="2300"/>
    </row>
    <row r="5" spans="1:7" x14ac:dyDescent="0.25">
      <c r="A5" s="2301"/>
      <c r="B5" s="2302"/>
      <c r="C5" s="2302"/>
      <c r="D5" s="2302"/>
      <c r="E5" s="2302"/>
      <c r="F5" s="2302"/>
      <c r="G5" s="2303"/>
    </row>
    <row r="6" spans="1:7" ht="18.75" x14ac:dyDescent="0.25">
      <c r="A6" s="1555" t="s">
        <v>1926</v>
      </c>
      <c r="B6" s="1556"/>
      <c r="C6" s="1556"/>
      <c r="D6" s="1556"/>
      <c r="E6" s="1556"/>
      <c r="F6" s="1556"/>
      <c r="G6" s="1557"/>
    </row>
    <row r="7" spans="1:7" ht="30.75" customHeight="1" x14ac:dyDescent="0.25">
      <c r="A7" s="2304" t="s">
        <v>2075</v>
      </c>
      <c r="B7" s="2305"/>
      <c r="C7" s="2305"/>
      <c r="D7" s="2305"/>
      <c r="E7" s="2305"/>
      <c r="F7" s="2305"/>
      <c r="G7" s="2306"/>
    </row>
    <row r="8" spans="1:7" ht="15.75" customHeight="1" x14ac:dyDescent="0.25">
      <c r="A8" s="2307" t="s">
        <v>2024</v>
      </c>
      <c r="B8" s="2308"/>
      <c r="C8" s="2308"/>
      <c r="D8" s="2308"/>
      <c r="E8" s="2308"/>
      <c r="F8" s="2308"/>
      <c r="G8" s="2309"/>
    </row>
    <row r="9" spans="1:7" ht="35.25" customHeight="1" x14ac:dyDescent="0.25">
      <c r="A9" s="2304" t="s">
        <v>2023</v>
      </c>
      <c r="B9" s="2305"/>
      <c r="C9" s="2305"/>
      <c r="D9" s="2305"/>
      <c r="E9" s="2305"/>
      <c r="F9" s="2305"/>
      <c r="G9" s="2306"/>
    </row>
    <row r="10" spans="1:7" ht="15" customHeight="1" x14ac:dyDescent="0.25">
      <c r="A10" s="1558" t="s">
        <v>1927</v>
      </c>
      <c r="B10" s="1559"/>
      <c r="C10" s="1559"/>
      <c r="D10" s="1559"/>
      <c r="E10" s="1559"/>
      <c r="F10" s="1559"/>
      <c r="G10" s="1560"/>
    </row>
    <row r="11" spans="1:7" ht="17.25" customHeight="1" x14ac:dyDescent="0.25">
      <c r="A11" s="2304" t="s">
        <v>1941</v>
      </c>
      <c r="B11" s="2305"/>
      <c r="C11" s="2305"/>
      <c r="D11" s="2305"/>
      <c r="E11" s="2305"/>
      <c r="F11" s="2305"/>
      <c r="G11" s="2306"/>
    </row>
    <row r="12" spans="1:7" ht="15" customHeight="1" x14ac:dyDescent="0.25">
      <c r="A12" s="1558" t="s">
        <v>1932</v>
      </c>
      <c r="B12" s="1559"/>
      <c r="C12" s="1559"/>
      <c r="D12" s="1559"/>
      <c r="E12" s="1559"/>
      <c r="F12" s="1559"/>
      <c r="G12" s="1560"/>
    </row>
    <row r="13" spans="1:7" ht="32.25" customHeight="1" x14ac:dyDescent="0.25">
      <c r="A13" s="2295" t="s">
        <v>1933</v>
      </c>
      <c r="B13" s="2296"/>
      <c r="C13" s="2296"/>
      <c r="D13" s="2296"/>
      <c r="E13" s="2296"/>
      <c r="F13" s="2296"/>
      <c r="G13" s="2297"/>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3" t="s">
        <v>2123</v>
      </c>
      <c r="B17" s="1961" t="s">
        <v>2115</v>
      </c>
      <c r="C17" s="1962" t="s">
        <v>2116</v>
      </c>
      <c r="D17" s="1866">
        <v>27578</v>
      </c>
      <c r="E17" s="1561">
        <f t="shared" ref="E17:E141" si="1">IF(D17&lt;=25000,D17,IF(D17&gt;25000,25000,0))</f>
        <v>25000</v>
      </c>
      <c r="F17" s="1814">
        <f t="shared" si="0"/>
        <v>25000</v>
      </c>
      <c r="G17" s="1815">
        <f>IF(F17=0,0,D17-F17)</f>
        <v>2578</v>
      </c>
      <c r="H17" s="1668"/>
    </row>
    <row r="18" spans="1:8" x14ac:dyDescent="0.25">
      <c r="A18" s="1963" t="s">
        <v>2124</v>
      </c>
      <c r="B18" s="1961" t="s">
        <v>2117</v>
      </c>
      <c r="C18" s="1962" t="s">
        <v>2118</v>
      </c>
      <c r="D18" s="1866">
        <v>25455</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455</v>
      </c>
    </row>
    <row r="19" spans="1:8" x14ac:dyDescent="0.25">
      <c r="A19" s="1963" t="s">
        <v>2125</v>
      </c>
      <c r="B19" s="1961" t="s">
        <v>2119</v>
      </c>
      <c r="C19" s="1964" t="s">
        <v>2126</v>
      </c>
      <c r="D19" s="1866">
        <v>256439</v>
      </c>
      <c r="E19" s="1561">
        <f t="shared" si="2"/>
        <v>25000</v>
      </c>
      <c r="F19" s="1814">
        <f t="shared" si="3"/>
        <v>25000</v>
      </c>
      <c r="G19" s="1815">
        <f t="shared" si="4"/>
        <v>231439</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309472</v>
      </c>
      <c r="E141" s="1562">
        <f t="shared" si="1"/>
        <v>25000</v>
      </c>
      <c r="F141" s="1816">
        <f>SUM(F17:F140)</f>
        <v>75000</v>
      </c>
      <c r="G141" s="1817">
        <f>SUM(G17:G140)</f>
        <v>234472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A11" sqref="A11:H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0" t="s">
        <v>1778</v>
      </c>
      <c r="B5" s="2311"/>
      <c r="C5" s="2311"/>
      <c r="D5" s="2311"/>
      <c r="E5" s="2311"/>
      <c r="F5" s="2311"/>
      <c r="G5" s="2312"/>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47291</v>
      </c>
      <c r="F10" s="975"/>
      <c r="G10" s="976"/>
      <c r="H10" s="162"/>
      <c r="I10" s="162"/>
    </row>
    <row r="11" spans="1:9" s="669" customFormat="1" ht="22.5" customHeight="1" x14ac:dyDescent="0.2">
      <c r="A11" s="2315" t="s">
        <v>1945</v>
      </c>
      <c r="B11" s="2316"/>
      <c r="C11" s="2316"/>
      <c r="D11" s="2317"/>
      <c r="E11" s="978">
        <v>18945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4188654</v>
      </c>
      <c r="F19" s="1821"/>
      <c r="G19" s="1823">
        <f>'Expenditures 15-22'!K33-SUM('Expenditures 15-22'!G33,'Expenditures 15-22'!I33)+'Expenditures 15-22'!D229</f>
        <v>4188654</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213028</v>
      </c>
      <c r="F21" s="1824"/>
      <c r="G21" s="1827">
        <f>'Expenditures 15-22'!K42-SUM('Expenditures 15-22'!G42,'Expenditures 15-22'!I42)+'Expenditures 15-22'!K120-SUM('Expenditures 15-22'!G120,'Expenditures 15-22'!I120)+'Expenditures 15-22'!K180-SUM('Expenditures 15-22'!G180,'Expenditures 15-22'!I180)+'Expenditures 15-22'!D238</f>
        <v>213028</v>
      </c>
      <c r="H21" s="988"/>
      <c r="I21" s="162"/>
    </row>
    <row r="22" spans="1:9" s="669" customFormat="1" ht="12" customHeight="1" x14ac:dyDescent="0.2">
      <c r="A22" s="995" t="s">
        <v>585</v>
      </c>
      <c r="B22" s="996"/>
      <c r="C22" s="994">
        <v>2200</v>
      </c>
      <c r="D22" s="1824"/>
      <c r="E22" s="1826">
        <f>'Expenditures 15-22'!K47-SUM('Expenditures 15-22'!G47,'Expenditures 15-22'!I47)+'Expenditures 15-22'!D243</f>
        <v>198776</v>
      </c>
      <c r="F22" s="1824"/>
      <c r="G22" s="1827">
        <f>'Expenditures 15-22'!K47-SUM('Expenditures 15-22'!G47,'Expenditures 15-22'!I47)+'Expenditures 15-22'!D243</f>
        <v>198776</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269936</v>
      </c>
      <c r="F23" s="1824"/>
      <c r="G23" s="1826">
        <f>'Expenditures 15-22'!K53-SUM('Expenditures 15-22'!G53,'Expenditures 15-22'!I53)+'Expenditures 15-22'!D257+'Expenditures 15-22'!K330-SUM('Expenditures 15-22'!G330,'Expenditures 15-22'!I330)</f>
        <v>269936</v>
      </c>
      <c r="H23" s="988"/>
      <c r="I23" s="162"/>
    </row>
    <row r="24" spans="1:9" s="669" customFormat="1" ht="12" customHeight="1" x14ac:dyDescent="0.2">
      <c r="A24" s="995" t="s">
        <v>587</v>
      </c>
      <c r="B24" s="996"/>
      <c r="C24" s="994">
        <v>2400</v>
      </c>
      <c r="D24" s="1824"/>
      <c r="E24" s="1826">
        <f>'Expenditures 15-22'!K57-SUM('Expenditures 15-22'!G57,'Expenditures 15-22'!I57)+'Expenditures 15-22'!D261</f>
        <v>365501</v>
      </c>
      <c r="F24" s="1824"/>
      <c r="G24" s="1827">
        <f>'Expenditures 15-22'!K57-SUM('Expenditures 15-22'!G57,'Expenditures 15-22'!I57)+'Expenditures 15-22'!D261</f>
        <v>365501</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63339</v>
      </c>
      <c r="E27" s="1826">
        <f>E8</f>
        <v>0</v>
      </c>
      <c r="F27" s="1826">
        <f>'Expenditures 15-22'!K60-SUM('Expenditures 15-22'!G60,'Expenditures 15-22'!I60)+'Expenditures 15-22'!D264-E8</f>
        <v>63339</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541537</v>
      </c>
      <c r="F28" s="1828">
        <f>'Expenditures 15-22'!K61-SUM('Expenditures 15-22'!G61,'Expenditures 15-22'!I61)+'Expenditures 15-22'!K124-SUM('Expenditures 15-22'!G124,'Expenditures 15-22'!I124)+'Expenditures 15-22'!D266-E9</f>
        <v>541537</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268825</v>
      </c>
      <c r="F29" s="1824"/>
      <c r="G29" s="1827">
        <f>'Expenditures 15-22'!K62-SUM('Expenditures 15-22'!G62,'Expenditures 15-22'!I62)+'Expenditures 15-22'!K125-SUM('Expenditures 15-22'!G125,'Expenditures 15-22'!I125)+'Expenditures 15-22'!K182-SUM('Expenditures 15-22'!G182,'Expenditures 15-22'!I182)+'Expenditures 15-22'!D267</f>
        <v>268825</v>
      </c>
      <c r="H29" s="986"/>
    </row>
    <row r="30" spans="1:9" ht="12" customHeight="1" x14ac:dyDescent="0.2">
      <c r="A30" s="995" t="s">
        <v>102</v>
      </c>
      <c r="B30" s="998"/>
      <c r="C30" s="994">
        <v>2560</v>
      </c>
      <c r="D30" s="1824"/>
      <c r="E30" s="1826">
        <f>'Expenditures 15-22'!K63-SUM('Expenditures 15-22'!G63,'Expenditures 15-22'!I63)+'Expenditures 15-22'!D268-E10</f>
        <v>134240</v>
      </c>
      <c r="F30" s="1824"/>
      <c r="G30" s="1826">
        <f>'Expenditures 15-22'!K63-SUM('Expenditures 15-22'!G63,'Expenditures 15-22'!I63)+'Expenditures 15-22'!D268-E10</f>
        <v>134240</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-234472</v>
      </c>
      <c r="F40" s="1824"/>
      <c r="G40" s="1828">
        <f>-'Contracts Paid in CY 29'!G141</f>
        <v>-234472</v>
      </c>
    </row>
    <row r="41" spans="1:7" ht="12" customHeight="1" x14ac:dyDescent="0.2">
      <c r="A41" s="999" t="s">
        <v>158</v>
      </c>
      <c r="B41" s="1000"/>
      <c r="C41" s="1001"/>
      <c r="D41" s="1828">
        <f>SUM(D19:D39)</f>
        <v>63339</v>
      </c>
      <c r="E41" s="1828">
        <f>SUM(E19:E40)</f>
        <v>5946025</v>
      </c>
      <c r="F41" s="1828">
        <f>SUM(F19:F39)</f>
        <v>604876</v>
      </c>
      <c r="G41" s="1828">
        <f>SUM(G19:G40)</f>
        <v>5404488</v>
      </c>
    </row>
    <row r="42" spans="1:7" x14ac:dyDescent="0.2">
      <c r="A42" s="988"/>
      <c r="B42" s="162"/>
      <c r="C42" s="1002"/>
      <c r="D42" s="2313" t="s">
        <v>543</v>
      </c>
      <c r="E42" s="2314"/>
      <c r="F42" s="1003" t="s">
        <v>544</v>
      </c>
      <c r="G42" s="1004"/>
    </row>
    <row r="43" spans="1:7" ht="12" customHeight="1" x14ac:dyDescent="0.2">
      <c r="A43" s="988"/>
      <c r="B43" s="162"/>
      <c r="C43" s="1002"/>
      <c r="D43" s="1829" t="s">
        <v>493</v>
      </c>
      <c r="E43" s="1830">
        <f>D41</f>
        <v>63339</v>
      </c>
      <c r="F43" s="1829" t="s">
        <v>495</v>
      </c>
      <c r="G43" s="1830">
        <f>F41</f>
        <v>604876</v>
      </c>
    </row>
    <row r="44" spans="1:7" ht="12" customHeight="1" x14ac:dyDescent="0.2">
      <c r="A44" s="988"/>
      <c r="B44" s="162"/>
      <c r="C44" s="1002"/>
      <c r="D44" s="1829" t="s">
        <v>494</v>
      </c>
      <c r="E44" s="1830">
        <f>E41</f>
        <v>5946025</v>
      </c>
      <c r="F44" s="1829" t="s">
        <v>494</v>
      </c>
      <c r="G44" s="1830">
        <f>G41</f>
        <v>5404488</v>
      </c>
    </row>
    <row r="45" spans="1:7" ht="12" customHeight="1" x14ac:dyDescent="0.2">
      <c r="A45" s="988"/>
      <c r="B45" s="162"/>
      <c r="C45" s="162"/>
      <c r="D45" s="1831" t="s">
        <v>1063</v>
      </c>
      <c r="E45" s="1832">
        <f>(E43/E44)</f>
        <v>1.0652326554294676E-2</v>
      </c>
      <c r="F45" s="1831" t="s">
        <v>1063</v>
      </c>
      <c r="G45" s="1832">
        <f>(G43/G44)</f>
        <v>0.11192105524149559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11" sqref="A11:H11"/>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33" t="s">
        <v>1446</v>
      </c>
      <c r="B1" s="2333"/>
      <c r="C1" s="2333"/>
      <c r="D1" s="2333"/>
      <c r="E1" s="2333"/>
      <c r="F1" s="2333"/>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4" t="s">
        <v>1627</v>
      </c>
      <c r="B5" s="2335"/>
      <c r="C5" s="2336"/>
      <c r="D5" s="2336"/>
      <c r="E5" s="2336"/>
      <c r="F5" s="2336"/>
    </row>
    <row r="6" spans="1:10" ht="12" customHeight="1" x14ac:dyDescent="0.25">
      <c r="A6" s="1874"/>
      <c r="B6" s="1875"/>
      <c r="C6" s="2337" t="str">
        <f>COVER!A17</f>
        <v>Prairie Hill CCSD 133</v>
      </c>
      <c r="D6" s="2337"/>
      <c r="E6" s="2337"/>
      <c r="F6" s="1876"/>
    </row>
    <row r="7" spans="1:10" ht="11.25" customHeight="1" thickBot="1" x14ac:dyDescent="0.3">
      <c r="A7" s="1874"/>
      <c r="B7" s="1875"/>
      <c r="C7" s="2338">
        <f>COVER!A13</f>
        <v>4101133004</v>
      </c>
      <c r="D7" s="2338"/>
      <c r="E7" s="2338"/>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2077</v>
      </c>
      <c r="D16" s="1889" t="s">
        <v>2077</v>
      </c>
      <c r="E16" s="1892" t="s">
        <v>2077</v>
      </c>
      <c r="F16" s="1891" t="s">
        <v>2120</v>
      </c>
      <c r="H16" s="1902">
        <f t="shared" si="0"/>
        <v>5</v>
      </c>
      <c r="I16" s="1902">
        <f t="shared" si="1"/>
        <v>5</v>
      </c>
      <c r="J16" s="1902">
        <f t="shared" si="2"/>
        <v>5</v>
      </c>
    </row>
    <row r="17" spans="1:12" ht="12" customHeight="1" x14ac:dyDescent="0.2">
      <c r="A17" s="1887" t="s">
        <v>1456</v>
      </c>
      <c r="B17" s="1888"/>
      <c r="C17" s="1889"/>
      <c r="D17" s="1889"/>
      <c r="E17" s="1892"/>
      <c r="F17" s="1955"/>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t="s">
        <v>2077</v>
      </c>
      <c r="D24" s="1889"/>
      <c r="E24" s="1892"/>
      <c r="F24" s="1891" t="s">
        <v>2099</v>
      </c>
      <c r="H24" s="1902">
        <f t="shared" si="0"/>
        <v>5</v>
      </c>
      <c r="I24" s="1902">
        <f t="shared" si="1"/>
        <v>0</v>
      </c>
      <c r="J24" s="1902">
        <f t="shared" si="2"/>
        <v>0</v>
      </c>
    </row>
    <row r="25" spans="1:12" ht="12" customHeight="1" x14ac:dyDescent="0.2">
      <c r="A25" s="1887" t="s">
        <v>1614</v>
      </c>
      <c r="B25" s="1888"/>
      <c r="C25" s="1889" t="s">
        <v>2077</v>
      </c>
      <c r="D25" s="1889"/>
      <c r="E25" s="1892"/>
      <c r="F25" s="1891" t="s">
        <v>2099</v>
      </c>
      <c r="H25" s="1902">
        <f t="shared" si="0"/>
        <v>5</v>
      </c>
      <c r="I25" s="1902">
        <f t="shared" si="1"/>
        <v>0</v>
      </c>
      <c r="J25" s="1902">
        <f t="shared" si="2"/>
        <v>0</v>
      </c>
    </row>
    <row r="26" spans="1:12" ht="12" customHeight="1" x14ac:dyDescent="0.2">
      <c r="A26" s="1887" t="s">
        <v>1615</v>
      </c>
      <c r="B26" s="1888"/>
      <c r="C26" s="1889" t="s">
        <v>2077</v>
      </c>
      <c r="D26" s="1889" t="s">
        <v>2077</v>
      </c>
      <c r="E26" s="1892" t="s">
        <v>2077</v>
      </c>
      <c r="F26" s="1891" t="s">
        <v>2100</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2077</v>
      </c>
      <c r="D30" s="1889" t="s">
        <v>2077</v>
      </c>
      <c r="E30" s="1892" t="s">
        <v>2077</v>
      </c>
      <c r="F30" s="1891" t="s">
        <v>2122</v>
      </c>
      <c r="H30" s="1902">
        <f t="shared" si="0"/>
        <v>5</v>
      </c>
      <c r="I30" s="1902">
        <f t="shared" si="1"/>
        <v>5</v>
      </c>
      <c r="J30" s="1902">
        <f t="shared" si="2"/>
        <v>5</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25</v>
      </c>
      <c r="I34" s="1902">
        <f>SUM(I11:I32)</f>
        <v>15</v>
      </c>
      <c r="J34" s="1902">
        <f>SUM(J11:J32)</f>
        <v>15</v>
      </c>
      <c r="K34" s="1902">
        <f>SUM(H34:J34)</f>
        <v>55</v>
      </c>
    </row>
    <row r="35" spans="1:11" ht="12" customHeight="1" x14ac:dyDescent="0.2">
      <c r="A35" s="1895" t="s">
        <v>1459</v>
      </c>
      <c r="B35" s="1896"/>
      <c r="C35" s="2339"/>
      <c r="D35" s="2339"/>
      <c r="E35" s="2339"/>
      <c r="F35" s="2340"/>
    </row>
    <row r="36" spans="1:11" ht="12" customHeight="1" x14ac:dyDescent="0.2">
      <c r="A36" s="2332" t="s">
        <v>2121</v>
      </c>
      <c r="B36" s="2322"/>
      <c r="C36" s="2322"/>
      <c r="D36" s="2322"/>
      <c r="E36" s="2322"/>
      <c r="F36" s="2323"/>
    </row>
    <row r="37" spans="1:11" ht="12" customHeight="1" x14ac:dyDescent="0.2">
      <c r="A37" s="2321"/>
      <c r="B37" s="2322"/>
      <c r="C37" s="2322"/>
      <c r="D37" s="2322"/>
      <c r="E37" s="2322"/>
      <c r="F37" s="2323"/>
    </row>
    <row r="38" spans="1:11" ht="12" customHeight="1" x14ac:dyDescent="0.2">
      <c r="A38" s="2324"/>
      <c r="B38" s="2325"/>
      <c r="C38" s="2325"/>
      <c r="D38" s="2325"/>
      <c r="E38" s="2325"/>
      <c r="F38" s="2326"/>
    </row>
    <row r="39" spans="1:11" ht="4.5" hidden="1" customHeight="1" x14ac:dyDescent="0.2">
      <c r="A39" s="1897"/>
      <c r="B39" s="1897"/>
      <c r="C39" s="1897"/>
      <c r="D39" s="1897"/>
      <c r="E39" s="1897"/>
      <c r="F39" s="1897"/>
    </row>
    <row r="40" spans="1:11" s="1894" customFormat="1" ht="12" customHeight="1" x14ac:dyDescent="0.25">
      <c r="A40" s="1898" t="s">
        <v>1458</v>
      </c>
      <c r="B40" s="1899"/>
      <c r="C40" s="2327"/>
      <c r="D40" s="2327"/>
      <c r="E40" s="2327"/>
      <c r="F40" s="2328"/>
      <c r="H40" s="1903"/>
      <c r="I40" s="1903"/>
      <c r="J40" s="1903"/>
      <c r="K40" s="1903"/>
    </row>
    <row r="41" spans="1:11" s="1894" customFormat="1" ht="12" customHeight="1" x14ac:dyDescent="0.25">
      <c r="A41" s="2329" t="s">
        <v>2131</v>
      </c>
      <c r="B41" s="2330"/>
      <c r="C41" s="2330"/>
      <c r="D41" s="2330"/>
      <c r="E41" s="2330"/>
      <c r="F41" s="2331"/>
      <c r="H41" s="1903"/>
      <c r="I41" s="1903"/>
      <c r="J41" s="1903"/>
      <c r="K41" s="1903"/>
    </row>
    <row r="42" spans="1:11" s="1894" customFormat="1" ht="12" customHeight="1" x14ac:dyDescent="0.25">
      <c r="A42" s="2329" t="s">
        <v>2132</v>
      </c>
      <c r="B42" s="2330"/>
      <c r="C42" s="2330"/>
      <c r="D42" s="2330"/>
      <c r="E42" s="2330"/>
      <c r="F42" s="2331"/>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1" sqref="A11:H1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6" t="str">
        <f>COVER!A17</f>
        <v>Prairie Hill CCSD 133</v>
      </c>
      <c r="J6" s="2347"/>
      <c r="Q6" s="1685"/>
    </row>
    <row r="7" spans="1:17" x14ac:dyDescent="0.2">
      <c r="A7" s="2348" t="s">
        <v>924</v>
      </c>
      <c r="B7" s="2349"/>
      <c r="C7" s="2349"/>
      <c r="D7" s="2349"/>
      <c r="E7" s="2350"/>
      <c r="F7" s="1018"/>
      <c r="G7" s="1010"/>
      <c r="H7" s="1017" t="s">
        <v>390</v>
      </c>
      <c r="I7" s="2351">
        <f>COVER!A13</f>
        <v>4101133004</v>
      </c>
      <c r="J7" s="2351"/>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2" t="s">
        <v>502</v>
      </c>
      <c r="B11" s="2353"/>
      <c r="C11" s="235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135892</v>
      </c>
      <c r="F12" s="1040"/>
      <c r="G12" s="1833">
        <f t="shared" ref="G12:G18" si="0">SUM(E12:F12)</f>
        <v>135892</v>
      </c>
      <c r="H12" s="1041">
        <v>142223</v>
      </c>
      <c r="I12" s="1040"/>
      <c r="J12" s="1833">
        <f t="shared" ref="J12:J18" si="1">SUM(H12:I12)</f>
        <v>142223</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5" t="s">
        <v>7</v>
      </c>
      <c r="C18" s="2356"/>
      <c r="D18" s="2357"/>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135892</v>
      </c>
      <c r="F19" s="1835">
        <f t="shared" si="2"/>
        <v>0</v>
      </c>
      <c r="G19" s="1835">
        <f t="shared" si="2"/>
        <v>135892</v>
      </c>
      <c r="H19" s="1835">
        <f t="shared" si="2"/>
        <v>142223</v>
      </c>
      <c r="I19" s="1835">
        <f t="shared" si="2"/>
        <v>0</v>
      </c>
      <c r="J19" s="1835">
        <f t="shared" si="2"/>
        <v>142223</v>
      </c>
    </row>
    <row r="20" spans="1:10" ht="13.5" thickTop="1" x14ac:dyDescent="0.2">
      <c r="A20" s="1036">
        <v>9</v>
      </c>
      <c r="B20" s="2358" t="s">
        <v>1703</v>
      </c>
      <c r="C20" s="2358"/>
      <c r="D20" s="2359"/>
      <c r="E20" s="1047"/>
      <c r="F20" s="1047"/>
      <c r="G20" s="1047"/>
      <c r="H20" s="1047"/>
      <c r="I20" s="1047"/>
      <c r="J20" s="1836">
        <f>IF(AND(G19&gt;0,J19&gt;0),(((J19-G19)/G19)),"Enter Budget Data")</f>
        <v>4.65884673122774E-2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4"/>
      <c r="D26" s="2364"/>
      <c r="E26" s="1051"/>
      <c r="F26" s="2363"/>
      <c r="G26" s="2363"/>
    </row>
    <row r="27" spans="1:10" x14ac:dyDescent="0.2">
      <c r="B27" s="1048"/>
      <c r="C27" s="1052" t="s">
        <v>1093</v>
      </c>
      <c r="D27" s="1053"/>
      <c r="E27" s="1054"/>
      <c r="F27" s="2360" t="s">
        <v>1589</v>
      </c>
      <c r="G27" s="2360"/>
    </row>
    <row r="28" spans="1:10" ht="28.5" customHeight="1" x14ac:dyDescent="0.2">
      <c r="B28" s="1048"/>
      <c r="C28" s="2362"/>
      <c r="D28" s="2362"/>
      <c r="E28" s="1055"/>
      <c r="F28" s="2362"/>
      <c r="G28" s="2362"/>
    </row>
    <row r="29" spans="1:10" x14ac:dyDescent="0.2">
      <c r="B29" s="1048"/>
      <c r="C29" s="1056" t="s">
        <v>1642</v>
      </c>
      <c r="E29" s="1057"/>
      <c r="F29" s="2361" t="s">
        <v>1590</v>
      </c>
      <c r="G29" s="236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3" t="s">
        <v>134</v>
      </c>
      <c r="D33" s="2344"/>
      <c r="E33" s="2344"/>
      <c r="F33" s="2344"/>
      <c r="G33" s="2344"/>
      <c r="H33" s="2344"/>
      <c r="I33" s="2344"/>
    </row>
    <row r="34" spans="1:10" ht="10.35" customHeight="1" x14ac:dyDescent="0.2">
      <c r="C34" s="2344"/>
      <c r="D34" s="2344"/>
      <c r="E34" s="2344"/>
      <c r="F34" s="2344"/>
      <c r="G34" s="2344"/>
      <c r="H34" s="2344"/>
      <c r="I34" s="2344"/>
    </row>
    <row r="35" spans="1:10" ht="7.5" customHeight="1" x14ac:dyDescent="0.2">
      <c r="C35" s="1063"/>
    </row>
    <row r="36" spans="1:10" ht="13.5" customHeight="1" x14ac:dyDescent="0.2">
      <c r="B36" s="1062"/>
      <c r="C36" s="2345" t="s">
        <v>1944</v>
      </c>
      <c r="D36" s="2344"/>
      <c r="E36" s="2344"/>
      <c r="F36" s="2344"/>
      <c r="G36" s="2344"/>
      <c r="H36" s="2344"/>
      <c r="I36" s="2344"/>
      <c r="J36" s="1064"/>
    </row>
    <row r="37" spans="1:10" ht="22.5" customHeight="1" x14ac:dyDescent="0.2">
      <c r="C37" s="2344"/>
      <c r="D37" s="2344"/>
      <c r="E37" s="2344"/>
      <c r="F37" s="2344"/>
      <c r="G37" s="2344"/>
      <c r="H37" s="2344"/>
      <c r="I37" s="2344"/>
      <c r="J37" s="1064"/>
    </row>
    <row r="38" spans="1:10" ht="7.5" customHeight="1" x14ac:dyDescent="0.2">
      <c r="C38" s="1063"/>
      <c r="D38" s="1065"/>
      <c r="E38" s="1066"/>
      <c r="F38" s="1067"/>
      <c r="G38" s="1066"/>
    </row>
    <row r="39" spans="1:10" ht="13.5" customHeight="1" x14ac:dyDescent="0.2">
      <c r="B39" s="1062"/>
      <c r="C39" s="2341" t="s">
        <v>937</v>
      </c>
      <c r="D39" s="2342"/>
      <c r="E39" s="2342"/>
      <c r="F39" s="2342"/>
      <c r="G39" s="2342"/>
      <c r="H39" s="2342"/>
      <c r="I39" s="234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topLeftCell="A16" zoomScale="110" zoomScaleNormal="110" workbookViewId="0">
      <selection activeCell="A11" sqref="A11:H11"/>
    </sheetView>
  </sheetViews>
  <sheetFormatPr defaultRowHeight="12.75" x14ac:dyDescent="0.2"/>
  <cols>
    <col min="1" max="1" width="3" style="329" customWidth="1"/>
    <col min="2" max="2" width="16" style="1966" customWidth="1"/>
    <col min="3" max="3" width="6.5703125" style="1966" customWidth="1"/>
    <col min="4" max="4" width="7" style="1966" customWidth="1"/>
    <col min="5" max="5" width="7.28515625" style="1966" customWidth="1"/>
    <col min="6" max="6" width="36.28515625" style="329" customWidth="1"/>
    <col min="7" max="7" width="18.28515625" style="329" customWidth="1"/>
    <col min="8" max="16384" width="9.140625" style="329"/>
  </cols>
  <sheetData>
    <row r="2" spans="1:7" x14ac:dyDescent="0.2">
      <c r="A2" s="389" t="s">
        <v>276</v>
      </c>
    </row>
    <row r="3" spans="1:7" x14ac:dyDescent="0.2">
      <c r="A3" s="329" t="s">
        <v>277</v>
      </c>
    </row>
    <row r="5" spans="1:7" x14ac:dyDescent="0.2">
      <c r="A5" s="1069"/>
      <c r="B5" s="1967" t="s">
        <v>2101</v>
      </c>
      <c r="C5" s="1967" t="s">
        <v>2102</v>
      </c>
      <c r="D5" s="1967" t="s">
        <v>2103</v>
      </c>
      <c r="E5" s="1967" t="s">
        <v>2106</v>
      </c>
      <c r="F5" s="1956" t="s">
        <v>2104</v>
      </c>
      <c r="G5" s="1956" t="s">
        <v>2105</v>
      </c>
    </row>
    <row r="6" spans="1:7" x14ac:dyDescent="0.2">
      <c r="A6" s="1069"/>
      <c r="B6" s="1966">
        <v>1790</v>
      </c>
      <c r="C6" s="1966">
        <v>10</v>
      </c>
      <c r="D6" s="1966">
        <v>10</v>
      </c>
      <c r="E6" s="1966">
        <v>81</v>
      </c>
      <c r="F6" s="391" t="s">
        <v>2113</v>
      </c>
      <c r="G6" s="1965">
        <v>2597</v>
      </c>
    </row>
    <row r="7" spans="1:7" x14ac:dyDescent="0.2">
      <c r="A7" s="1069"/>
      <c r="F7" s="391" t="s">
        <v>2109</v>
      </c>
      <c r="G7" s="1957">
        <v>1476</v>
      </c>
    </row>
    <row r="8" spans="1:7" x14ac:dyDescent="0.2">
      <c r="A8" s="1069"/>
      <c r="F8" s="391" t="s">
        <v>2107</v>
      </c>
      <c r="G8" s="1957">
        <v>10755</v>
      </c>
    </row>
    <row r="9" spans="1:7" x14ac:dyDescent="0.2">
      <c r="A9" s="1070"/>
      <c r="F9" s="391" t="s">
        <v>2108</v>
      </c>
      <c r="G9" s="1957">
        <v>3717</v>
      </c>
    </row>
    <row r="10" spans="1:7" x14ac:dyDescent="0.2">
      <c r="A10" s="1070"/>
      <c r="F10" s="391" t="s">
        <v>2110</v>
      </c>
      <c r="G10" s="1957">
        <v>9056</v>
      </c>
    </row>
    <row r="11" spans="1:7" x14ac:dyDescent="0.2">
      <c r="A11" s="1070"/>
      <c r="F11" s="391" t="s">
        <v>2111</v>
      </c>
      <c r="G11" s="1958">
        <v>44051</v>
      </c>
    </row>
    <row r="12" spans="1:7" ht="13.5" thickBot="1" x14ac:dyDescent="0.25">
      <c r="A12" s="1070"/>
      <c r="F12" s="391"/>
      <c r="G12" s="1959">
        <f>SUM(G6:G11)</f>
        <v>71652</v>
      </c>
    </row>
    <row r="13" spans="1:7" ht="13.5" thickTop="1" x14ac:dyDescent="0.2">
      <c r="A13" s="1070"/>
      <c r="F13" s="391"/>
      <c r="G13" s="391"/>
    </row>
    <row r="14" spans="1:7" x14ac:dyDescent="0.2">
      <c r="A14" s="1070"/>
      <c r="B14" s="1966">
        <v>1999</v>
      </c>
      <c r="C14" s="1966">
        <v>11</v>
      </c>
      <c r="D14" s="1966">
        <v>10</v>
      </c>
      <c r="E14" s="1966">
        <v>107</v>
      </c>
      <c r="F14" s="391" t="s">
        <v>2114</v>
      </c>
      <c r="G14" s="1965">
        <v>50</v>
      </c>
    </row>
    <row r="15" spans="1:7" x14ac:dyDescent="0.2">
      <c r="A15" s="1070"/>
      <c r="F15" s="391" t="s">
        <v>2112</v>
      </c>
      <c r="G15" s="1958">
        <v>63</v>
      </c>
    </row>
    <row r="16" spans="1:7" ht="13.5" thickBot="1" x14ac:dyDescent="0.25">
      <c r="A16" s="1070"/>
      <c r="F16" s="391"/>
      <c r="G16" s="1960">
        <f>SUM(G14:G15)</f>
        <v>113</v>
      </c>
    </row>
    <row r="17" spans="1:7" ht="13.5" thickTop="1" x14ac:dyDescent="0.2">
      <c r="A17" s="1070"/>
      <c r="F17" s="391"/>
      <c r="G17" s="391"/>
    </row>
    <row r="18" spans="1:7" ht="13.5" thickBot="1" x14ac:dyDescent="0.25">
      <c r="A18" s="1070"/>
      <c r="B18" s="1966">
        <v>4999</v>
      </c>
      <c r="C18" s="1966">
        <v>14</v>
      </c>
      <c r="D18" s="1966">
        <v>10</v>
      </c>
      <c r="E18" s="1966">
        <v>272</v>
      </c>
      <c r="F18" s="391" t="s">
        <v>2130</v>
      </c>
      <c r="G18" s="1960">
        <v>4999</v>
      </c>
    </row>
    <row r="19" spans="1:7" ht="13.5" thickTop="1" x14ac:dyDescent="0.2">
      <c r="A19" s="1070"/>
      <c r="F19" s="391"/>
      <c r="G19" s="391"/>
    </row>
    <row r="20" spans="1:7" x14ac:dyDescent="0.2">
      <c r="A20" s="1070"/>
      <c r="F20" s="391"/>
      <c r="G20" s="391"/>
    </row>
    <row r="21" spans="1:7" x14ac:dyDescent="0.2">
      <c r="A21" s="1070"/>
      <c r="F21" s="391"/>
      <c r="G21" s="391"/>
    </row>
    <row r="22" spans="1:7" x14ac:dyDescent="0.2">
      <c r="A22" s="1070"/>
      <c r="F22" s="391"/>
      <c r="G22" s="391"/>
    </row>
    <row r="23" spans="1:7" x14ac:dyDescent="0.2">
      <c r="A23" s="1070"/>
      <c r="F23" s="391"/>
      <c r="G23" s="391"/>
    </row>
    <row r="24" spans="1:7" x14ac:dyDescent="0.2">
      <c r="A24" s="1070"/>
      <c r="F24" s="391"/>
      <c r="G24" s="391"/>
    </row>
    <row r="25" spans="1:7" x14ac:dyDescent="0.2">
      <c r="A25" s="1070"/>
      <c r="F25" s="391"/>
      <c r="G25" s="391"/>
    </row>
    <row r="26" spans="1:7" x14ac:dyDescent="0.2">
      <c r="A26" s="1070"/>
      <c r="F26" s="391"/>
      <c r="G26" s="391"/>
    </row>
    <row r="27" spans="1:7" x14ac:dyDescent="0.2">
      <c r="A27" s="1070"/>
    </row>
    <row r="28" spans="1:7" x14ac:dyDescent="0.2">
      <c r="A28" s="1070"/>
    </row>
    <row r="29" spans="1:7" x14ac:dyDescent="0.2">
      <c r="A29" s="1070"/>
    </row>
    <row r="30" spans="1:7" x14ac:dyDescent="0.2">
      <c r="A30" s="1070"/>
    </row>
    <row r="31" spans="1:7" x14ac:dyDescent="0.2">
      <c r="A31" s="1070"/>
    </row>
    <row r="32" spans="1:7"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Prairie Hill CCSD 133</v>
      </c>
    </row>
    <row r="64" spans="1:2" x14ac:dyDescent="0.2">
      <c r="B64" s="1968">
        <f>COVER!A13</f>
        <v>4101133004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11" sqref="A11:H1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1" t="s">
        <v>1125</v>
      </c>
      <c r="B35" s="2081"/>
      <c r="C35" s="2081"/>
      <c r="D35" s="2081"/>
      <c r="E35" s="208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8" t="s">
        <v>715</v>
      </c>
      <c r="B40" s="2078"/>
      <c r="C40" s="2078"/>
      <c r="D40" s="2078"/>
      <c r="E40" s="2078"/>
    </row>
    <row r="41" spans="1:5" x14ac:dyDescent="0.2">
      <c r="A41" s="2079" t="s">
        <v>1706</v>
      </c>
      <c r="B41" s="2079"/>
      <c r="C41" s="2079"/>
      <c r="D41" s="2079"/>
      <c r="E41" s="2079"/>
    </row>
    <row r="42" spans="1:5" ht="12.75" customHeight="1" x14ac:dyDescent="0.2">
      <c r="A42" s="2080" t="s">
        <v>1080</v>
      </c>
      <c r="B42" s="2080"/>
      <c r="C42" s="2080"/>
      <c r="D42" s="2080"/>
      <c r="E42" s="208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1" sqref="A11:H1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5" t="s">
        <v>1784</v>
      </c>
      <c r="B18" s="236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1571625</xdr:colOff>
                <xdr:row>4</xdr:row>
                <xdr:rowOff>66675</xdr:rowOff>
              </from>
              <to>
                <xdr:col>1</xdr:col>
                <xdr:colOff>2486025</xdr:colOff>
                <xdr:row>9</xdr:row>
                <xdr:rowOff>28575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1" sqref="A11:H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6" t="s">
        <v>1790</v>
      </c>
      <c r="B1" s="2367"/>
      <c r="C1" s="2367"/>
      <c r="D1" s="2367"/>
      <c r="E1" s="2367"/>
      <c r="F1" s="2368"/>
    </row>
    <row r="2" spans="1:8" ht="45" customHeight="1" x14ac:dyDescent="0.2">
      <c r="A2" s="2376" t="s">
        <v>1791</v>
      </c>
      <c r="B2" s="2377"/>
      <c r="C2" s="2377"/>
      <c r="D2" s="2377"/>
      <c r="E2" s="2377"/>
      <c r="F2" s="2378"/>
      <c r="G2" s="1074"/>
      <c r="H2" s="1074"/>
    </row>
    <row r="3" spans="1:8" ht="57" customHeight="1" x14ac:dyDescent="0.2">
      <c r="A3" s="2379" t="s">
        <v>1786</v>
      </c>
      <c r="B3" s="2380"/>
      <c r="C3" s="2380"/>
      <c r="D3" s="2380"/>
      <c r="E3" s="2380"/>
      <c r="F3" s="2381"/>
      <c r="G3" s="1074"/>
      <c r="H3" s="1074"/>
    </row>
    <row r="4" spans="1:8" ht="14.25" customHeight="1" x14ac:dyDescent="0.2">
      <c r="A4" s="2385" t="s">
        <v>2056</v>
      </c>
      <c r="B4" s="2386"/>
      <c r="C4" s="2386"/>
      <c r="D4" s="2386"/>
      <c r="E4" s="2386"/>
      <c r="F4" s="2387"/>
      <c r="G4" s="1074"/>
      <c r="H4" s="1074"/>
    </row>
    <row r="5" spans="1:8" ht="14.25" customHeight="1" x14ac:dyDescent="0.2">
      <c r="A5" s="2388" t="s">
        <v>2057</v>
      </c>
      <c r="B5" s="2389"/>
      <c r="C5" s="2389"/>
      <c r="D5" s="2389"/>
      <c r="E5" s="2389"/>
      <c r="F5" s="2390"/>
      <c r="G5" s="1074"/>
      <c r="H5" s="1074"/>
    </row>
    <row r="6" spans="1:8" s="1075" customFormat="1" ht="41.25" customHeight="1" x14ac:dyDescent="0.2">
      <c r="A6" s="2382" t="s">
        <v>1792</v>
      </c>
      <c r="B6" s="2383"/>
      <c r="C6" s="2383"/>
      <c r="D6" s="2383"/>
      <c r="E6" s="2383"/>
      <c r="F6" s="2384"/>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5869618</v>
      </c>
      <c r="C8" s="1837">
        <f>'Acct Summary 7-8'!D8</f>
        <v>494007</v>
      </c>
      <c r="D8" s="1837">
        <f>'Acct Summary 7-8'!F8</f>
        <v>384512</v>
      </c>
      <c r="E8" s="1837">
        <f>'Acct Summary 7-8'!I8</f>
        <v>27788</v>
      </c>
      <c r="F8" s="1837">
        <f>SUM(B8:E8)</f>
        <v>6775925</v>
      </c>
    </row>
    <row r="9" spans="1:8" s="1079" customFormat="1" ht="14.25" customHeight="1" thickBot="1" x14ac:dyDescent="0.25">
      <c r="A9" s="1078" t="s">
        <v>1436</v>
      </c>
      <c r="B9" s="1838">
        <f>'Acct Summary 7-8'!C17</f>
        <v>5512295</v>
      </c>
      <c r="C9" s="1838">
        <f>'Acct Summary 7-8'!D17</f>
        <v>507571</v>
      </c>
      <c r="D9" s="1838">
        <f>'Acct Summary 7-8'!F17</f>
        <v>268825</v>
      </c>
      <c r="E9" s="1837"/>
      <c r="F9" s="1837">
        <f>SUM(B9:E9)</f>
        <v>6288691</v>
      </c>
    </row>
    <row r="10" spans="1:8" s="1079" customFormat="1" ht="14.25" thickTop="1" thickBot="1" x14ac:dyDescent="0.25">
      <c r="A10" s="1080" t="s">
        <v>1437</v>
      </c>
      <c r="B10" s="1839">
        <f>(B8-B9)</f>
        <v>357323</v>
      </c>
      <c r="C10" s="1839">
        <f>(C8-C9)</f>
        <v>-13564</v>
      </c>
      <c r="D10" s="1839">
        <f>(D8-D9)</f>
        <v>115687</v>
      </c>
      <c r="E10" s="1838">
        <f>(E8-E9)</f>
        <v>27788</v>
      </c>
      <c r="F10" s="1840">
        <f>SUM(F8-F9)</f>
        <v>487234</v>
      </c>
    </row>
    <row r="11" spans="1:8" s="1079" customFormat="1" ht="14.25" thickTop="1" thickBot="1" x14ac:dyDescent="0.25">
      <c r="A11" s="1081" t="s">
        <v>1785</v>
      </c>
      <c r="B11" s="1841">
        <f>'Acct Summary 7-8'!C81</f>
        <v>3510388</v>
      </c>
      <c r="C11" s="1841">
        <f>'Acct Summary 7-8'!D81</f>
        <v>323502</v>
      </c>
      <c r="D11" s="1841">
        <f>'Acct Summary 7-8'!F81</f>
        <v>338625</v>
      </c>
      <c r="E11" s="1841">
        <f>'Acct Summary 7-8'!I81</f>
        <v>279931</v>
      </c>
      <c r="F11" s="1842">
        <f>SUM(B11:E11)</f>
        <v>4452446</v>
      </c>
    </row>
    <row r="12" spans="1:8" ht="16.5" customHeight="1" thickTop="1" x14ac:dyDescent="0.2">
      <c r="A12" s="1082"/>
      <c r="B12" s="1083"/>
      <c r="C12" s="2370" t="str">
        <f>IF(AND(F10&lt;0,F11&gt;=0,ABS(F10*3)&gt;ABS(F11)),A16,IF(AND(F10&lt;0,F11&gt;0,ABS(F10*3)&lt;=ABS(F11)),A17,IF(AND(F10&lt;0,F11&lt;0),A16,IF(F11=0,A19,A18))))</f>
        <v>Balanced - no deficit reduction plan is required.</v>
      </c>
      <c r="D12" s="2371"/>
      <c r="E12" s="2371"/>
      <c r="F12" s="2372"/>
    </row>
    <row r="13" spans="1:8" ht="19.5" customHeight="1" x14ac:dyDescent="0.2">
      <c r="A13" s="1084"/>
      <c r="B13" s="1085"/>
      <c r="C13" s="2370"/>
      <c r="D13" s="2371"/>
      <c r="E13" s="2371"/>
      <c r="F13" s="2372"/>
      <c r="H13" s="1074"/>
    </row>
    <row r="14" spans="1:8" ht="19.5" customHeight="1" x14ac:dyDescent="0.2">
      <c r="A14" s="1084"/>
      <c r="B14" s="1085"/>
      <c r="C14" s="2370"/>
      <c r="D14" s="2371"/>
      <c r="E14" s="2371"/>
      <c r="F14" s="2372"/>
      <c r="H14" s="1074"/>
    </row>
    <row r="15" spans="1:8" ht="17.25" customHeight="1" x14ac:dyDescent="0.2">
      <c r="A15" s="1084"/>
      <c r="B15" s="1085"/>
      <c r="C15" s="2373"/>
      <c r="D15" s="2374"/>
      <c r="E15" s="2374"/>
      <c r="F15" s="2375"/>
      <c r="H15" s="1074"/>
    </row>
    <row r="16" spans="1:8" s="310" customFormat="1" ht="51.75" hidden="1" customHeight="1" x14ac:dyDescent="0.2">
      <c r="A16" s="2369" t="s">
        <v>1787</v>
      </c>
      <c r="B16" s="2369"/>
      <c r="C16" s="2369"/>
      <c r="D16" s="2369"/>
      <c r="E16" s="2369"/>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9" colorId="8" zoomScale="110" zoomScaleNormal="110" workbookViewId="0">
      <selection activeCell="C90" sqref="C9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91" t="s">
        <v>686</v>
      </c>
      <c r="B3" s="2392"/>
      <c r="C3" s="2392"/>
      <c r="D3" s="2393"/>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2" t="s">
        <v>1584</v>
      </c>
      <c r="D7" s="2403"/>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4" t="s">
        <v>1065</v>
      </c>
      <c r="B15" s="2395"/>
      <c r="C15" s="2395"/>
      <c r="D15" s="2396"/>
    </row>
    <row r="16" spans="1:4" s="669" customFormat="1" ht="24" customHeight="1" x14ac:dyDescent="0.2">
      <c r="A16" s="2397" t="s">
        <v>684</v>
      </c>
      <c r="B16" s="2398"/>
      <c r="C16" s="2398"/>
      <c r="D16" s="2399"/>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6" t="s">
        <v>332</v>
      </c>
      <c r="D21" s="2407"/>
    </row>
    <row r="22" spans="1:10" ht="12.75" x14ac:dyDescent="0.2">
      <c r="A22" s="1139"/>
      <c r="B22" s="1140">
        <v>2</v>
      </c>
      <c r="C22" s="2404" t="s">
        <v>1605</v>
      </c>
      <c r="D22" s="2405"/>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8" t="s">
        <v>557</v>
      </c>
      <c r="D43" s="2409"/>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0" t="s">
        <v>817</v>
      </c>
      <c r="D56" s="2401"/>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400" t="s">
        <v>1797</v>
      </c>
      <c r="D70" s="2401"/>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4101133004</v>
      </c>
    </row>
    <row r="3" spans="1:2" x14ac:dyDescent="0.2">
      <c r="A3" t="s">
        <v>1013</v>
      </c>
      <c r="B3" s="138" t="str">
        <f>COVER!A15</f>
        <v>WINNEBAGO/BOONE</v>
      </c>
    </row>
    <row r="4" spans="1:2" x14ac:dyDescent="0.2">
      <c r="A4" t="s">
        <v>1064</v>
      </c>
      <c r="B4" s="138" t="str">
        <f>COVER!A17</f>
        <v>Prairie Hill CCSD 133</v>
      </c>
    </row>
    <row r="5" spans="1:2" x14ac:dyDescent="0.2">
      <c r="A5" t="s">
        <v>728</v>
      </c>
      <c r="B5" s="138" t="str">
        <f>COVER!A38</f>
        <v>CLINT CZIZEK</v>
      </c>
    </row>
    <row r="6" spans="1:2" x14ac:dyDescent="0.2">
      <c r="A6" t="s">
        <v>733</v>
      </c>
      <c r="B6" s="138">
        <f>COVER!P35</f>
        <v>0</v>
      </c>
    </row>
    <row r="7" spans="1:2" x14ac:dyDescent="0.2">
      <c r="A7" t="s">
        <v>729</v>
      </c>
      <c r="B7" s="138">
        <f>COVER!I38</f>
        <v>0</v>
      </c>
    </row>
    <row r="8" spans="1:2" x14ac:dyDescent="0.2">
      <c r="A8" t="s">
        <v>730</v>
      </c>
      <c r="B8" s="138" t="str">
        <f>COVER!T38</f>
        <v>LORI FANELLO</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 xml:space="preserve">BENNING GROUP, LLC </v>
      </c>
    </row>
    <row r="17" spans="1:2" x14ac:dyDescent="0.2">
      <c r="A17" t="s">
        <v>939</v>
      </c>
      <c r="B17" s="138" t="str">
        <f>COVER!T15</f>
        <v xml:space="preserve">JENNY L. BLOCKER </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 xml:space="preserve">FREEPORT </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35370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3510388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3510388</v>
      </c>
      <c r="D92" s="2" t="str">
        <f t="shared" si="0"/>
        <v>Error?</v>
      </c>
    </row>
    <row r="93" spans="1:4" x14ac:dyDescent="0.2">
      <c r="A93" s="5">
        <v>32</v>
      </c>
      <c r="B93" s="138">
        <f>'Assets-Liab 5-6'!C41</f>
        <v>3510388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323502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323502</v>
      </c>
      <c r="D123" s="2" t="str">
        <f t="shared" si="0"/>
        <v>Error?</v>
      </c>
    </row>
    <row r="124" spans="1:4" x14ac:dyDescent="0.2">
      <c r="A124" s="5">
        <v>63</v>
      </c>
      <c r="B124" s="138">
        <f>'Assets-Liab 5-6'!D41</f>
        <v>323502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4321</v>
      </c>
      <c r="C139" s="2" t="s">
        <v>594</v>
      </c>
      <c r="D139" s="2" t="str">
        <f t="shared" si="1"/>
        <v>Error?</v>
      </c>
    </row>
    <row r="140" spans="1:4" x14ac:dyDescent="0.2">
      <c r="A140" s="5">
        <v>79</v>
      </c>
      <c r="B140" s="138">
        <f>'Assets-Liab 5-6'!E39</f>
        <v>-4321</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338625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338625</v>
      </c>
      <c r="D170" s="2" t="str">
        <f t="shared" si="1"/>
        <v>Error?</v>
      </c>
    </row>
    <row r="171" spans="1:4" x14ac:dyDescent="0.2">
      <c r="A171" s="5">
        <v>110</v>
      </c>
      <c r="B171" s="138">
        <f>'Assets-Liab 5-6'!F41</f>
        <v>338625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117600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72532</v>
      </c>
      <c r="D189" s="2" t="str">
        <f t="shared" si="1"/>
        <v>Error?</v>
      </c>
    </row>
    <row r="190" spans="1:4" x14ac:dyDescent="0.2">
      <c r="A190" s="5">
        <v>129</v>
      </c>
      <c r="B190" s="138">
        <f>'Assets-Liab 5-6'!G41</f>
        <v>117600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80</v>
      </c>
      <c r="D212" s="2" t="str">
        <f t="shared" si="2"/>
        <v>Error?</v>
      </c>
    </row>
    <row r="213" spans="1:4" x14ac:dyDescent="0.2">
      <c r="A213" s="12">
        <v>152</v>
      </c>
      <c r="B213" s="138">
        <f>'Assets-Liab 5-6'!H41</f>
        <v>80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18235</v>
      </c>
      <c r="D273" s="2" t="str">
        <f t="shared" si="3"/>
        <v>Error?</v>
      </c>
    </row>
    <row r="274" spans="1:4" x14ac:dyDescent="0.2">
      <c r="A274" s="5">
        <v>213</v>
      </c>
      <c r="B274" s="138">
        <f>'Assets-Liab 5-6'!M17</f>
        <v>19080012</v>
      </c>
      <c r="D274" s="2" t="str">
        <f t="shared" si="3"/>
        <v>Error?</v>
      </c>
    </row>
    <row r="275" spans="1:4" x14ac:dyDescent="0.2">
      <c r="A275" s="5">
        <v>214</v>
      </c>
      <c r="B275" s="138">
        <f>'Assets-Liab 5-6'!M18</f>
        <v>931292</v>
      </c>
      <c r="D275" s="2" t="str">
        <f t="shared" si="3"/>
        <v>Error?</v>
      </c>
    </row>
    <row r="276" spans="1:4" x14ac:dyDescent="0.2">
      <c r="A276" s="5">
        <v>215</v>
      </c>
      <c r="B276" s="138">
        <f>'Assets-Liab 5-6'!M19</f>
        <v>1129547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21159086</v>
      </c>
      <c r="C279" s="2" t="s">
        <v>594</v>
      </c>
      <c r="D279" s="2" t="str">
        <f t="shared" si="3"/>
        <v>Error?</v>
      </c>
    </row>
    <row r="280" spans="1:4" x14ac:dyDescent="0.2">
      <c r="A280" s="5">
        <v>219</v>
      </c>
      <c r="B280" s="138">
        <f>'Assets-Liab 5-6'!M40</f>
        <v>21159086</v>
      </c>
      <c r="D280" s="2" t="str">
        <f t="shared" si="3"/>
        <v>Error?</v>
      </c>
    </row>
    <row r="281" spans="1:4" x14ac:dyDescent="0.2">
      <c r="A281" s="5">
        <v>220</v>
      </c>
      <c r="B281" s="138">
        <f>'Assets-Liab 5-6'!M41</f>
        <v>21159086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9745000</v>
      </c>
      <c r="D283" s="2" t="str">
        <f t="shared" si="3"/>
        <v>Error?</v>
      </c>
    </row>
    <row r="284" spans="1:4" x14ac:dyDescent="0.2">
      <c r="A284" s="5">
        <v>223</v>
      </c>
      <c r="B284" s="138">
        <f>'Assets-Liab 5-6'!N23</f>
        <v>9745000</v>
      </c>
      <c r="C284" s="2" t="s">
        <v>594</v>
      </c>
      <c r="D284" s="2" t="str">
        <f t="shared" si="3"/>
        <v>Error?</v>
      </c>
    </row>
    <row r="285" spans="1:4" x14ac:dyDescent="0.2">
      <c r="A285" s="5">
        <v>224</v>
      </c>
      <c r="B285" s="138">
        <f>'Assets-Liab 5-6'!N36</f>
        <v>9745000</v>
      </c>
      <c r="D285" s="2" t="str">
        <f t="shared" si="3"/>
        <v>Error?</v>
      </c>
    </row>
    <row r="286" spans="1:4" x14ac:dyDescent="0.2">
      <c r="A286" s="10">
        <v>225</v>
      </c>
      <c r="D286" s="2" t="str">
        <f t="shared" si="3"/>
        <v>OK</v>
      </c>
    </row>
    <row r="287" spans="1:4" x14ac:dyDescent="0.2">
      <c r="A287" s="5">
        <v>226</v>
      </c>
      <c r="B287" s="138">
        <f>'Assets-Liab 5-6'!N37</f>
        <v>9745000</v>
      </c>
      <c r="C287" s="2" t="s">
        <v>594</v>
      </c>
      <c r="D287" s="2" t="str">
        <f t="shared" si="3"/>
        <v>Error?</v>
      </c>
    </row>
    <row r="288" spans="1:4" x14ac:dyDescent="0.2">
      <c r="A288" s="5">
        <v>227</v>
      </c>
      <c r="B288" s="138">
        <f>'Assets-Liab 5-6'!N41</f>
        <v>9745000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2400493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69025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3218886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58851</v>
      </c>
      <c r="D722" s="2" t="str">
        <f t="shared" si="10"/>
        <v>Error?</v>
      </c>
    </row>
    <row r="723" spans="1:4" x14ac:dyDescent="0.2">
      <c r="A723" s="5">
        <v>662</v>
      </c>
      <c r="B723" s="138">
        <f>'Expenditures 15-22'!C38</f>
        <v>60221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50997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170069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77275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77275</v>
      </c>
      <c r="C731" s="2" t="s">
        <v>594</v>
      </c>
      <c r="D731" s="2" t="str">
        <f t="shared" si="10"/>
        <v>Error?</v>
      </c>
    </row>
    <row r="732" spans="1:4" x14ac:dyDescent="0.2">
      <c r="A732" s="5">
        <v>671</v>
      </c>
      <c r="B732" s="138">
        <f>'Expenditures 15-22'!C49</f>
        <v>3727</v>
      </c>
      <c r="D732" s="2" t="str">
        <f t="shared" si="10"/>
        <v>Error?</v>
      </c>
    </row>
    <row r="733" spans="1:4" x14ac:dyDescent="0.2">
      <c r="A733" s="5">
        <v>672</v>
      </c>
      <c r="B733" s="138">
        <f>'Expenditures 15-22'!C50</f>
        <v>97571</v>
      </c>
      <c r="D733" s="2" t="str">
        <f t="shared" si="10"/>
        <v>Error?</v>
      </c>
    </row>
    <row r="734" spans="1:4" x14ac:dyDescent="0.2">
      <c r="A734" s="5">
        <v>673</v>
      </c>
      <c r="B734" s="138">
        <f>'Expenditures 15-22'!C53</f>
        <v>101298</v>
      </c>
      <c r="C734" s="2" t="s">
        <v>594</v>
      </c>
      <c r="D734" s="2" t="str">
        <f t="shared" si="10"/>
        <v>Error?</v>
      </c>
    </row>
    <row r="735" spans="1:4" x14ac:dyDescent="0.2">
      <c r="A735" s="5">
        <v>674</v>
      </c>
      <c r="B735" s="138">
        <f>'Expenditures 15-22'!C55</f>
        <v>263350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263350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39502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65482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104984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716976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3935862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558653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7810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669046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13931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13342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27273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6850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6850</v>
      </c>
      <c r="C789" s="2" t="s">
        <v>594</v>
      </c>
      <c r="D789" s="2" t="str">
        <f t="shared" si="11"/>
        <v>Error?</v>
      </c>
    </row>
    <row r="790" spans="1:4" x14ac:dyDescent="0.2">
      <c r="A790" s="5">
        <v>729</v>
      </c>
      <c r="B790" s="138">
        <f>'Expenditures 15-22'!D49</f>
        <v>27344</v>
      </c>
      <c r="D790" s="2" t="str">
        <f t="shared" si="11"/>
        <v>Error?</v>
      </c>
    </row>
    <row r="791" spans="1:4" x14ac:dyDescent="0.2">
      <c r="A791" s="5">
        <v>730</v>
      </c>
      <c r="B791" s="138">
        <f>'Expenditures 15-22'!D50</f>
        <v>35298</v>
      </c>
      <c r="D791" s="2" t="str">
        <f t="shared" si="11"/>
        <v>Error?</v>
      </c>
    </row>
    <row r="792" spans="1:4" x14ac:dyDescent="0.2">
      <c r="A792" s="5">
        <v>731</v>
      </c>
      <c r="B792" s="138">
        <f>'Expenditures 15-22'!D53</f>
        <v>79593</v>
      </c>
      <c r="C792" s="2" t="s">
        <v>594</v>
      </c>
      <c r="D792" s="2" t="str">
        <f t="shared" si="11"/>
        <v>Error?</v>
      </c>
    </row>
    <row r="793" spans="1:4" x14ac:dyDescent="0.2">
      <c r="A793" s="5">
        <v>732</v>
      </c>
      <c r="B793" s="138">
        <f>'Expenditures 15-22'!D55</f>
        <v>81201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81201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6486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6518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201435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870481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41422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1460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53013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174</v>
      </c>
      <c r="C843" s="2" t="s">
        <v>594</v>
      </c>
      <c r="D843" s="2" t="str">
        <f t="shared" si="12"/>
        <v>Error?</v>
      </c>
    </row>
    <row r="844" spans="1:4" x14ac:dyDescent="0.2">
      <c r="A844" s="5">
        <v>783</v>
      </c>
      <c r="B844" s="138">
        <f>'Expenditures 15-22'!E44</f>
        <v>57732</v>
      </c>
      <c r="D844" s="2" t="str">
        <f t="shared" si="12"/>
        <v>Error?</v>
      </c>
    </row>
    <row r="845" spans="1:4" x14ac:dyDescent="0.2">
      <c r="A845" s="5">
        <v>784</v>
      </c>
      <c r="B845" s="138">
        <f>'Expenditures 15-22'!E45</f>
        <v>27171</v>
      </c>
      <c r="D845" s="2" t="str">
        <f t="shared" si="12"/>
        <v>Error?</v>
      </c>
    </row>
    <row r="846" spans="1:4" x14ac:dyDescent="0.2">
      <c r="A846" s="5">
        <v>785</v>
      </c>
      <c r="B846" s="138">
        <f>'Expenditures 15-22'!E46</f>
        <v>4120</v>
      </c>
      <c r="D846" s="2" t="str">
        <f t="shared" si="12"/>
        <v>Error?</v>
      </c>
    </row>
    <row r="847" spans="1:4" x14ac:dyDescent="0.2">
      <c r="A847" s="5">
        <v>786</v>
      </c>
      <c r="B847" s="138">
        <f>'Expenditures 15-22'!E47</f>
        <v>89023</v>
      </c>
      <c r="C847" s="2" t="s">
        <v>594</v>
      </c>
      <c r="D847" s="2" t="str">
        <f t="shared" si="12"/>
        <v>Error?</v>
      </c>
    </row>
    <row r="848" spans="1:4" x14ac:dyDescent="0.2">
      <c r="A848" s="5">
        <v>787</v>
      </c>
      <c r="B848" s="138">
        <f>'Expenditures 15-22'!E49</f>
        <v>42490</v>
      </c>
      <c r="D848" s="2" t="str">
        <f t="shared" si="12"/>
        <v>Error?</v>
      </c>
    </row>
    <row r="849" spans="1:4" x14ac:dyDescent="0.2">
      <c r="A849" s="5">
        <v>788</v>
      </c>
      <c r="B849" s="138">
        <f>'Expenditures 15-22'!E50</f>
        <v>1169</v>
      </c>
      <c r="D849" s="2" t="str">
        <f t="shared" si="12"/>
        <v>Error?</v>
      </c>
    </row>
    <row r="850" spans="1:4" x14ac:dyDescent="0.2">
      <c r="A850" s="5">
        <v>789</v>
      </c>
      <c r="B850" s="138">
        <f>'Expenditures 15-22'!E53</f>
        <v>78789</v>
      </c>
      <c r="C850" s="2" t="s">
        <v>594</v>
      </c>
      <c r="D850" s="2" t="str">
        <f t="shared" si="12"/>
        <v>Error?</v>
      </c>
    </row>
    <row r="851" spans="1:4" x14ac:dyDescent="0.2">
      <c r="A851" s="5">
        <v>790</v>
      </c>
      <c r="B851" s="138">
        <f>'Expenditures 15-22'!E55</f>
        <v>284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8980</v>
      </c>
      <c r="D855" s="2" t="str">
        <f t="shared" si="12"/>
        <v>Error?</v>
      </c>
    </row>
    <row r="856" spans="1:4" x14ac:dyDescent="0.2">
      <c r="A856" s="5">
        <v>795</v>
      </c>
      <c r="B856" s="138">
        <f>'Expenditures 15-22'!E61</f>
        <v>21687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1609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32276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200546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390001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98695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142472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3321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3321</v>
      </c>
      <c r="C901" s="2" t="s">
        <v>594</v>
      </c>
      <c r="D901" s="2" t="str">
        <f t="shared" si="13"/>
        <v>Error?</v>
      </c>
    </row>
    <row r="902" spans="1:4" x14ac:dyDescent="0.2">
      <c r="A902" s="5">
        <v>841</v>
      </c>
      <c r="B902" s="138">
        <f>'Expenditures 15-22'!F44</f>
        <v>130</v>
      </c>
      <c r="D902" s="2" t="str">
        <f t="shared" si="13"/>
        <v>Error?</v>
      </c>
    </row>
    <row r="903" spans="1:4" x14ac:dyDescent="0.2">
      <c r="A903" s="5">
        <v>842</v>
      </c>
      <c r="B903" s="138">
        <f>'Expenditures 15-22'!F45</f>
        <v>11276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11406</v>
      </c>
      <c r="C905" s="2" t="s">
        <v>594</v>
      </c>
      <c r="D905" s="2" t="str">
        <f t="shared" si="13"/>
        <v>Error?</v>
      </c>
    </row>
    <row r="906" spans="1:4" x14ac:dyDescent="0.2">
      <c r="A906" s="5">
        <v>845</v>
      </c>
      <c r="B906" s="138">
        <f>'Expenditures 15-22'!F49</f>
        <v>837</v>
      </c>
      <c r="D906" s="2" t="str">
        <f t="shared" si="13"/>
        <v>Error?</v>
      </c>
    </row>
    <row r="907" spans="1:4" x14ac:dyDescent="0.2">
      <c r="A907" s="5">
        <v>846</v>
      </c>
      <c r="B907" s="138">
        <f>'Expenditures 15-22'!F50</f>
        <v>460</v>
      </c>
      <c r="D907" s="2" t="str">
        <f t="shared" si="13"/>
        <v>Error?</v>
      </c>
    </row>
    <row r="908" spans="1:4" x14ac:dyDescent="0.2">
      <c r="A908" s="5">
        <v>847</v>
      </c>
      <c r="B908" s="138">
        <f>'Expenditures 15-22'!F53</f>
        <v>1297</v>
      </c>
      <c r="C908" s="2" t="s">
        <v>594</v>
      </c>
      <c r="D908" s="2" t="str">
        <f t="shared" si="13"/>
        <v>Error?</v>
      </c>
    </row>
    <row r="909" spans="1:4" x14ac:dyDescent="0.2">
      <c r="A909" s="5">
        <v>848</v>
      </c>
      <c r="B909" s="138">
        <f>'Expenditures 15-22'!F55</f>
        <v>1688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1688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926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101947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102873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120585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263057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1473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1473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40858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40858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40858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42331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2601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4556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3563</v>
      </c>
      <c r="D1022" s="2" t="str">
        <f t="shared" si="14"/>
        <v>Error?</v>
      </c>
    </row>
    <row r="1023" spans="1:4" x14ac:dyDescent="0.2">
      <c r="A1023" s="5">
        <v>962</v>
      </c>
      <c r="B1023" s="138">
        <f>'Expenditures 15-22'!H50</f>
        <v>1394</v>
      </c>
      <c r="D1023" s="2" t="str">
        <f t="shared" ref="D1023:D1086" si="15">IF(ISBLANK(B1023),"OK",IF(A1023-B1023=0,"OK","Error?"))</f>
        <v>Error?</v>
      </c>
    </row>
    <row r="1024" spans="1:4" x14ac:dyDescent="0.2">
      <c r="A1024" s="5">
        <v>963</v>
      </c>
      <c r="B1024" s="138">
        <f>'Expenditures 15-22'!H53</f>
        <v>4957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1050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6007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10563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3103337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81052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4089446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72782</v>
      </c>
      <c r="C1110" s="2" t="s">
        <v>594</v>
      </c>
      <c r="D1110" s="2" t="str">
        <f t="shared" si="16"/>
        <v>Error?</v>
      </c>
    </row>
    <row r="1111" spans="1:4" x14ac:dyDescent="0.2">
      <c r="A1111" s="5">
        <v>1050</v>
      </c>
      <c r="B1111" s="138">
        <f>'Expenditures 15-22'!K38</f>
        <v>63716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64339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200837</v>
      </c>
      <c r="C1115" s="2" t="s">
        <v>594</v>
      </c>
      <c r="D1115" s="2" t="str">
        <f t="shared" si="16"/>
        <v>Error?</v>
      </c>
    </row>
    <row r="1116" spans="1:4" x14ac:dyDescent="0.2">
      <c r="A1116" s="5">
        <v>1055</v>
      </c>
      <c r="B1116" s="138">
        <f>'Expenditures 15-22'!K44</f>
        <v>57862</v>
      </c>
      <c r="C1116" s="2" t="s">
        <v>594</v>
      </c>
      <c r="D1116" s="2" t="str">
        <f t="shared" si="16"/>
        <v>Error?</v>
      </c>
    </row>
    <row r="1117" spans="1:4" x14ac:dyDescent="0.2">
      <c r="A1117" s="5">
        <v>1056</v>
      </c>
      <c r="B1117" s="138">
        <f>'Expenditures 15-22'!K45</f>
        <v>163430</v>
      </c>
      <c r="C1117" s="2" t="s">
        <v>594</v>
      </c>
      <c r="D1117" s="2" t="str">
        <f t="shared" si="16"/>
        <v>Error?</v>
      </c>
    </row>
    <row r="1118" spans="1:4" x14ac:dyDescent="0.2">
      <c r="A1118" s="5">
        <v>1057</v>
      </c>
      <c r="B1118" s="138">
        <f>'Expenditures 15-22'!K46</f>
        <v>4120</v>
      </c>
      <c r="C1118" s="2" t="s">
        <v>594</v>
      </c>
      <c r="D1118" s="2" t="str">
        <f t="shared" si="16"/>
        <v>Error?</v>
      </c>
    </row>
    <row r="1119" spans="1:4" x14ac:dyDescent="0.2">
      <c r="A1119" s="5">
        <v>1058</v>
      </c>
      <c r="B1119" s="138">
        <f>'Expenditures 15-22'!K47</f>
        <v>225412</v>
      </c>
      <c r="C1119" s="2" t="s">
        <v>594</v>
      </c>
      <c r="D1119" s="2" t="str">
        <f t="shared" si="16"/>
        <v>Error?</v>
      </c>
    </row>
    <row r="1120" spans="1:4" x14ac:dyDescent="0.2">
      <c r="A1120" s="5">
        <v>1059</v>
      </c>
      <c r="B1120" s="138">
        <f>'Expenditures 15-22'!K49</f>
        <v>77961</v>
      </c>
      <c r="C1120" s="2" t="s">
        <v>594</v>
      </c>
      <c r="D1120" s="2" t="str">
        <f t="shared" si="16"/>
        <v>Error?</v>
      </c>
    </row>
    <row r="1121" spans="1:4" x14ac:dyDescent="0.2">
      <c r="A1121" s="5">
        <v>1060</v>
      </c>
      <c r="B1121" s="138">
        <f>'Expenditures 15-22'!K50</f>
        <v>135892</v>
      </c>
      <c r="C1121" s="2" t="s">
        <v>594</v>
      </c>
      <c r="D1121" s="2" t="str">
        <f t="shared" si="16"/>
        <v>Error?</v>
      </c>
    </row>
    <row r="1122" spans="1:4" x14ac:dyDescent="0.2">
      <c r="A1122" s="5">
        <v>1061</v>
      </c>
      <c r="B1122" s="138">
        <f>'Expenditures 15-22'!K53</f>
        <v>265934</v>
      </c>
      <c r="C1122" s="2" t="s">
        <v>594</v>
      </c>
      <c r="D1122" s="2" t="str">
        <f t="shared" si="16"/>
        <v>Error?</v>
      </c>
    </row>
    <row r="1123" spans="1:4" x14ac:dyDescent="0.2">
      <c r="A1123" s="5">
        <v>1062</v>
      </c>
      <c r="B1123" s="138">
        <f>'Expenditures 15-22'!K55</f>
        <v>346523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346523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56044</v>
      </c>
      <c r="C1127" s="2" t="s">
        <v>594</v>
      </c>
      <c r="D1127" s="2" t="str">
        <f t="shared" si="16"/>
        <v>Error?</v>
      </c>
    </row>
    <row r="1128" spans="1:4" x14ac:dyDescent="0.2">
      <c r="A1128" s="5">
        <v>1067</v>
      </c>
      <c r="B1128" s="138">
        <f>'Expenditures 15-22'!K61</f>
        <v>21687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169970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247701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1286407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136442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5512295</v>
      </c>
      <c r="C1152" s="2" t="s">
        <v>594</v>
      </c>
      <c r="D1152" s="2" t="str">
        <f t="shared" si="17"/>
        <v>Error?</v>
      </c>
    </row>
    <row r="1153" spans="1:4" x14ac:dyDescent="0.2">
      <c r="A1153" s="5">
        <v>1092</v>
      </c>
      <c r="B1153" s="138">
        <f>'Expenditures 15-22'!K115</f>
        <v>357323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162354</v>
      </c>
      <c r="D1221" s="2" t="str">
        <f t="shared" si="18"/>
        <v>Error?</v>
      </c>
    </row>
    <row r="1222" spans="1:4" x14ac:dyDescent="0.2">
      <c r="A1222" s="10">
        <v>1161</v>
      </c>
      <c r="D1222" s="2" t="str">
        <f t="shared" si="18"/>
        <v>OK</v>
      </c>
    </row>
    <row r="1223" spans="1:4" x14ac:dyDescent="0.2">
      <c r="A1223" s="5">
        <v>1162</v>
      </c>
      <c r="B1223" s="138">
        <f>'Expenditures 15-22'!C127</f>
        <v>162354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162354</v>
      </c>
      <c r="C1225" s="2" t="s">
        <v>594</v>
      </c>
      <c r="D1225" s="2" t="str">
        <f t="shared" si="18"/>
        <v>Error?</v>
      </c>
    </row>
    <row r="1226" spans="1:4" x14ac:dyDescent="0.2">
      <c r="A1226" s="5">
        <v>1165</v>
      </c>
      <c r="B1226" s="138">
        <f>'Expenditures 15-22'!C151</f>
        <v>162354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13665</v>
      </c>
      <c r="D1229" s="2" t="str">
        <f t="shared" si="18"/>
        <v>Error?</v>
      </c>
    </row>
    <row r="1230" spans="1:4" x14ac:dyDescent="0.2">
      <c r="A1230" s="10">
        <v>1169</v>
      </c>
      <c r="D1230" s="2" t="str">
        <f t="shared" si="18"/>
        <v>OK</v>
      </c>
    </row>
    <row r="1231" spans="1:4" x14ac:dyDescent="0.2">
      <c r="A1231" s="5">
        <v>1170</v>
      </c>
      <c r="B1231" s="138">
        <f>'Expenditures 15-22'!D127</f>
        <v>13665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13665</v>
      </c>
      <c r="C1233" s="2" t="s">
        <v>594</v>
      </c>
      <c r="D1233" s="2" t="str">
        <f t="shared" si="18"/>
        <v>Error?</v>
      </c>
    </row>
    <row r="1234" spans="1:4" x14ac:dyDescent="0.2">
      <c r="A1234" s="5">
        <v>1173</v>
      </c>
      <c r="B1234" s="138">
        <f>'Expenditures 15-22'!D151</f>
        <v>13665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1075</v>
      </c>
      <c r="D1236" s="2" t="str">
        <f t="shared" si="18"/>
        <v>Error?</v>
      </c>
    </row>
    <row r="1237" spans="1:4" x14ac:dyDescent="0.2">
      <c r="A1237" s="5">
        <v>1176</v>
      </c>
      <c r="B1237" s="138">
        <f>'Expenditures 15-22'!E124</f>
        <v>120454</v>
      </c>
      <c r="D1237" s="2" t="str">
        <f t="shared" si="18"/>
        <v>Error?</v>
      </c>
    </row>
    <row r="1238" spans="1:4" x14ac:dyDescent="0.2">
      <c r="A1238" s="10">
        <v>1177</v>
      </c>
      <c r="D1238" s="2" t="str">
        <f t="shared" si="18"/>
        <v>OK</v>
      </c>
    </row>
    <row r="1239" spans="1:4" x14ac:dyDescent="0.2">
      <c r="A1239" s="5">
        <v>1178</v>
      </c>
      <c r="B1239" s="138">
        <f>'Expenditures 15-22'!E127</f>
        <v>121529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121529</v>
      </c>
      <c r="C1241" s="2" t="s">
        <v>594</v>
      </c>
      <c r="D1241" s="2" t="str">
        <f t="shared" si="18"/>
        <v>Error?</v>
      </c>
    </row>
    <row r="1242" spans="1:4" x14ac:dyDescent="0.2">
      <c r="A1242" s="5">
        <v>1181</v>
      </c>
      <c r="B1242" s="138">
        <f>'Expenditures 15-22'!E151</f>
        <v>121529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196000</v>
      </c>
      <c r="D1245" s="2" t="str">
        <f t="shared" si="18"/>
        <v>Error?</v>
      </c>
    </row>
    <row r="1246" spans="1:4" x14ac:dyDescent="0.2">
      <c r="A1246" s="10">
        <v>1185</v>
      </c>
      <c r="D1246" s="2" t="str">
        <f t="shared" si="18"/>
        <v>OK</v>
      </c>
    </row>
    <row r="1247" spans="1:4" x14ac:dyDescent="0.2">
      <c r="A1247" s="5">
        <v>1186</v>
      </c>
      <c r="B1247" s="138">
        <f>'Expenditures 15-22'!F127</f>
        <v>196000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196000</v>
      </c>
      <c r="C1249" s="2" t="s">
        <v>594</v>
      </c>
      <c r="D1249" s="2" t="str">
        <f t="shared" si="18"/>
        <v>Error?</v>
      </c>
    </row>
    <row r="1250" spans="1:4" x14ac:dyDescent="0.2">
      <c r="A1250" s="5">
        <v>1189</v>
      </c>
      <c r="B1250" s="138">
        <f>'Expenditures 15-22'!F151</f>
        <v>196000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14023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14023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14023</v>
      </c>
      <c r="C1258" s="2" t="s">
        <v>594</v>
      </c>
      <c r="D1258" s="2" t="str">
        <f t="shared" si="18"/>
        <v>Error?</v>
      </c>
    </row>
    <row r="1259" spans="1:4" x14ac:dyDescent="0.2">
      <c r="A1259" s="5">
        <v>1198</v>
      </c>
      <c r="B1259" s="138">
        <f>'Expenditures 15-22'!G151</f>
        <v>14023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1075</v>
      </c>
      <c r="C1275" s="2" t="s">
        <v>594</v>
      </c>
      <c r="D1275" s="2" t="str">
        <f t="shared" si="18"/>
        <v>Error?</v>
      </c>
    </row>
    <row r="1276" spans="1:4" x14ac:dyDescent="0.2">
      <c r="A1276" s="5">
        <v>1215</v>
      </c>
      <c r="B1276" s="138">
        <f>'Expenditures 15-22'!K124</f>
        <v>506496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507571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507571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507571</v>
      </c>
      <c r="C1288" s="2" t="s">
        <v>594</v>
      </c>
      <c r="D1288" s="2" t="str">
        <f t="shared" si="19"/>
        <v>Error?</v>
      </c>
    </row>
    <row r="1289" spans="1:4" x14ac:dyDescent="0.2">
      <c r="A1289" s="5">
        <v>1228</v>
      </c>
      <c r="B1289" s="138">
        <f>'Expenditures 15-22'!K152</f>
        <v>-13564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301944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910000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1211944</v>
      </c>
      <c r="C1317" s="2" t="s">
        <v>594</v>
      </c>
      <c r="D1317" s="2" t="str">
        <f t="shared" si="19"/>
        <v>Error?</v>
      </c>
    </row>
    <row r="1318" spans="1:4" x14ac:dyDescent="0.2">
      <c r="A1318" s="5">
        <v>1257</v>
      </c>
      <c r="B1318" s="138">
        <f>'Expenditures 15-22'!H174</f>
        <v>1211944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301944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910000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1211944</v>
      </c>
      <c r="C1331" s="2" t="s">
        <v>594</v>
      </c>
      <c r="D1331" s="2" t="str">
        <f t="shared" si="19"/>
        <v>Error?</v>
      </c>
    </row>
    <row r="1332" spans="1:4" x14ac:dyDescent="0.2">
      <c r="A1332" s="5">
        <v>1271</v>
      </c>
      <c r="B1332" s="138">
        <f>'Expenditures 15-22'!K174</f>
        <v>1211944</v>
      </c>
      <c r="C1332" s="2" t="s">
        <v>594</v>
      </c>
      <c r="D1332" s="2" t="str">
        <f t="shared" si="19"/>
        <v>Error?</v>
      </c>
    </row>
    <row r="1333" spans="1:4" x14ac:dyDescent="0.2">
      <c r="A1333" s="5">
        <v>1272</v>
      </c>
      <c r="B1333" s="138">
        <f>'Expenditures 15-22'!K175</f>
        <v>-9487</v>
      </c>
      <c r="C1333" s="2" t="s">
        <v>594</v>
      </c>
      <c r="D1333" s="2" t="str">
        <f t="shared" si="19"/>
        <v>Error?</v>
      </c>
    </row>
    <row r="1334" spans="1:4" x14ac:dyDescent="0.2">
      <c r="A1334" s="10">
        <v>1273</v>
      </c>
      <c r="D1334" s="2" t="str">
        <f t="shared" si="19"/>
        <v>OK</v>
      </c>
    </row>
    <row r="1335" spans="1:4" x14ac:dyDescent="0.2">
      <c r="A1335" s="5">
        <v>1274</v>
      </c>
      <c r="B1335" s="138">
        <f>'Expenditures 15-22'!C182</f>
        <v>12000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12000</v>
      </c>
      <c r="C1339" s="2" t="s">
        <v>594</v>
      </c>
      <c r="D1339" s="2" t="str">
        <f t="shared" si="19"/>
        <v>Error?</v>
      </c>
    </row>
    <row r="1340" spans="1:4" x14ac:dyDescent="0.2">
      <c r="A1340" s="5">
        <v>1279</v>
      </c>
      <c r="B1340" s="138">
        <f>'Expenditures 15-22'!C210</f>
        <v>12000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256825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256825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256825</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268825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268825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268825</v>
      </c>
      <c r="C1388" s="2" t="s">
        <v>594</v>
      </c>
      <c r="D1388" s="2" t="str">
        <f t="shared" si="20"/>
        <v>Error?</v>
      </c>
    </row>
    <row r="1389" spans="1:4" x14ac:dyDescent="0.2">
      <c r="A1389" s="5">
        <v>1328</v>
      </c>
      <c r="B1389" s="138">
        <f>'Expenditures 15-22'!K211</f>
        <v>115687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1690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100681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853</v>
      </c>
      <c r="D1412" s="2" t="str">
        <f t="shared" si="21"/>
        <v>Error?</v>
      </c>
    </row>
    <row r="1413" spans="1:4" x14ac:dyDescent="0.2">
      <c r="A1413" s="5">
        <v>1352</v>
      </c>
      <c r="B1413" s="138">
        <f>'Expenditures 15-22'!D234</f>
        <v>10624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714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12191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14222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14222</v>
      </c>
      <c r="C1421" s="2" t="s">
        <v>594</v>
      </c>
      <c r="D1421" s="2" t="str">
        <f t="shared" si="21"/>
        <v>Error?</v>
      </c>
    </row>
    <row r="1422" spans="1:4" x14ac:dyDescent="0.2">
      <c r="A1422" s="5">
        <v>1361</v>
      </c>
      <c r="B1422" s="138">
        <f>'Expenditures 15-22'!D245</f>
        <v>486</v>
      </c>
      <c r="D1422" s="2" t="str">
        <f t="shared" si="21"/>
        <v>Error?</v>
      </c>
    </row>
    <row r="1423" spans="1:4" x14ac:dyDescent="0.2">
      <c r="A1423" s="5">
        <v>1362</v>
      </c>
      <c r="B1423" s="138">
        <f>'Expenditures 15-22'!D246</f>
        <v>3516</v>
      </c>
      <c r="D1423" s="2" t="str">
        <f t="shared" si="21"/>
        <v>Error?</v>
      </c>
    </row>
    <row r="1424" spans="1:4" x14ac:dyDescent="0.2">
      <c r="A1424" s="5">
        <v>1363</v>
      </c>
      <c r="B1424" s="138">
        <f>'Expenditures 15-22'!D257</f>
        <v>4002</v>
      </c>
      <c r="C1424" s="2" t="s">
        <v>594</v>
      </c>
      <c r="D1424" s="2" t="str">
        <f t="shared" si="21"/>
        <v>Error?</v>
      </c>
    </row>
    <row r="1425" spans="1:4" x14ac:dyDescent="0.2">
      <c r="A1425" s="5">
        <v>1364</v>
      </c>
      <c r="B1425" s="138">
        <f>'Expenditures 15-22'!D259</f>
        <v>18978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18978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7295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27377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11561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46233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95626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196307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1690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100681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853</v>
      </c>
      <c r="C1476" s="2" t="s">
        <v>594</v>
      </c>
      <c r="D1476" s="2" t="str">
        <f t="shared" si="22"/>
        <v>Error?</v>
      </c>
    </row>
    <row r="1477" spans="1:4" x14ac:dyDescent="0.2">
      <c r="A1477" s="5">
        <v>1416</v>
      </c>
      <c r="B1477" s="138">
        <f>'Expenditures 15-22'!K234</f>
        <v>10624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714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12191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14222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14222</v>
      </c>
      <c r="C1485" s="2" t="s">
        <v>594</v>
      </c>
      <c r="D1485" s="2" t="str">
        <f t="shared" si="22"/>
        <v>Error?</v>
      </c>
    </row>
    <row r="1486" spans="1:4" x14ac:dyDescent="0.2">
      <c r="A1486" s="5">
        <v>1425</v>
      </c>
      <c r="B1486" s="138">
        <f>'Expenditures 15-22'!K245</f>
        <v>486</v>
      </c>
      <c r="C1486" s="2" t="s">
        <v>594</v>
      </c>
      <c r="D1486" s="2" t="str">
        <f t="shared" si="22"/>
        <v>Error?</v>
      </c>
    </row>
    <row r="1487" spans="1:4" x14ac:dyDescent="0.2">
      <c r="A1487" s="5">
        <v>1426</v>
      </c>
      <c r="B1487" s="138">
        <f>'Expenditures 15-22'!K246</f>
        <v>3516</v>
      </c>
      <c r="C1487" s="2" t="s">
        <v>594</v>
      </c>
      <c r="D1487" s="2" t="str">
        <f t="shared" si="22"/>
        <v>Error?</v>
      </c>
    </row>
    <row r="1488" spans="1:4" x14ac:dyDescent="0.2">
      <c r="A1488" s="5">
        <v>1427</v>
      </c>
      <c r="B1488" s="138">
        <f>'Expenditures 15-22'!K257</f>
        <v>4002</v>
      </c>
      <c r="C1488" s="2" t="s">
        <v>594</v>
      </c>
      <c r="D1488" s="2" t="str">
        <f t="shared" si="22"/>
        <v>Error?</v>
      </c>
    </row>
    <row r="1489" spans="1:4" x14ac:dyDescent="0.2">
      <c r="A1489" s="5">
        <v>1428</v>
      </c>
      <c r="B1489" s="138">
        <f>'Expenditures 15-22'!K259</f>
        <v>18978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18978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7295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27377</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11561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46233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95626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196307</v>
      </c>
      <c r="C1517" s="2" t="s">
        <v>594</v>
      </c>
      <c r="D1517" s="2" t="str">
        <f t="shared" si="22"/>
        <v>Error?</v>
      </c>
    </row>
    <row r="1518" spans="1:4" x14ac:dyDescent="0.2">
      <c r="A1518" s="5">
        <v>1457</v>
      </c>
      <c r="B1518" s="138">
        <f>'Expenditures 15-22'!K296</f>
        <v>-38862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3153065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3510388</v>
      </c>
      <c r="C1630" s="2" t="s">
        <v>594</v>
      </c>
      <c r="D1630" s="2" t="str">
        <f t="shared" si="24"/>
        <v>Error?</v>
      </c>
    </row>
    <row r="1631" spans="1:4" x14ac:dyDescent="0.2">
      <c r="A1631" s="5">
        <v>1570</v>
      </c>
      <c r="B1631" s="138">
        <f>'Acct Summary 7-8'!D79</f>
        <v>337066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323502</v>
      </c>
      <c r="C1644" s="2" t="s">
        <v>594</v>
      </c>
      <c r="D1644" s="2" t="str">
        <f t="shared" si="24"/>
        <v>Error?</v>
      </c>
    </row>
    <row r="1645" spans="1:4" x14ac:dyDescent="0.2">
      <c r="A1645" s="5">
        <v>1584</v>
      </c>
      <c r="B1645" s="138">
        <f>'Acct Summary 7-8'!E79</f>
        <v>5166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-4321</v>
      </c>
      <c r="C1658" s="2" t="s">
        <v>594</v>
      </c>
      <c r="D1658" s="2" t="str">
        <f t="shared" si="24"/>
        <v>Error?</v>
      </c>
    </row>
    <row r="1659" spans="1:4" x14ac:dyDescent="0.2">
      <c r="A1659" s="5">
        <v>1598</v>
      </c>
      <c r="B1659" s="138">
        <f>'Acct Summary 7-8'!F79</f>
        <v>222938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338625</v>
      </c>
      <c r="C1672" s="2" t="s">
        <v>594</v>
      </c>
      <c r="D1672" s="2" t="str">
        <f t="shared" si="25"/>
        <v>Error?</v>
      </c>
    </row>
    <row r="1673" spans="1:4" x14ac:dyDescent="0.2">
      <c r="A1673" s="5">
        <v>1612</v>
      </c>
      <c r="B1673" s="138">
        <f>'Acct Summary 7-8'!G79</f>
        <v>156462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117600</v>
      </c>
      <c r="C1686" s="2" t="s">
        <v>594</v>
      </c>
      <c r="D1686" s="2" t="str">
        <f t="shared" si="25"/>
        <v>Error?</v>
      </c>
    </row>
    <row r="1687" spans="1:4" x14ac:dyDescent="0.2">
      <c r="A1687" s="5">
        <v>1626</v>
      </c>
      <c r="B1687" s="138">
        <f>'Acct Summary 7-8'!H79</f>
        <v>80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3072684</v>
      </c>
      <c r="C1744" s="2" t="s">
        <v>594</v>
      </c>
      <c r="D1744" s="2" t="str">
        <f t="shared" si="26"/>
        <v>Error?</v>
      </c>
    </row>
    <row r="1745" spans="1:5" x14ac:dyDescent="0.2">
      <c r="A1745" s="5">
        <v>1684</v>
      </c>
      <c r="B1745" s="138">
        <f>'Tax Sched 23'!B5</f>
        <v>375906</v>
      </c>
      <c r="C1745" s="2" t="s">
        <v>594</v>
      </c>
      <c r="D1745" s="2" t="str">
        <f t="shared" si="26"/>
        <v>Error?</v>
      </c>
    </row>
    <row r="1746" spans="1:5" x14ac:dyDescent="0.2">
      <c r="A1746" s="5">
        <v>1685</v>
      </c>
      <c r="B1746" s="138">
        <f>'Tax Sched 23'!B6</f>
        <v>1200598</v>
      </c>
      <c r="C1746" s="2" t="s">
        <v>594</v>
      </c>
      <c r="D1746" s="2" t="str">
        <f t="shared" si="26"/>
        <v>Error?</v>
      </c>
    </row>
    <row r="1747" spans="1:5" x14ac:dyDescent="0.2">
      <c r="A1747" s="5">
        <v>1686</v>
      </c>
      <c r="B1747" s="138">
        <f>'Tax Sched 23'!B7</f>
        <v>194579</v>
      </c>
      <c r="C1747" s="2" t="s">
        <v>594</v>
      </c>
      <c r="D1747" s="2" t="str">
        <f t="shared" si="26"/>
        <v>Error?</v>
      </c>
    </row>
    <row r="1748" spans="1:5" x14ac:dyDescent="0.2">
      <c r="A1748" s="5">
        <v>1687</v>
      </c>
      <c r="B1748" s="138">
        <f>'Tax Sched 23'!B8</f>
        <v>14529</v>
      </c>
      <c r="C1748" s="2" t="s">
        <v>594</v>
      </c>
      <c r="D1748" s="2" t="str">
        <f t="shared" si="26"/>
        <v>Error?</v>
      </c>
    </row>
    <row r="1749" spans="1:5" x14ac:dyDescent="0.2">
      <c r="A1749" s="5">
        <v>1688</v>
      </c>
      <c r="B1749" s="138">
        <f>'Tax Sched 23'!B10</f>
        <v>26734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53237</v>
      </c>
      <c r="C1753" s="2" t="s">
        <v>594</v>
      </c>
      <c r="D1753" s="2" t="str">
        <f t="shared" si="26"/>
        <v>Error?</v>
      </c>
    </row>
    <row r="1754" spans="1:5" x14ac:dyDescent="0.2">
      <c r="A1754" s="5">
        <v>1693</v>
      </c>
      <c r="B1754" s="138">
        <f>'Tax Sched 23'!B14</f>
        <v>42658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5108667</v>
      </c>
      <c r="C1759" s="2" t="s">
        <v>594</v>
      </c>
      <c r="D1759" s="2" t="str">
        <f t="shared" si="26"/>
        <v>Error?</v>
      </c>
    </row>
    <row r="1760" spans="1:5" x14ac:dyDescent="0.2">
      <c r="A1760" s="5">
        <v>1699</v>
      </c>
      <c r="B1760" s="138">
        <f>'Tax Sched 23'!D4</f>
        <v>3072684</v>
      </c>
      <c r="C1760" s="2" t="s">
        <v>594</v>
      </c>
      <c r="D1760" s="2" t="str">
        <f t="shared" si="26"/>
        <v>Error?</v>
      </c>
    </row>
    <row r="1761" spans="1:5" x14ac:dyDescent="0.2">
      <c r="A1761" s="5">
        <v>1700</v>
      </c>
      <c r="B1761" s="138">
        <f>'Tax Sched 23'!D5</f>
        <v>375906</v>
      </c>
      <c r="C1761" s="2" t="s">
        <v>594</v>
      </c>
      <c r="D1761" s="2" t="str">
        <f t="shared" si="26"/>
        <v>Error?</v>
      </c>
    </row>
    <row r="1762" spans="1:5" s="8" customFormat="1" x14ac:dyDescent="0.2">
      <c r="A1762" s="5">
        <v>1701</v>
      </c>
      <c r="B1762" s="138">
        <f>'Tax Sched 23'!D6</f>
        <v>1200598</v>
      </c>
      <c r="C1762" s="2" t="s">
        <v>594</v>
      </c>
      <c r="D1762" s="2" t="str">
        <f t="shared" si="26"/>
        <v>Error?</v>
      </c>
      <c r="E1762" s="9"/>
    </row>
    <row r="1763" spans="1:5" x14ac:dyDescent="0.2">
      <c r="A1763" s="5">
        <v>1702</v>
      </c>
      <c r="B1763" s="138">
        <f>'Tax Sched 23'!D7</f>
        <v>194579</v>
      </c>
      <c r="C1763" s="2" t="s">
        <v>594</v>
      </c>
      <c r="D1763" s="2" t="str">
        <f t="shared" si="26"/>
        <v>Error?</v>
      </c>
    </row>
    <row r="1764" spans="1:5" x14ac:dyDescent="0.2">
      <c r="A1764" s="5">
        <v>1703</v>
      </c>
      <c r="B1764" s="138">
        <f>'Tax Sched 23'!D8</f>
        <v>14529</v>
      </c>
      <c r="C1764" s="2" t="s">
        <v>594</v>
      </c>
      <c r="D1764" s="2" t="str">
        <f t="shared" si="26"/>
        <v>Error?</v>
      </c>
    </row>
    <row r="1765" spans="1:5" x14ac:dyDescent="0.2">
      <c r="A1765" s="5">
        <v>1704</v>
      </c>
      <c r="B1765" s="138">
        <f>'Tax Sched 23'!D10</f>
        <v>26734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53237</v>
      </c>
      <c r="C1769" s="2" t="s">
        <v>594</v>
      </c>
      <c r="D1769" s="2" t="str">
        <f t="shared" si="26"/>
        <v>Error?</v>
      </c>
    </row>
    <row r="1770" spans="1:5" x14ac:dyDescent="0.2">
      <c r="A1770" s="5">
        <v>1709</v>
      </c>
      <c r="B1770" s="138">
        <f>'Tax Sched 23'!D14</f>
        <v>42658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5108667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3097209</v>
      </c>
      <c r="C1792" s="2" t="s">
        <v>594</v>
      </c>
      <c r="D1792" s="2" t="str">
        <f t="shared" si="27"/>
        <v>Error?</v>
      </c>
    </row>
    <row r="1793" spans="1:4" x14ac:dyDescent="0.2">
      <c r="A1793" s="5">
        <v>1732</v>
      </c>
      <c r="B1793" s="138">
        <f>'Tax Sched 23'!F5</f>
        <v>470128</v>
      </c>
      <c r="C1793" s="2" t="s">
        <v>594</v>
      </c>
      <c r="D1793" s="2" t="str">
        <f t="shared" si="27"/>
        <v>Error?</v>
      </c>
    </row>
    <row r="1794" spans="1:4" x14ac:dyDescent="0.2">
      <c r="A1794" s="5">
        <v>1733</v>
      </c>
      <c r="B1794" s="138">
        <f>'Tax Sched 23'!F6</f>
        <v>1249437</v>
      </c>
      <c r="C1794" s="2" t="s">
        <v>594</v>
      </c>
      <c r="D1794" s="2" t="str">
        <f t="shared" si="27"/>
        <v>Error?</v>
      </c>
    </row>
    <row r="1795" spans="1:4" x14ac:dyDescent="0.2">
      <c r="A1795" s="5">
        <v>1734</v>
      </c>
      <c r="B1795" s="138">
        <f>'Tax Sched 23'!F7</f>
        <v>196207</v>
      </c>
      <c r="C1795" s="2" t="s">
        <v>594</v>
      </c>
      <c r="D1795" s="2" t="str">
        <f t="shared" si="27"/>
        <v>Error?</v>
      </c>
    </row>
    <row r="1796" spans="1:4" x14ac:dyDescent="0.2">
      <c r="A1796" s="5">
        <v>1735</v>
      </c>
      <c r="B1796" s="138">
        <f>'Tax Sched 23'!F8</f>
        <v>58406</v>
      </c>
      <c r="C1796" s="2" t="s">
        <v>594</v>
      </c>
      <c r="D1796" s="2" t="str">
        <f t="shared" si="27"/>
        <v>Error?</v>
      </c>
    </row>
    <row r="1797" spans="1:4" x14ac:dyDescent="0.2">
      <c r="A1797" s="5">
        <v>1736</v>
      </c>
      <c r="B1797" s="138">
        <f>'Tax Sched 23'!F10</f>
        <v>27104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29263</v>
      </c>
      <c r="C1801" s="2" t="s">
        <v>594</v>
      </c>
      <c r="D1801" s="2" t="str">
        <f t="shared" si="27"/>
        <v>Error?</v>
      </c>
    </row>
    <row r="1802" spans="1:4" x14ac:dyDescent="0.2">
      <c r="A1802" s="5">
        <v>1741</v>
      </c>
      <c r="B1802" s="138">
        <f>'Tax Sched 23'!F14</f>
        <v>43055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5266274</v>
      </c>
      <c r="C1807" s="2" t="s">
        <v>594</v>
      </c>
      <c r="D1807" s="2" t="str">
        <f t="shared" si="27"/>
        <v>Error?</v>
      </c>
    </row>
    <row r="1808" spans="1:4" x14ac:dyDescent="0.2">
      <c r="A1808" s="5">
        <v>1747</v>
      </c>
      <c r="B1808" s="138">
        <f>'Tax Sched 23'!E4</f>
        <v>3097209</v>
      </c>
      <c r="D1808" s="2" t="str">
        <f t="shared" si="27"/>
        <v>Error?</v>
      </c>
    </row>
    <row r="1809" spans="1:4" x14ac:dyDescent="0.2">
      <c r="A1809" s="5">
        <v>1748</v>
      </c>
      <c r="B1809" s="138">
        <f>'Tax Sched 23'!E5</f>
        <v>470128</v>
      </c>
      <c r="D1809" s="2" t="str">
        <f t="shared" si="27"/>
        <v>Error?</v>
      </c>
    </row>
    <row r="1810" spans="1:4" x14ac:dyDescent="0.2">
      <c r="A1810" s="5">
        <v>1749</v>
      </c>
      <c r="B1810" s="138">
        <f>'Tax Sched 23'!E6</f>
        <v>1249437</v>
      </c>
      <c r="D1810" s="2" t="str">
        <f t="shared" si="27"/>
        <v>Error?</v>
      </c>
    </row>
    <row r="1811" spans="1:4" x14ac:dyDescent="0.2">
      <c r="A1811" s="5">
        <v>1750</v>
      </c>
      <c r="B1811" s="138">
        <f>'Tax Sched 23'!E7</f>
        <v>196207</v>
      </c>
      <c r="D1811" s="2" t="str">
        <f t="shared" si="27"/>
        <v>Error?</v>
      </c>
    </row>
    <row r="1812" spans="1:4" x14ac:dyDescent="0.2">
      <c r="A1812" s="5">
        <v>1751</v>
      </c>
      <c r="B1812" s="138">
        <f>'Tax Sched 23'!E8</f>
        <v>58406</v>
      </c>
      <c r="D1812" s="2" t="str">
        <f t="shared" si="27"/>
        <v>Error?</v>
      </c>
    </row>
    <row r="1813" spans="1:4" x14ac:dyDescent="0.2">
      <c r="A1813" s="5">
        <v>1752</v>
      </c>
      <c r="B1813" s="138">
        <f>'Tax Sched 23'!E10</f>
        <v>27104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29263</v>
      </c>
      <c r="D1817" s="2" t="str">
        <f t="shared" si="27"/>
        <v>Error?</v>
      </c>
    </row>
    <row r="1818" spans="1:4" x14ac:dyDescent="0.2">
      <c r="A1818" s="5">
        <v>1757</v>
      </c>
      <c r="B1818" s="138">
        <f>'Tax Sched 23'!E14</f>
        <v>43055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5266274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10655000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42658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42658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42658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18235</v>
      </c>
      <c r="D2008" s="2" t="str">
        <f t="shared" si="30"/>
        <v>Error?</v>
      </c>
    </row>
    <row r="2009" spans="1:4" x14ac:dyDescent="0.2">
      <c r="A2009" s="5">
        <v>1948</v>
      </c>
      <c r="B2009" s="138">
        <f>'Cap Outlay Deprec 26'!C8</f>
        <v>19080012</v>
      </c>
      <c r="D2009" s="2" t="str">
        <f t="shared" si="30"/>
        <v>Error?</v>
      </c>
    </row>
    <row r="2010" spans="1:4" x14ac:dyDescent="0.2">
      <c r="A2010" s="5">
        <v>1949</v>
      </c>
      <c r="B2010" s="138">
        <f>'Cap Outlay Deprec 26'!C10</f>
        <v>931292</v>
      </c>
      <c r="D2010" s="2" t="str">
        <f t="shared" si="30"/>
        <v>Error?</v>
      </c>
    </row>
    <row r="2011" spans="1:4" x14ac:dyDescent="0.2">
      <c r="A2011" s="5">
        <v>1950</v>
      </c>
      <c r="B2011" s="138">
        <f>'Cap Outlay Deprec 26'!C12</f>
        <v>1130513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21160052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56354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56354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57320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57320</v>
      </c>
      <c r="C2025" s="2" t="s">
        <v>594</v>
      </c>
      <c r="D2025" s="2" t="str">
        <f t="shared" si="30"/>
        <v>Error?</v>
      </c>
    </row>
    <row r="2026" spans="1:4" x14ac:dyDescent="0.2">
      <c r="A2026" s="5">
        <v>1965</v>
      </c>
      <c r="B2026" s="138">
        <f>'Cap Outlay Deprec 26'!F5</f>
        <v>18235</v>
      </c>
      <c r="C2026" s="2" t="s">
        <v>594</v>
      </c>
      <c r="D2026" s="2" t="str">
        <f t="shared" si="30"/>
        <v>Error?</v>
      </c>
    </row>
    <row r="2027" spans="1:4" x14ac:dyDescent="0.2">
      <c r="A2027" s="5">
        <v>1966</v>
      </c>
      <c r="B2027" s="138">
        <f>'Cap Outlay Deprec 26'!F8</f>
        <v>19080012</v>
      </c>
      <c r="C2027" s="2" t="s">
        <v>594</v>
      </c>
      <c r="D2027" s="2" t="str">
        <f t="shared" si="30"/>
        <v>Error?</v>
      </c>
    </row>
    <row r="2028" spans="1:4" x14ac:dyDescent="0.2">
      <c r="A2028" s="5">
        <v>1967</v>
      </c>
      <c r="B2028" s="138">
        <f>'Cap Outlay Deprec 26'!F10</f>
        <v>931292</v>
      </c>
      <c r="C2028" s="2" t="s">
        <v>594</v>
      </c>
      <c r="D2028" s="2" t="str">
        <f t="shared" si="30"/>
        <v>Error?</v>
      </c>
    </row>
    <row r="2029" spans="1:4" x14ac:dyDescent="0.2">
      <c r="A2029" s="5">
        <v>1968</v>
      </c>
      <c r="B2029" s="138">
        <f>'Cap Outlay Deprec 26'!F12</f>
        <v>1129547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21159086</v>
      </c>
      <c r="C2031" s="2" t="s">
        <v>594</v>
      </c>
      <c r="D2031" s="2" t="str">
        <f t="shared" si="30"/>
        <v>Error?</v>
      </c>
    </row>
    <row r="2032" spans="1:4" x14ac:dyDescent="0.2">
      <c r="A2032" s="10">
        <v>1971</v>
      </c>
      <c r="D2032" s="2" t="str">
        <f t="shared" si="30"/>
        <v>OK</v>
      </c>
    </row>
    <row r="2033" spans="1:4" x14ac:dyDescent="0.2">
      <c r="A2033" s="5">
        <v>1972</v>
      </c>
      <c r="B2033" s="138">
        <f>'Cap Outlay Deprec 26'!H8</f>
        <v>4770267</v>
      </c>
      <c r="D2033" s="2" t="str">
        <f t="shared" si="30"/>
        <v>Error?</v>
      </c>
    </row>
    <row r="2034" spans="1:4" x14ac:dyDescent="0.2">
      <c r="A2034" s="5">
        <v>1973</v>
      </c>
      <c r="B2034" s="138">
        <f>'Cap Outlay Deprec 26'!H10</f>
        <v>389520</v>
      </c>
      <c r="D2034" s="2" t="str">
        <f t="shared" si="30"/>
        <v>Error?</v>
      </c>
    </row>
    <row r="2035" spans="1:4" x14ac:dyDescent="0.2">
      <c r="A2035" s="5">
        <v>1974</v>
      </c>
      <c r="B2035" s="138">
        <f>'Cap Outlay Deprec 26'!H12</f>
        <v>694908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5854695</v>
      </c>
      <c r="C2037" s="2" t="s">
        <v>594</v>
      </c>
      <c r="D2037" s="2" t="str">
        <f t="shared" si="30"/>
        <v>Error?</v>
      </c>
    </row>
    <row r="2038" spans="1:4" x14ac:dyDescent="0.2">
      <c r="A2038" s="10">
        <v>1977</v>
      </c>
      <c r="D2038" s="2" t="str">
        <f t="shared" si="30"/>
        <v>OK</v>
      </c>
    </row>
    <row r="2039" spans="1:4" x14ac:dyDescent="0.2">
      <c r="A2039" s="5">
        <v>1978</v>
      </c>
      <c r="B2039" s="138">
        <f>'Cap Outlay Deprec 26'!I8</f>
        <v>381601</v>
      </c>
      <c r="D2039" s="2" t="str">
        <f t="shared" si="30"/>
        <v>Error?</v>
      </c>
    </row>
    <row r="2040" spans="1:4" x14ac:dyDescent="0.2">
      <c r="A2040" s="5">
        <v>1979</v>
      </c>
      <c r="B2040" s="138">
        <f>'Cap Outlay Deprec 26'!I10</f>
        <v>45564</v>
      </c>
      <c r="D2040" s="2" t="str">
        <f t="shared" si="30"/>
        <v>Error?</v>
      </c>
    </row>
    <row r="2041" spans="1:4" x14ac:dyDescent="0.2">
      <c r="A2041" s="5">
        <v>1980</v>
      </c>
      <c r="B2041" s="138">
        <f>'Cap Outlay Deprec 26'!I12</f>
        <v>109767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536932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57320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57320</v>
      </c>
      <c r="C2049" s="2" t="s">
        <v>594</v>
      </c>
      <c r="D2049" s="2" t="str">
        <f t="shared" si="31"/>
        <v>Error?</v>
      </c>
    </row>
    <row r="2050" spans="1:4" x14ac:dyDescent="0.2">
      <c r="A2050" s="10">
        <v>1989</v>
      </c>
      <c r="D2050" s="2" t="str">
        <f t="shared" si="31"/>
        <v>OK</v>
      </c>
    </row>
    <row r="2051" spans="1:4" x14ac:dyDescent="0.2">
      <c r="A2051" s="5">
        <v>1990</v>
      </c>
      <c r="B2051" s="138">
        <f>'Cap Outlay Deprec 26'!K8</f>
        <v>5151868</v>
      </c>
      <c r="C2051" s="2" t="s">
        <v>594</v>
      </c>
      <c r="D2051" s="2" t="str">
        <f t="shared" si="31"/>
        <v>Error?</v>
      </c>
    </row>
    <row r="2052" spans="1:4" x14ac:dyDescent="0.2">
      <c r="A2052" s="5">
        <v>1991</v>
      </c>
      <c r="B2052" s="138">
        <f>'Cap Outlay Deprec 26'!K10</f>
        <v>435084</v>
      </c>
      <c r="C2052" s="2" t="s">
        <v>594</v>
      </c>
      <c r="D2052" s="2" t="str">
        <f t="shared" si="31"/>
        <v>Error?</v>
      </c>
    </row>
    <row r="2053" spans="1:4" x14ac:dyDescent="0.2">
      <c r="A2053" s="5">
        <v>1992</v>
      </c>
      <c r="B2053" s="138">
        <f>'Cap Outlay Deprec 26'!K12</f>
        <v>747355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6334307</v>
      </c>
      <c r="C2055" s="2" t="s">
        <v>594</v>
      </c>
      <c r="D2055" s="2" t="str">
        <f t="shared" si="31"/>
        <v>Error?</v>
      </c>
    </row>
    <row r="2056" spans="1:4" x14ac:dyDescent="0.2">
      <c r="A2056" s="5">
        <v>1995</v>
      </c>
      <c r="B2056" s="138">
        <f>'Cap Outlay Deprec 26'!L5</f>
        <v>18235</v>
      </c>
      <c r="C2056" s="2" t="s">
        <v>594</v>
      </c>
      <c r="D2056" s="2" t="str">
        <f t="shared" si="31"/>
        <v>Error?</v>
      </c>
    </row>
    <row r="2057" spans="1:4" x14ac:dyDescent="0.2">
      <c r="A2057" s="5">
        <v>1996</v>
      </c>
      <c r="B2057" s="138">
        <f>'Cap Outlay Deprec 26'!L8</f>
        <v>13928144</v>
      </c>
      <c r="C2057" s="2" t="s">
        <v>594</v>
      </c>
      <c r="D2057" s="2" t="str">
        <f t="shared" si="31"/>
        <v>Error?</v>
      </c>
    </row>
    <row r="2058" spans="1:4" x14ac:dyDescent="0.2">
      <c r="A2058" s="5">
        <v>1997</v>
      </c>
      <c r="B2058" s="138">
        <f>'Cap Outlay Deprec 26'!L10</f>
        <v>496208</v>
      </c>
      <c r="C2058" s="2" t="s">
        <v>594</v>
      </c>
      <c r="D2058" s="2" t="str">
        <f t="shared" si="31"/>
        <v>Error?</v>
      </c>
    </row>
    <row r="2059" spans="1:4" x14ac:dyDescent="0.2">
      <c r="A2059" s="5">
        <v>1998</v>
      </c>
      <c r="B2059" s="138">
        <f>'Cap Outlay Deprec 26'!L12</f>
        <v>382192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14824779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136442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45068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3456965</v>
      </c>
      <c r="C2551" s="2" t="s">
        <v>594</v>
      </c>
      <c r="D2551" s="2" t="str">
        <f t="shared" si="38"/>
        <v>Error?</v>
      </c>
    </row>
    <row r="2552" spans="1:4" x14ac:dyDescent="0.2">
      <c r="A2552" s="10">
        <v>2491</v>
      </c>
      <c r="D2552" s="2" t="str">
        <f t="shared" si="38"/>
        <v>OK</v>
      </c>
    </row>
    <row r="2553" spans="1:4" x14ac:dyDescent="0.2">
      <c r="A2553" s="5">
        <v>2492</v>
      </c>
      <c r="B2553" s="138">
        <f>'Acct Summary 7-8'!C6</f>
        <v>2138241</v>
      </c>
      <c r="C2553" s="2" t="s">
        <v>594</v>
      </c>
      <c r="D2553" s="2" t="str">
        <f t="shared" si="38"/>
        <v>Error?</v>
      </c>
    </row>
    <row r="2554" spans="1:4" x14ac:dyDescent="0.2">
      <c r="A2554" s="5">
        <v>2493</v>
      </c>
      <c r="B2554" s="138">
        <f>'Acct Summary 7-8'!C7</f>
        <v>274412</v>
      </c>
      <c r="C2554" s="2" t="s">
        <v>594</v>
      </c>
      <c r="D2554" s="2" t="str">
        <f t="shared" si="38"/>
        <v>Error?</v>
      </c>
    </row>
    <row r="2555" spans="1:4" x14ac:dyDescent="0.2">
      <c r="A2555" s="5">
        <v>2494</v>
      </c>
      <c r="B2555" s="138">
        <f>'Acct Summary 7-8'!C8</f>
        <v>5869618</v>
      </c>
      <c r="C2555" s="2" t="s">
        <v>594</v>
      </c>
      <c r="D2555" s="2" t="str">
        <f t="shared" si="38"/>
        <v>Error?</v>
      </c>
    </row>
    <row r="2556" spans="1:4" x14ac:dyDescent="0.2">
      <c r="A2556" s="5">
        <v>2495</v>
      </c>
      <c r="B2556" s="138">
        <f>'Acct Summary 7-8'!C12</f>
        <v>4089446</v>
      </c>
      <c r="C2556" s="2" t="s">
        <v>594</v>
      </c>
      <c r="D2556" s="2" t="str">
        <f t="shared" si="38"/>
        <v>Error?</v>
      </c>
    </row>
    <row r="2557" spans="1:4" x14ac:dyDescent="0.2">
      <c r="A2557" s="5">
        <v>2496</v>
      </c>
      <c r="B2557" s="138">
        <f>'Acct Summary 7-8'!C13</f>
        <v>1286407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136442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5512295</v>
      </c>
      <c r="C2561" s="2" t="s">
        <v>594</v>
      </c>
      <c r="D2561" s="2" t="str">
        <f t="shared" si="39"/>
        <v>Error?</v>
      </c>
    </row>
    <row r="2562" spans="1:4" x14ac:dyDescent="0.2">
      <c r="A2562" s="5">
        <v>2501</v>
      </c>
      <c r="B2562" s="138">
        <f>'Acct Summary 7-8'!C20</f>
        <v>357323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393203</v>
      </c>
      <c r="C2564" s="2" t="s">
        <v>594</v>
      </c>
      <c r="D2564" s="2" t="str">
        <f t="shared" si="39"/>
        <v>Error?</v>
      </c>
    </row>
    <row r="2565" spans="1:4" x14ac:dyDescent="0.2">
      <c r="A2565" s="10">
        <v>2504</v>
      </c>
      <c r="D2565" s="2" t="str">
        <f t="shared" si="39"/>
        <v>OK</v>
      </c>
    </row>
    <row r="2566" spans="1:4" x14ac:dyDescent="0.2">
      <c r="A2566" s="5">
        <v>2505</v>
      </c>
      <c r="B2566" s="138">
        <f>'Acct Summary 7-8'!D6</f>
        <v>100804</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494007</v>
      </c>
      <c r="C2568" s="2" t="s">
        <v>594</v>
      </c>
      <c r="D2568" s="2" t="str">
        <f t="shared" si="39"/>
        <v>Error?</v>
      </c>
    </row>
    <row r="2569" spans="1:4" x14ac:dyDescent="0.2">
      <c r="A2569" s="5">
        <v>2508</v>
      </c>
      <c r="B2569" s="138">
        <f>'Acct Summary 7-8'!D13</f>
        <v>507571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507571</v>
      </c>
      <c r="C2573" s="2" t="s">
        <v>594</v>
      </c>
      <c r="D2573" s="2" t="str">
        <f t="shared" si="39"/>
        <v>Error?</v>
      </c>
    </row>
    <row r="2574" spans="1:4" x14ac:dyDescent="0.2">
      <c r="A2574" s="5">
        <v>2513</v>
      </c>
      <c r="B2574" s="138">
        <f>'Acct Summary 7-8'!D20</f>
        <v>-13564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195898</v>
      </c>
      <c r="C2591" s="2" t="s">
        <v>594</v>
      </c>
      <c r="D2591" s="2" t="str">
        <f t="shared" si="39"/>
        <v>Error?</v>
      </c>
    </row>
    <row r="2592" spans="1:4" x14ac:dyDescent="0.2">
      <c r="A2592" s="10">
        <v>2531</v>
      </c>
      <c r="D2592" s="2" t="str">
        <f t="shared" si="39"/>
        <v>OK</v>
      </c>
    </row>
    <row r="2593" spans="1:4" x14ac:dyDescent="0.2">
      <c r="A2593" s="5">
        <v>2532</v>
      </c>
      <c r="B2593" s="138">
        <f>'Acct Summary 7-8'!F6</f>
        <v>188614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384512</v>
      </c>
      <c r="C2595" s="2" t="s">
        <v>594</v>
      </c>
      <c r="D2595" s="2" t="str">
        <f t="shared" si="39"/>
        <v>Error?</v>
      </c>
    </row>
    <row r="2596" spans="1:4" x14ac:dyDescent="0.2">
      <c r="A2596" s="5">
        <v>2535</v>
      </c>
      <c r="B2596" s="138">
        <f>'Acct Summary 7-8'!F13</f>
        <v>268825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268825</v>
      </c>
      <c r="C2600" s="2" t="s">
        <v>594</v>
      </c>
      <c r="D2600" s="2" t="str">
        <f t="shared" si="39"/>
        <v>Error?</v>
      </c>
    </row>
    <row r="2601" spans="1:4" x14ac:dyDescent="0.2">
      <c r="A2601" s="5">
        <v>2540</v>
      </c>
      <c r="B2601" s="138">
        <f>'Acct Summary 7-8'!F20</f>
        <v>115687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157445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157445</v>
      </c>
      <c r="C2606" s="2" t="s">
        <v>594</v>
      </c>
      <c r="D2606" s="2" t="str">
        <f t="shared" si="39"/>
        <v>Error?</v>
      </c>
    </row>
    <row r="2607" spans="1:4" x14ac:dyDescent="0.2">
      <c r="A2607" s="5">
        <v>2546</v>
      </c>
      <c r="B2607" s="138">
        <f>'Acct Summary 7-8'!G12</f>
        <v>100681</v>
      </c>
      <c r="C2607" s="2" t="s">
        <v>594</v>
      </c>
      <c r="D2607" s="2" t="str">
        <f t="shared" si="39"/>
        <v>Error?</v>
      </c>
    </row>
    <row r="2608" spans="1:4" x14ac:dyDescent="0.2">
      <c r="A2608" s="5">
        <v>2547</v>
      </c>
      <c r="B2608" s="138">
        <f>'Acct Summary 7-8'!G13</f>
        <v>95626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196307</v>
      </c>
      <c r="C2612" s="2" t="s">
        <v>594</v>
      </c>
      <c r="D2612" s="2" t="str">
        <f t="shared" si="39"/>
        <v>Error?</v>
      </c>
    </row>
    <row r="2613" spans="1:4" x14ac:dyDescent="0.2">
      <c r="A2613" s="5">
        <v>2552</v>
      </c>
      <c r="B2613" s="138">
        <f>'Acct Summary 7-8'!G20</f>
        <v>-38862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1202457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1202457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1211944</v>
      </c>
      <c r="C2634" s="2" t="s">
        <v>594</v>
      </c>
      <c r="D2634" s="2" t="str">
        <f t="shared" si="40"/>
        <v>Error?</v>
      </c>
    </row>
    <row r="2635" spans="1:4" x14ac:dyDescent="0.2">
      <c r="A2635" s="5">
        <v>2574</v>
      </c>
      <c r="B2635" s="138">
        <f>'Acct Summary 7-8'!E17</f>
        <v>1211944</v>
      </c>
      <c r="C2635" s="2" t="s">
        <v>594</v>
      </c>
      <c r="D2635" s="2" t="str">
        <f t="shared" si="40"/>
        <v>Error?</v>
      </c>
    </row>
    <row r="2636" spans="1:4" x14ac:dyDescent="0.2">
      <c r="A2636" s="5">
        <v>2575</v>
      </c>
      <c r="B2636" s="138">
        <f>'Acct Summary 7-8'!E20</f>
        <v>-9487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136442</v>
      </c>
      <c r="C2789" s="2" t="s">
        <v>594</v>
      </c>
      <c r="D2789" s="2" t="str">
        <f t="shared" si="42"/>
        <v>Error?</v>
      </c>
    </row>
    <row r="2790" spans="1:4" x14ac:dyDescent="0.2">
      <c r="A2790" s="5">
        <v>2729</v>
      </c>
      <c r="B2790" s="138">
        <f>'Expenditures 15-22'!E102</f>
        <v>136442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279931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54628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279931</v>
      </c>
      <c r="D2912" s="2" t="str">
        <f t="shared" si="44"/>
        <v>Error?</v>
      </c>
    </row>
    <row r="2913" spans="1:4" x14ac:dyDescent="0.2">
      <c r="A2913" s="5">
        <v>2852</v>
      </c>
      <c r="B2913" s="138">
        <f>'Assets-Liab 5-6'!I41</f>
        <v>279931</v>
      </c>
      <c r="C2913" s="2" t="s">
        <v>594</v>
      </c>
      <c r="D2913" s="2" t="str">
        <f t="shared" si="44"/>
        <v>Error?</v>
      </c>
    </row>
    <row r="2914" spans="1:4" x14ac:dyDescent="0.2">
      <c r="A2914" s="5">
        <v>2853</v>
      </c>
      <c r="B2914" s="138">
        <f>'Assets-Liab 5-6'!L33</f>
        <v>54628</v>
      </c>
      <c r="D2914" s="2" t="str">
        <f t="shared" si="44"/>
        <v>Error?</v>
      </c>
    </row>
    <row r="2915" spans="1:4" x14ac:dyDescent="0.2">
      <c r="A2915" s="10">
        <v>2854</v>
      </c>
      <c r="D2915" s="2" t="str">
        <f t="shared" si="44"/>
        <v>OK</v>
      </c>
    </row>
    <row r="2916" spans="1:4" x14ac:dyDescent="0.2">
      <c r="A2916" s="5">
        <v>2855</v>
      </c>
      <c r="B2916" s="138">
        <f>'Assets-Liab 5-6'!L34</f>
        <v>54628</v>
      </c>
      <c r="C2916" s="2" t="s">
        <v>594</v>
      </c>
      <c r="D2916" s="2" t="str">
        <f t="shared" si="44"/>
        <v>Error?</v>
      </c>
    </row>
    <row r="2917" spans="1:4" x14ac:dyDescent="0.2">
      <c r="A2917" s="5">
        <v>2856</v>
      </c>
      <c r="B2917" s="138">
        <f>'Assets-Liab 5-6'!L41</f>
        <v>54628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136442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136442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28380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10000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38380</v>
      </c>
      <c r="C3062" s="2" t="s">
        <v>594</v>
      </c>
      <c r="D3062" s="2" t="str">
        <f t="shared" si="46"/>
        <v>Error?</v>
      </c>
    </row>
    <row r="3063" spans="1:4" x14ac:dyDescent="0.2">
      <c r="A3063" s="10">
        <v>3002</v>
      </c>
      <c r="D3063" s="2" t="str">
        <f t="shared" si="46"/>
        <v>OK</v>
      </c>
    </row>
    <row r="3064" spans="1:4" x14ac:dyDescent="0.2">
      <c r="A3064" s="5">
        <v>3003</v>
      </c>
      <c r="B3064" s="138">
        <f>'Expenditures 15-22'!D219</f>
        <v>5248</v>
      </c>
      <c r="D3064" s="2" t="str">
        <f t="shared" si="46"/>
        <v>Error?</v>
      </c>
    </row>
    <row r="3065" spans="1:4" x14ac:dyDescent="0.2">
      <c r="A3065" s="5">
        <v>3004</v>
      </c>
      <c r="B3065" s="138">
        <f>'Expenditures 15-22'!K219</f>
        <v>5248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27788</v>
      </c>
      <c r="C3225" s="2" t="s">
        <v>594</v>
      </c>
      <c r="D3225" s="2" t="str">
        <f t="shared" si="49"/>
        <v>Error?</v>
      </c>
    </row>
    <row r="3226" spans="1:4" x14ac:dyDescent="0.2">
      <c r="A3226" s="5">
        <v>3165</v>
      </c>
      <c r="B3226" s="138">
        <f>'Acct Summary 7-8'!I8</f>
        <v>27788</v>
      </c>
      <c r="C3226" s="2" t="s">
        <v>594</v>
      </c>
      <c r="D3226" s="2" t="str">
        <f t="shared" si="49"/>
        <v>Error?</v>
      </c>
    </row>
    <row r="3227" spans="1:4" x14ac:dyDescent="0.2">
      <c r="A3227" s="5">
        <v>3166</v>
      </c>
      <c r="B3227" s="138">
        <f>'Acct Summary 7-8'!I20</f>
        <v>27788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357323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-13564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115687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-38862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-9487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27788</v>
      </c>
      <c r="C3320" s="2" t="s">
        <v>594</v>
      </c>
      <c r="D3320" s="2" t="str">
        <f t="shared" si="50"/>
        <v>Error?</v>
      </c>
    </row>
    <row r="3321" spans="1:4" x14ac:dyDescent="0.2">
      <c r="A3321" s="5">
        <v>3260</v>
      </c>
      <c r="B3321" s="138">
        <f>'Acct Summary 7-8'!I79</f>
        <v>252143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279931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637992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78237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42975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759335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36947</v>
      </c>
      <c r="D3387" s="2" t="str">
        <f t="shared" si="51"/>
        <v>Error?</v>
      </c>
    </row>
    <row r="3388" spans="1:4" x14ac:dyDescent="0.2">
      <c r="A3388" s="5">
        <v>3327</v>
      </c>
      <c r="B3388" s="138">
        <f>'Expenditures 15-22'!D217</f>
        <v>55601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36947</v>
      </c>
      <c r="C3390" s="2" t="s">
        <v>594</v>
      </c>
      <c r="D3390" s="2" t="str">
        <f t="shared" si="51"/>
        <v>Error?</v>
      </c>
    </row>
    <row r="3391" spans="1:4" x14ac:dyDescent="0.2">
      <c r="A3391" s="5">
        <v>3330</v>
      </c>
      <c r="B3391" s="138">
        <f>'Expenditures 15-22'!K217</f>
        <v>55601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3506067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323502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338625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117600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80</v>
      </c>
      <c r="D3425" s="2" t="str">
        <f t="shared" si="52"/>
        <v>Error?</v>
      </c>
    </row>
    <row r="3426" spans="1:4" x14ac:dyDescent="0.2">
      <c r="A3426" s="10">
        <v>3365</v>
      </c>
      <c r="D3426" s="2" t="str">
        <f t="shared" si="52"/>
        <v>OK</v>
      </c>
    </row>
    <row r="3427" spans="1:4" x14ac:dyDescent="0.2">
      <c r="A3427" s="5">
        <v>3366</v>
      </c>
      <c r="B3427" s="138">
        <f>'Assets-Liab 5-6'!I4</f>
        <v>279931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54628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127742</v>
      </c>
      <c r="C3446" s="2" t="s">
        <v>594</v>
      </c>
      <c r="D3446" s="2" t="str">
        <f t="shared" si="52"/>
        <v>Error?</v>
      </c>
    </row>
    <row r="3447" spans="1:4" x14ac:dyDescent="0.2">
      <c r="A3447" s="5">
        <v>3386</v>
      </c>
      <c r="B3447" s="138">
        <f>'Tax Sched 23'!D16</f>
        <v>127742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95465</v>
      </c>
      <c r="C3449" s="2" t="s">
        <v>594</v>
      </c>
      <c r="D3449" s="2" t="str">
        <f t="shared" si="52"/>
        <v>Error?</v>
      </c>
    </row>
    <row r="3450" spans="1:4" x14ac:dyDescent="0.2">
      <c r="A3450" s="5">
        <v>3389</v>
      </c>
      <c r="B3450" s="138">
        <f>'Tax Sched 23'!E16</f>
        <v>95465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272191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272191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272191</v>
      </c>
      <c r="D3567" s="2" t="str">
        <f t="shared" si="54"/>
        <v>Error?</v>
      </c>
    </row>
    <row r="3568" spans="1:4" x14ac:dyDescent="0.2">
      <c r="A3568" s="5">
        <v>3507</v>
      </c>
      <c r="B3568" s="138">
        <f>'Assets-Liab 5-6'!K41</f>
        <v>272191</v>
      </c>
      <c r="C3568" s="2" t="s">
        <v>594</v>
      </c>
      <c r="D3568" s="2" t="str">
        <f t="shared" si="54"/>
        <v>Error?</v>
      </c>
    </row>
    <row r="3569" spans="1:4" x14ac:dyDescent="0.2">
      <c r="A3569" s="5">
        <v>3508</v>
      </c>
      <c r="B3569" s="138">
        <f>'Acct Summary 7-8'!K4</f>
        <v>54256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54256</v>
      </c>
      <c r="C3571" s="2" t="s">
        <v>594</v>
      </c>
      <c r="D3571" s="2" t="str">
        <f t="shared" si="54"/>
        <v>Error?</v>
      </c>
    </row>
    <row r="3572" spans="1:4" x14ac:dyDescent="0.2">
      <c r="A3572" s="5">
        <v>3511</v>
      </c>
      <c r="B3572" s="138">
        <f>'Acct Summary 7-8'!K13</f>
        <v>11400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11400</v>
      </c>
      <c r="C3575" s="2" t="s">
        <v>594</v>
      </c>
      <c r="D3575" s="2" t="str">
        <f t="shared" si="54"/>
        <v>Error?</v>
      </c>
    </row>
    <row r="3576" spans="1:4" x14ac:dyDescent="0.2">
      <c r="A3576" s="5">
        <v>3515</v>
      </c>
      <c r="B3576" s="138">
        <f>'Acct Summary 7-8'!K20</f>
        <v>42856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42856</v>
      </c>
      <c r="C3588" s="2" t="s">
        <v>594</v>
      </c>
      <c r="D3588" s="2" t="str">
        <f t="shared" si="55"/>
        <v>Error?</v>
      </c>
    </row>
    <row r="3589" spans="1:4" x14ac:dyDescent="0.2">
      <c r="A3589" s="5">
        <v>3528</v>
      </c>
      <c r="B3589" s="138">
        <f>'Acct Summary 7-8'!K79</f>
        <v>229335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272191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11400</v>
      </c>
      <c r="D3632" s="2" t="str">
        <f t="shared" si="55"/>
        <v>Error?</v>
      </c>
    </row>
    <row r="3633" spans="1:4" x14ac:dyDescent="0.2">
      <c r="A3633" s="5">
        <v>3572</v>
      </c>
      <c r="B3633" s="138">
        <f>'Expenditures 15-22'!E350</f>
        <v>11400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11400</v>
      </c>
      <c r="C3635" s="2" t="s">
        <v>594</v>
      </c>
      <c r="D3635" s="2" t="str">
        <f t="shared" si="55"/>
        <v>Error?</v>
      </c>
    </row>
    <row r="3636" spans="1:4" x14ac:dyDescent="0.2">
      <c r="A3636" s="5">
        <v>3575</v>
      </c>
      <c r="B3636" s="138">
        <f>'Expenditures 15-22'!E367</f>
        <v>11400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11400</v>
      </c>
      <c r="C3669" s="2" t="s">
        <v>594</v>
      </c>
      <c r="D3669" s="2" t="str">
        <f t="shared" si="56"/>
        <v>Error?</v>
      </c>
    </row>
    <row r="3670" spans="1:4" x14ac:dyDescent="0.2">
      <c r="A3670" s="5">
        <v>3609</v>
      </c>
      <c r="B3670" s="138">
        <f>'Expenditures 15-22'!K350</f>
        <v>11400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11400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11400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42856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47291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403989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6273607</v>
      </c>
      <c r="C4122" s="2" t="s">
        <v>594</v>
      </c>
      <c r="D4122" s="2" t="str">
        <f t="shared" si="63"/>
        <v>Error?</v>
      </c>
    </row>
    <row r="4123" spans="1:4" x14ac:dyDescent="0.2">
      <c r="A4123" s="5">
        <v>4062</v>
      </c>
      <c r="B4123" s="138">
        <f>'Acct Summary 7-8'!D10</f>
        <v>494007</v>
      </c>
      <c r="C4123" s="2" t="s">
        <v>594</v>
      </c>
      <c r="D4123" s="2" t="str">
        <f t="shared" si="63"/>
        <v>Error?</v>
      </c>
    </row>
    <row r="4124" spans="1:4" x14ac:dyDescent="0.2">
      <c r="A4124" s="5">
        <v>4063</v>
      </c>
      <c r="B4124" s="138">
        <f>'Acct Summary 7-8'!E10</f>
        <v>1202457</v>
      </c>
      <c r="C4124" s="2" t="s">
        <v>594</v>
      </c>
      <c r="D4124" s="2" t="str">
        <f t="shared" si="63"/>
        <v>Error?</v>
      </c>
    </row>
    <row r="4125" spans="1:4" x14ac:dyDescent="0.2">
      <c r="A4125" s="5">
        <v>4064</v>
      </c>
      <c r="B4125" s="138">
        <f>'Acct Summary 7-8'!F10</f>
        <v>384512</v>
      </c>
      <c r="C4125" s="2" t="s">
        <v>594</v>
      </c>
      <c r="D4125" s="2" t="str">
        <f t="shared" si="63"/>
        <v>Error?</v>
      </c>
    </row>
    <row r="4126" spans="1:4" x14ac:dyDescent="0.2">
      <c r="A4126" s="5">
        <v>4065</v>
      </c>
      <c r="B4126" s="138">
        <f>'Acct Summary 7-8'!G10</f>
        <v>157445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27788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54256</v>
      </c>
      <c r="C4130" s="2" t="s">
        <v>594</v>
      </c>
      <c r="D4130" s="2" t="str">
        <f t="shared" si="63"/>
        <v>Error?</v>
      </c>
    </row>
    <row r="4131" spans="1:4" x14ac:dyDescent="0.2">
      <c r="A4131" s="5">
        <v>4070</v>
      </c>
      <c r="B4131" s="138">
        <f>'Acct Summary 7-8'!C18</f>
        <v>403989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5916284</v>
      </c>
      <c r="C4136" s="2" t="s">
        <v>594</v>
      </c>
      <c r="D4136" s="2" t="str">
        <f t="shared" si="63"/>
        <v>Error?</v>
      </c>
    </row>
    <row r="4137" spans="1:4" x14ac:dyDescent="0.2">
      <c r="A4137" s="5">
        <v>4076</v>
      </c>
      <c r="B4137" s="138">
        <f>'Acct Summary 7-8'!D19</f>
        <v>507571</v>
      </c>
      <c r="C4137" s="2" t="s">
        <v>594</v>
      </c>
      <c r="D4137" s="2" t="str">
        <f t="shared" si="63"/>
        <v>Error?</v>
      </c>
    </row>
    <row r="4138" spans="1:4" x14ac:dyDescent="0.2">
      <c r="A4138" s="5">
        <v>4077</v>
      </c>
      <c r="B4138" s="138">
        <f>'Acct Summary 7-8'!E19</f>
        <v>1211944</v>
      </c>
      <c r="C4138" s="2" t="s">
        <v>594</v>
      </c>
      <c r="D4138" s="2" t="str">
        <f t="shared" si="63"/>
        <v>Error?</v>
      </c>
    </row>
    <row r="4139" spans="1:4" x14ac:dyDescent="0.2">
      <c r="A4139" s="5">
        <v>4078</v>
      </c>
      <c r="B4139" s="138">
        <f>'Acct Summary 7-8'!F19</f>
        <v>268825</v>
      </c>
      <c r="C4139" s="2" t="s">
        <v>594</v>
      </c>
      <c r="D4139" s="2" t="str">
        <f t="shared" si="63"/>
        <v>Error?</v>
      </c>
    </row>
    <row r="4140" spans="1:4" x14ac:dyDescent="0.2">
      <c r="A4140" s="5">
        <v>4079</v>
      </c>
      <c r="B4140" s="138">
        <f>'Acct Summary 7-8'!G19</f>
        <v>196307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11400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9745000</v>
      </c>
      <c r="C4171" s="2" t="s">
        <v>594</v>
      </c>
      <c r="D4171" s="2" t="str">
        <f t="shared" si="64"/>
        <v>Error?</v>
      </c>
    </row>
    <row r="4172" spans="1:4" x14ac:dyDescent="0.2">
      <c r="A4172" s="5">
        <v>4111</v>
      </c>
      <c r="B4172" s="138">
        <f>'Short-Term Long-Term Debt 24'!J49</f>
        <v>9745000</v>
      </c>
      <c r="C4172" s="2" t="s">
        <v>594</v>
      </c>
      <c r="D4172" s="2" t="str">
        <f t="shared" si="64"/>
        <v>Error?</v>
      </c>
    </row>
    <row r="4173" spans="1:4" x14ac:dyDescent="0.2">
      <c r="A4173" s="5">
        <v>4112</v>
      </c>
      <c r="B4173" s="138">
        <f>'Short-Term Long-Term Debt 24'!H49</f>
        <v>910000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2582.5</v>
      </c>
      <c r="C4265" s="2" t="s">
        <v>594</v>
      </c>
      <c r="D4265" s="2" t="str">
        <f t="shared" si="65"/>
        <v>Error?</v>
      </c>
      <c r="E4265" s="128"/>
    </row>
    <row r="4266" spans="1:5" x14ac:dyDescent="0.2">
      <c r="A4266" s="12">
        <v>4205</v>
      </c>
      <c r="B4266" s="138">
        <f>('FP Info 3'!F10)*100000</f>
        <v>392</v>
      </c>
      <c r="C4266" s="2" t="s">
        <v>594</v>
      </c>
      <c r="D4266" s="2" t="str">
        <f t="shared" si="65"/>
        <v>Error?</v>
      </c>
      <c r="E4266" s="128"/>
    </row>
    <row r="4267" spans="1:5" x14ac:dyDescent="0.2">
      <c r="A4267" s="12">
        <v>4206</v>
      </c>
      <c r="B4267" s="138">
        <f>('FP Info 3'!H10)*100000</f>
        <v>163.6</v>
      </c>
      <c r="C4267" s="2" t="s">
        <v>594</v>
      </c>
      <c r="D4267" s="2" t="str">
        <f t="shared" si="65"/>
        <v>Error?</v>
      </c>
      <c r="E4267" s="128"/>
    </row>
    <row r="4268" spans="1:5" x14ac:dyDescent="0.2">
      <c r="A4268" s="12">
        <v>4207</v>
      </c>
      <c r="B4268" s="138">
        <f>('FP Info 3'!J10)*100000</f>
        <v>3138</v>
      </c>
      <c r="C4268" s="2" t="s">
        <v>594</v>
      </c>
      <c r="D4268" s="2" t="str">
        <f t="shared" si="65"/>
        <v>Error?</v>
      </c>
    </row>
    <row r="4269" spans="1:5" x14ac:dyDescent="0.2">
      <c r="A4269" s="12">
        <v>4208</v>
      </c>
      <c r="B4269" s="138">
        <f>'FP Info 3'!J16</f>
        <v>4452446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3263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18253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14545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22.599999999999998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119930635</v>
      </c>
      <c r="D4995" s="2" t="str">
        <f t="shared" si="77"/>
        <v>Error?</v>
      </c>
    </row>
    <row r="4996" spans="1:4" x14ac:dyDescent="0.2">
      <c r="A4996" s="12">
        <v>4935</v>
      </c>
      <c r="B4996" s="138">
        <f>'FP Info 3'!H31</f>
        <v>8275213.8150000004</v>
      </c>
      <c r="D4996" s="2" t="str">
        <f t="shared" si="77"/>
        <v>Error?</v>
      </c>
    </row>
    <row r="4997" spans="1:4" x14ac:dyDescent="0.2">
      <c r="A4997" s="12">
        <v>4936</v>
      </c>
      <c r="B4997" s="138">
        <f>'FP Info 3'!H37</f>
        <v>9745000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3072684</v>
      </c>
      <c r="D5061" s="2" t="str">
        <f t="shared" si="78"/>
        <v>Error?</v>
      </c>
    </row>
    <row r="5062" spans="1:4" x14ac:dyDescent="0.2">
      <c r="A5062" s="10">
        <v>5001</v>
      </c>
      <c r="D5062" s="2" t="str">
        <f t="shared" si="78"/>
        <v>OK</v>
      </c>
    </row>
    <row r="5063" spans="1:4" x14ac:dyDescent="0.2">
      <c r="A5063" s="5">
        <v>5002</v>
      </c>
      <c r="B5063" s="138">
        <f>'Revenues 9-14'!C7</f>
        <v>42658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3115342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27683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27683</v>
      </c>
      <c r="C5071" s="2" t="s">
        <v>594</v>
      </c>
      <c r="D5071" s="2" t="str">
        <f t="shared" si="78"/>
        <v>Error?</v>
      </c>
    </row>
    <row r="5072" spans="1:4" x14ac:dyDescent="0.2">
      <c r="A5072" s="5">
        <v>5011</v>
      </c>
      <c r="B5072" s="138">
        <f>'Revenues 9-14'!C20</f>
        <v>84924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84924</v>
      </c>
      <c r="C5087" s="2" t="s">
        <v>594</v>
      </c>
      <c r="D5087" s="2" t="str">
        <f t="shared" si="78"/>
        <v>Error?</v>
      </c>
    </row>
    <row r="5088" spans="1:4" x14ac:dyDescent="0.2">
      <c r="A5088" s="5">
        <v>5027</v>
      </c>
      <c r="B5088" s="138">
        <f>'Revenues 9-14'!C65</f>
        <v>18082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18082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20262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869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121709</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71652</v>
      </c>
      <c r="D5101" s="2" t="str">
        <f t="shared" si="78"/>
        <v>Error?</v>
      </c>
    </row>
    <row r="5102" spans="1:4" x14ac:dyDescent="0.2">
      <c r="A5102" s="5">
        <v>5041</v>
      </c>
      <c r="B5102" s="138">
        <f>'Revenues 9-14'!C82</f>
        <v>72317</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9620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7175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113</v>
      </c>
      <c r="D5119" s="2" t="str">
        <f t="shared" ref="D5119:D5182" si="79">IF(ISBLANK(B5119),"OK",IF(A5119-B5119=0,"OK","Error?"))</f>
        <v>Error?</v>
      </c>
    </row>
    <row r="5120" spans="1:4" x14ac:dyDescent="0.2">
      <c r="A5120" s="5">
        <v>5059</v>
      </c>
      <c r="B5120" s="138">
        <f>'Revenues 9-14'!C108</f>
        <v>16908</v>
      </c>
      <c r="C5120" s="2" t="s">
        <v>594</v>
      </c>
      <c r="D5120" s="2" t="str">
        <f t="shared" si="79"/>
        <v>Error?</v>
      </c>
    </row>
    <row r="5121" spans="1:4" x14ac:dyDescent="0.2">
      <c r="A5121" s="5">
        <v>5060</v>
      </c>
      <c r="B5121" s="138">
        <f>'Revenues 9-14'!C109</f>
        <v>3456965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2023915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2023915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45612</v>
      </c>
      <c r="D5134" s="2" t="str">
        <f t="shared" si="79"/>
        <v>Error?</v>
      </c>
    </row>
    <row r="5135" spans="1:4" x14ac:dyDescent="0.2">
      <c r="A5135" s="5">
        <v>5074</v>
      </c>
      <c r="B5135" s="138">
        <f>'Revenues 9-14'!C126</f>
        <v>67580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623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113815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511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114326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2138241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47291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47291</v>
      </c>
      <c r="C5246" s="2" t="s">
        <v>594</v>
      </c>
      <c r="D5246" s="2" t="str">
        <f t="shared" si="80"/>
        <v>Error?</v>
      </c>
    </row>
    <row r="5247" spans="1:4" x14ac:dyDescent="0.2">
      <c r="A5247" s="5">
        <v>5186</v>
      </c>
      <c r="B5247" s="138">
        <f>'Revenues 9-14'!C203</f>
        <v>55297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55297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1942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118822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120764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274412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274412</v>
      </c>
      <c r="C5326" s="2" t="s">
        <v>594</v>
      </c>
      <c r="D5326" s="2" t="str">
        <f t="shared" si="82"/>
        <v>Error?</v>
      </c>
    </row>
    <row r="5327" spans="1:4" x14ac:dyDescent="0.2">
      <c r="A5327" s="5">
        <v>5266</v>
      </c>
      <c r="B5327" s="138">
        <f>'Revenues 9-14'!C275</f>
        <v>5869618</v>
      </c>
      <c r="C5327" s="2" t="s">
        <v>594</v>
      </c>
      <c r="D5327" s="2" t="str">
        <f t="shared" si="82"/>
        <v>Error?</v>
      </c>
    </row>
    <row r="5328" spans="1:4" x14ac:dyDescent="0.2">
      <c r="A5328" s="5">
        <v>5267</v>
      </c>
      <c r="B5328" s="138">
        <f>'Revenues 9-14'!D5</f>
        <v>375906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375906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1681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1681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15616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15616</v>
      </c>
      <c r="C5355" s="2" t="s">
        <v>594</v>
      </c>
      <c r="D5355" s="2" t="str">
        <f t="shared" si="82"/>
        <v>Error?</v>
      </c>
    </row>
    <row r="5356" spans="1:4" x14ac:dyDescent="0.2">
      <c r="A5356" s="5">
        <v>5295</v>
      </c>
      <c r="B5356" s="138">
        <f>'Revenues 9-14'!D109</f>
        <v>393203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100804</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100804</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100804</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494007</v>
      </c>
      <c r="C5508" s="2" t="s">
        <v>594</v>
      </c>
      <c r="D5508" s="2" t="str">
        <f t="shared" si="85"/>
        <v>Error?</v>
      </c>
    </row>
    <row r="5509" spans="1:4" x14ac:dyDescent="0.2">
      <c r="A5509" s="5">
        <v>5448</v>
      </c>
      <c r="B5509" s="138">
        <f>'Revenues 9-14'!E5</f>
        <v>1200598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1200598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1859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1859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1202457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1202457</v>
      </c>
      <c r="C5552" s="2" t="s">
        <v>594</v>
      </c>
      <c r="D5552" s="2" t="str">
        <f t="shared" si="85"/>
        <v>Error?</v>
      </c>
    </row>
    <row r="5553" spans="1:4" x14ac:dyDescent="0.2">
      <c r="A5553" s="5">
        <v>5492</v>
      </c>
      <c r="B5553" s="138">
        <f>'Revenues 9-14'!F5</f>
        <v>194579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194579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1319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1319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195898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186777</v>
      </c>
      <c r="D5615" s="2" t="str">
        <f t="shared" si="86"/>
        <v>Error?</v>
      </c>
    </row>
    <row r="5616" spans="1:4" x14ac:dyDescent="0.2">
      <c r="A5616" s="10">
        <v>5555</v>
      </c>
      <c r="D5616" s="2" t="str">
        <f t="shared" si="86"/>
        <v>OK</v>
      </c>
    </row>
    <row r="5617" spans="1:4" x14ac:dyDescent="0.2">
      <c r="A5617" s="5">
        <v>5556</v>
      </c>
      <c r="B5617" s="138">
        <f>'Revenues 9-14'!F152</f>
        <v>1837</v>
      </c>
      <c r="D5617" s="2" t="str">
        <f t="shared" si="86"/>
        <v>Error?</v>
      </c>
    </row>
    <row r="5618" spans="1:4" x14ac:dyDescent="0.2">
      <c r="A5618" s="5">
        <v>5557</v>
      </c>
      <c r="B5618" s="138">
        <f>'Revenues 9-14'!F154</f>
        <v>188614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188614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188614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384512</v>
      </c>
      <c r="C5720" s="2" t="s">
        <v>594</v>
      </c>
      <c r="D5720" s="2" t="str">
        <f t="shared" si="88"/>
        <v>Error?</v>
      </c>
    </row>
    <row r="5721" spans="1:4" x14ac:dyDescent="0.2">
      <c r="A5721" s="5">
        <v>5660</v>
      </c>
      <c r="B5721" s="138">
        <f>'Revenues 9-14'!G5</f>
        <v>14529</v>
      </c>
      <c r="D5721" s="2" t="str">
        <f t="shared" si="88"/>
        <v>Error?</v>
      </c>
    </row>
    <row r="5722" spans="1:4" x14ac:dyDescent="0.2">
      <c r="A5722" s="5">
        <v>5661</v>
      </c>
      <c r="B5722" s="138">
        <f>'Revenues 9-14'!G7</f>
        <v>0</v>
      </c>
      <c r="D5722" s="2" t="str">
        <f t="shared" si="88"/>
        <v>Error?</v>
      </c>
    </row>
    <row r="5723" spans="1:4" x14ac:dyDescent="0.2">
      <c r="A5723" s="5">
        <v>5662</v>
      </c>
      <c r="B5723" s="138">
        <f>'Revenues 9-14'!G8</f>
        <v>127742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142271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14358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14358</v>
      </c>
      <c r="C5730" s="2" t="s">
        <v>594</v>
      </c>
      <c r="D5730" s="2" t="str">
        <f t="shared" si="88"/>
        <v>Error?</v>
      </c>
    </row>
    <row r="5731" spans="1:4" x14ac:dyDescent="0.2">
      <c r="A5731" s="5">
        <v>5670</v>
      </c>
      <c r="B5731" s="138">
        <f>'Revenues 9-14'!G65</f>
        <v>816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816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157445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26734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26734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1054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27788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53237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53237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1019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1019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54256</v>
      </c>
      <c r="C6023" s="2" t="s">
        <v>594</v>
      </c>
      <c r="D6023" s="2" t="str">
        <f t="shared" si="93"/>
        <v>Error?</v>
      </c>
    </row>
    <row r="6024" spans="1:5" x14ac:dyDescent="0.2">
      <c r="A6024" s="5">
        <v>5963</v>
      </c>
      <c r="B6024" s="138">
        <f>'Revenues 9-14'!G109</f>
        <v>157445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27788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54256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100578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18945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690.53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4321</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20456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4321</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20456</v>
      </c>
      <c r="D6215" s="2" t="str">
        <f t="shared" si="96"/>
        <v>Error?</v>
      </c>
      <c r="E6215" s="2" t="s">
        <v>199</v>
      </c>
    </row>
    <row r="6216" spans="1:5" x14ac:dyDescent="0.2">
      <c r="A6216">
        <v>6155</v>
      </c>
      <c r="B6216" s="138">
        <f>'Assets-Liab 5-6'!J41</f>
        <v>20456</v>
      </c>
      <c r="D6216" s="2" t="str">
        <f t="shared" si="96"/>
        <v>Error?</v>
      </c>
      <c r="E6216" s="2" t="s">
        <v>199</v>
      </c>
    </row>
    <row r="6217" spans="1:5" x14ac:dyDescent="0.2">
      <c r="A6217">
        <v>6156</v>
      </c>
      <c r="B6217" s="138">
        <f>'Assets-Liab 5-6'!J4</f>
        <v>20456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79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79</v>
      </c>
      <c r="D6263" s="2" t="str">
        <f t="shared" si="96"/>
        <v>Error?</v>
      </c>
      <c r="E6263" s="2" t="s">
        <v>199</v>
      </c>
    </row>
    <row r="6264" spans="1:5" x14ac:dyDescent="0.2">
      <c r="A6264">
        <v>6203</v>
      </c>
      <c r="B6264" s="138">
        <f>'Acct Summary 7-8'!J79</f>
        <v>20377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20456</v>
      </c>
      <c r="D6266" s="2" t="str">
        <f t="shared" si="96"/>
        <v>Error?</v>
      </c>
      <c r="E6266" s="2" t="s">
        <v>199</v>
      </c>
    </row>
    <row r="6267" spans="1:5" x14ac:dyDescent="0.2">
      <c r="A6267">
        <v>6206</v>
      </c>
      <c r="B6267" s="138">
        <f>'Acct Summary 7-8'!C82</f>
        <v>357323</v>
      </c>
      <c r="D6267" s="2" t="str">
        <f t="shared" si="96"/>
        <v>Error?</v>
      </c>
      <c r="E6267" s="2" t="s">
        <v>199</v>
      </c>
    </row>
    <row r="6268" spans="1:5" x14ac:dyDescent="0.2">
      <c r="A6268">
        <v>6207</v>
      </c>
      <c r="B6268" s="138">
        <f>'Acct Summary 7-8'!D82</f>
        <v>-13564</v>
      </c>
      <c r="D6268" s="2" t="str">
        <f t="shared" si="96"/>
        <v>Error?</v>
      </c>
      <c r="E6268" s="2" t="s">
        <v>199</v>
      </c>
    </row>
    <row r="6269" spans="1:5" x14ac:dyDescent="0.2">
      <c r="A6269">
        <v>6208</v>
      </c>
      <c r="B6269" s="138">
        <f>'Acct Summary 7-8'!E82</f>
        <v>-9487</v>
      </c>
      <c r="D6269" s="2" t="str">
        <f t="shared" si="96"/>
        <v>Error?</v>
      </c>
      <c r="E6269" s="2" t="s">
        <v>199</v>
      </c>
    </row>
    <row r="6270" spans="1:5" x14ac:dyDescent="0.2">
      <c r="A6270">
        <v>6209</v>
      </c>
      <c r="B6270" s="138">
        <f>'Acct Summary 7-8'!F82</f>
        <v>115687</v>
      </c>
      <c r="D6270" s="2" t="str">
        <f t="shared" si="96"/>
        <v>Error?</v>
      </c>
      <c r="E6270" s="2" t="s">
        <v>199</v>
      </c>
    </row>
    <row r="6271" spans="1:5" x14ac:dyDescent="0.2">
      <c r="A6271">
        <v>6210</v>
      </c>
      <c r="B6271" s="138">
        <f>'Acct Summary 7-8'!G82</f>
        <v>-38862</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27788</v>
      </c>
      <c r="D6273" s="2" t="str">
        <f t="shared" si="97"/>
        <v>Error?</v>
      </c>
      <c r="E6273" s="2" t="s">
        <v>199</v>
      </c>
    </row>
    <row r="6274" spans="1:5" x14ac:dyDescent="0.2">
      <c r="A6274">
        <v>6213</v>
      </c>
      <c r="B6274" s="138">
        <f>'Acct Summary 7-8'!J82</f>
        <v>79</v>
      </c>
      <c r="D6274" s="2" t="str">
        <f t="shared" si="97"/>
        <v>Error?</v>
      </c>
      <c r="E6274" s="2" t="s">
        <v>199</v>
      </c>
    </row>
    <row r="6275" spans="1:5" x14ac:dyDescent="0.2">
      <c r="A6275">
        <v>6214</v>
      </c>
      <c r="B6275" s="138">
        <f>'Acct Summary 7-8'!K82</f>
        <v>42856</v>
      </c>
      <c r="D6275" s="2" t="str">
        <f t="shared" si="97"/>
        <v>Error?</v>
      </c>
      <c r="E6275" s="2" t="s">
        <v>199</v>
      </c>
    </row>
    <row r="6276" spans="1:5" x14ac:dyDescent="0.2">
      <c r="A6276">
        <v>6215</v>
      </c>
      <c r="B6276" s="138">
        <f>'Acct Summary 7-8'!C83</f>
        <v>0.10179017248235808</v>
      </c>
      <c r="D6276" s="2" t="str">
        <f t="shared" si="97"/>
        <v>Error?</v>
      </c>
      <c r="E6276" s="2" t="s">
        <v>199</v>
      </c>
    </row>
    <row r="6277" spans="1:5" x14ac:dyDescent="0.2">
      <c r="A6277">
        <v>6216</v>
      </c>
      <c r="B6277" s="138">
        <f>'Acct Summary 7-8'!D83</f>
        <v>-4.1928643408696085E-2</v>
      </c>
      <c r="D6277" s="2" t="str">
        <f t="shared" si="97"/>
        <v>Error?</v>
      </c>
      <c r="E6277" s="2" t="s">
        <v>199</v>
      </c>
    </row>
    <row r="6278" spans="1:5" x14ac:dyDescent="0.2">
      <c r="A6278">
        <v>6217</v>
      </c>
      <c r="B6278" s="138">
        <f>'Acct Summary 7-8'!E83</f>
        <v>2.1955565841240454</v>
      </c>
      <c r="D6278" s="2" t="str">
        <f t="shared" si="97"/>
        <v>Error?</v>
      </c>
      <c r="E6278" s="2" t="s">
        <v>199</v>
      </c>
    </row>
    <row r="6279" spans="1:5" x14ac:dyDescent="0.2">
      <c r="A6279">
        <v>6218</v>
      </c>
      <c r="B6279" s="138">
        <f>'Acct Summary 7-8'!F83</f>
        <v>0.3416375046142488</v>
      </c>
      <c r="D6279" s="2" t="str">
        <f t="shared" si="97"/>
        <v>Error?</v>
      </c>
      <c r="E6279" s="2" t="s">
        <v>199</v>
      </c>
    </row>
    <row r="6280" spans="1:5" x14ac:dyDescent="0.2">
      <c r="A6280">
        <v>6219</v>
      </c>
      <c r="B6280" s="138">
        <f>'Acct Summary 7-8'!G83</f>
        <v>-0.33045918367346938</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9.9267319446577906E-2</v>
      </c>
      <c r="D6282" s="2" t="str">
        <f t="shared" si="97"/>
        <v>Error?</v>
      </c>
      <c r="E6282" s="2" t="s">
        <v>199</v>
      </c>
    </row>
    <row r="6283" spans="1:5" x14ac:dyDescent="0.2">
      <c r="A6283">
        <v>6222</v>
      </c>
      <c r="B6283" s="138">
        <f>'Acct Summary 7-8'!J83</f>
        <v>3.8619475948377005E-3</v>
      </c>
      <c r="D6283" s="2" t="str">
        <f t="shared" si="97"/>
        <v>Error?</v>
      </c>
      <c r="E6283" s="2" t="s">
        <v>199</v>
      </c>
    </row>
    <row r="6284" spans="1:5" x14ac:dyDescent="0.2">
      <c r="A6284">
        <v>6223</v>
      </c>
      <c r="B6284" s="138">
        <f>'Acct Summary 7-8'!K83</f>
        <v>0.15744826243336479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82996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107342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16951</v>
      </c>
      <c r="D6933" s="2" t="str">
        <f t="shared" si="107"/>
        <v>Error?</v>
      </c>
    </row>
    <row r="6934" spans="1:4" x14ac:dyDescent="0.2">
      <c r="A6934">
        <v>6873</v>
      </c>
      <c r="B6934" s="138">
        <f>'Expenditures 15-22'!E52</f>
        <v>35130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52081</v>
      </c>
      <c r="D6940" s="2" t="str">
        <f t="shared" si="107"/>
        <v>Error?</v>
      </c>
    </row>
    <row r="6941" spans="1:4" x14ac:dyDescent="0.2">
      <c r="A6941">
        <v>6880</v>
      </c>
      <c r="B6941" s="138">
        <f>'Expenditures 15-22'!L52</f>
        <v>60319</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1195</v>
      </c>
      <c r="D7073" s="2" t="str">
        <f t="shared" si="109"/>
        <v>Error?</v>
      </c>
    </row>
    <row r="7074" spans="1:4" x14ac:dyDescent="0.2">
      <c r="A7074">
        <v>7013</v>
      </c>
      <c r="B7074" s="138">
        <f>'Expenditures 15-22'!K216</f>
        <v>1195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79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24346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536932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42658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309472</v>
      </c>
      <c r="D7797" s="2" t="str">
        <f t="shared" si="127"/>
        <v>Error?</v>
      </c>
      <c r="E7797" s="4" t="s">
        <v>2020</v>
      </c>
    </row>
    <row r="7798" spans="1:5" x14ac:dyDescent="0.2">
      <c r="A7798">
        <v>7737</v>
      </c>
      <c r="B7798" s="138">
        <f>'Contracts Paid in CY 29'!F141</f>
        <v>75000</v>
      </c>
      <c r="D7798" s="2" t="str">
        <f t="shared" si="127"/>
        <v>Error?</v>
      </c>
      <c r="E7798" s="4" t="s">
        <v>2020</v>
      </c>
    </row>
    <row r="7799" spans="1:5" x14ac:dyDescent="0.2">
      <c r="A7799">
        <v>7738</v>
      </c>
      <c r="B7799" s="138">
        <f>'Contracts Paid in CY 29'!G141</f>
        <v>234472</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3" t="s">
        <v>1253</v>
      </c>
      <c r="B2" s="2433"/>
      <c r="C2" s="2433"/>
      <c r="D2" s="2433"/>
      <c r="E2" s="2433"/>
      <c r="F2" s="2433"/>
      <c r="G2" s="2433"/>
      <c r="H2" s="2433"/>
      <c r="I2" s="2433"/>
      <c r="J2" s="2433"/>
      <c r="K2" s="2433"/>
      <c r="L2" s="2433"/>
    </row>
    <row r="3" spans="1:29" ht="13.5" customHeight="1" x14ac:dyDescent="0.2">
      <c r="A3" s="2419" t="s">
        <v>1252</v>
      </c>
      <c r="B3" s="2419"/>
      <c r="C3" s="2419"/>
      <c r="D3" s="2419"/>
      <c r="E3" s="2419"/>
      <c r="F3" s="2419"/>
      <c r="G3" s="2419"/>
      <c r="H3" s="2419"/>
      <c r="I3" s="2419"/>
      <c r="J3" s="2419"/>
      <c r="K3" s="2419"/>
      <c r="L3" s="2419"/>
    </row>
    <row r="4" spans="1:29" ht="13.5" customHeight="1" x14ac:dyDescent="0.2">
      <c r="A4" s="2433" t="s">
        <v>1799</v>
      </c>
      <c r="B4" s="2450"/>
      <c r="C4" s="2450"/>
      <c r="D4" s="2450"/>
      <c r="E4" s="2450"/>
      <c r="F4" s="2450"/>
      <c r="G4" s="2450"/>
      <c r="H4" s="2450"/>
      <c r="I4" s="2450"/>
      <c r="J4" s="2450"/>
      <c r="K4" s="2450"/>
      <c r="L4" s="245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3" t="str">
        <f>COVER!A17</f>
        <v>Prairie Hill CCSD 133</v>
      </c>
      <c r="B7" s="2414"/>
      <c r="C7" s="2414"/>
      <c r="D7" s="2451"/>
      <c r="E7" s="2452">
        <f>COVER!A13</f>
        <v>4101133004</v>
      </c>
      <c r="F7" s="2453"/>
      <c r="G7" s="2420" t="str">
        <f>COVER!T23</f>
        <v>066-004238</v>
      </c>
      <c r="H7" s="2421"/>
      <c r="I7" s="2421"/>
      <c r="J7" s="2421"/>
      <c r="K7" s="2421"/>
      <c r="L7" s="242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3"/>
      <c r="B9" s="2424"/>
      <c r="C9" s="2424"/>
      <c r="D9" s="2424"/>
      <c r="E9" s="2424"/>
      <c r="F9" s="2425"/>
      <c r="G9" s="2426" t="str">
        <f>COVER!T13</f>
        <v xml:space="preserve">BENNING GROUP, LLC </v>
      </c>
      <c r="H9" s="2427"/>
      <c r="I9" s="2427"/>
      <c r="J9" s="2427"/>
      <c r="K9" s="2427"/>
      <c r="L9" s="2428"/>
    </row>
    <row r="10" spans="1:29" ht="13.5" customHeight="1" x14ac:dyDescent="0.2">
      <c r="A10" s="2410" t="str">
        <f>COVER!A38</f>
        <v>CLINT CZIZEK</v>
      </c>
      <c r="B10" s="2411"/>
      <c r="C10" s="2411"/>
      <c r="D10" s="2411"/>
      <c r="E10" s="2411"/>
      <c r="F10" s="2412"/>
      <c r="G10" s="2426" t="str">
        <f>COVER!T17</f>
        <v>50 W. DOUGLAS STREET, SUITE 801</v>
      </c>
      <c r="H10" s="2439"/>
      <c r="I10" s="2439"/>
      <c r="J10" s="2439"/>
      <c r="K10" s="2439"/>
      <c r="L10" s="2440"/>
    </row>
    <row r="11" spans="1:29" ht="13.5" customHeight="1" x14ac:dyDescent="0.2">
      <c r="A11" s="1184" t="s">
        <v>1599</v>
      </c>
      <c r="B11" s="1185"/>
      <c r="C11" s="1186"/>
      <c r="D11" s="1191"/>
      <c r="E11" s="1186"/>
      <c r="F11" s="1190"/>
      <c r="G11" s="2426" t="str">
        <f>COVER!T19</f>
        <v xml:space="preserve">FREEPORT </v>
      </c>
      <c r="H11" s="2439"/>
      <c r="I11" s="2439"/>
      <c r="J11" s="2439"/>
      <c r="K11" s="2439"/>
      <c r="L11" s="2440"/>
    </row>
    <row r="12" spans="1:29" ht="13.5" customHeight="1" x14ac:dyDescent="0.2">
      <c r="A12" s="2444" t="s">
        <v>1598</v>
      </c>
      <c r="B12" s="2445"/>
      <c r="C12" s="2445"/>
      <c r="D12" s="2445"/>
      <c r="E12" s="2445"/>
      <c r="F12" s="2446"/>
      <c r="G12" s="2441"/>
      <c r="H12" s="2442"/>
      <c r="I12" s="2442"/>
      <c r="J12" s="2442"/>
      <c r="K12" s="2442"/>
      <c r="L12" s="2443"/>
    </row>
    <row r="13" spans="1:29" ht="13.5" customHeight="1" x14ac:dyDescent="0.2">
      <c r="A13" s="2426"/>
      <c r="B13" s="2439"/>
      <c r="C13" s="2439"/>
      <c r="D13" s="2439"/>
      <c r="E13" s="2439"/>
      <c r="F13" s="2440"/>
      <c r="G13" s="2434" t="s">
        <v>1600</v>
      </c>
      <c r="H13" s="2435"/>
      <c r="I13" s="2447" t="str">
        <f>COVER!T25</f>
        <v>jblocker@benninggroup.com</v>
      </c>
      <c r="J13" s="2448"/>
      <c r="K13" s="2448"/>
      <c r="L13" s="2449"/>
    </row>
    <row r="14" spans="1:29" ht="13.5" customHeight="1" x14ac:dyDescent="0.2">
      <c r="A14" s="2426" t="str">
        <f>COVER!A19</f>
        <v xml:space="preserve">6605 PRAIRIE HILL ROAD </v>
      </c>
      <c r="B14" s="2439"/>
      <c r="C14" s="2439"/>
      <c r="D14" s="2439"/>
      <c r="E14" s="2439"/>
      <c r="F14" s="2440"/>
      <c r="G14" s="1195" t="s">
        <v>1247</v>
      </c>
      <c r="H14" s="1193"/>
      <c r="I14" s="1193"/>
      <c r="J14" s="1193"/>
      <c r="K14" s="1193"/>
      <c r="L14" s="1194"/>
    </row>
    <row r="15" spans="1:29" ht="13.5" customHeight="1" x14ac:dyDescent="0.2">
      <c r="A15" s="2426" t="str">
        <f>COVER!A21</f>
        <v xml:space="preserve">SOUTH BELOIT </v>
      </c>
      <c r="B15" s="2439"/>
      <c r="C15" s="2439"/>
      <c r="D15" s="2439"/>
      <c r="E15" s="2439"/>
      <c r="F15" s="2440"/>
      <c r="G15" s="2436" t="str">
        <f>COVER!T15</f>
        <v xml:space="preserve">JENNY L. BLOCKER </v>
      </c>
      <c r="H15" s="2437"/>
      <c r="I15" s="2437"/>
      <c r="J15" s="2437"/>
      <c r="K15" s="2437"/>
      <c r="L15" s="2438"/>
    </row>
    <row r="16" spans="1:29" ht="12.2" customHeight="1" x14ac:dyDescent="0.2">
      <c r="A16" s="2416">
        <f>COVER!A25</f>
        <v>61080</v>
      </c>
      <c r="B16" s="2417"/>
      <c r="C16" s="2417"/>
      <c r="D16" s="2417"/>
      <c r="E16" s="2417"/>
      <c r="F16" s="2418"/>
      <c r="G16" s="2429"/>
      <c r="H16" s="2430"/>
      <c r="I16" s="2430"/>
      <c r="J16" s="2430"/>
      <c r="K16" s="2430"/>
      <c r="L16" s="2431"/>
    </row>
    <row r="17" spans="1:13" ht="12.2" customHeight="1" x14ac:dyDescent="0.2">
      <c r="A17" s="2432"/>
      <c r="B17" s="2417"/>
      <c r="C17" s="2417"/>
      <c r="D17" s="2417"/>
      <c r="E17" s="2417"/>
      <c r="F17" s="2418"/>
      <c r="G17" s="1195" t="s">
        <v>1246</v>
      </c>
      <c r="H17" s="1193"/>
      <c r="I17" s="1193"/>
      <c r="J17" s="1193"/>
      <c r="K17" s="1197" t="s">
        <v>1245</v>
      </c>
      <c r="L17" s="1190"/>
      <c r="M17" s="1183"/>
    </row>
    <row r="18" spans="1:13" ht="12.2" customHeight="1" x14ac:dyDescent="0.2">
      <c r="A18" s="2410"/>
      <c r="B18" s="2411"/>
      <c r="C18" s="2411"/>
      <c r="D18" s="2411"/>
      <c r="E18" s="2411"/>
      <c r="F18" s="2412"/>
      <c r="G18" s="2413" t="str">
        <f>COVER!T21</f>
        <v>815/235-3157</v>
      </c>
      <c r="H18" s="2414"/>
      <c r="I18" s="2414"/>
      <c r="J18" s="2414"/>
      <c r="K18" s="2413" t="str">
        <f>COVER!X21</f>
        <v>815/235-3158</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4" t="str">
        <f>'Single Audit Cover'!A7</f>
        <v>Prairie Hill CCSD 133</v>
      </c>
      <c r="B1" s="2450"/>
      <c r="C1" s="2450"/>
      <c r="D1" s="2450"/>
    </row>
    <row r="2" spans="1:11" s="1214" customFormat="1" ht="12.75" x14ac:dyDescent="0.2">
      <c r="A2" s="2455">
        <f>'Single Audit Cover'!E7</f>
        <v>4101133004</v>
      </c>
      <c r="B2" s="2456"/>
      <c r="C2" s="2456"/>
      <c r="D2" s="2456"/>
    </row>
    <row r="3" spans="1:11" s="1214" customFormat="1" ht="12.75" x14ac:dyDescent="0.2">
      <c r="A3" s="2454" t="s">
        <v>1593</v>
      </c>
      <c r="B3" s="2450"/>
      <c r="C3" s="2450"/>
      <c r="D3" s="2450"/>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8" t="str">
        <f>'Single Audit Cover'!A7</f>
        <v>Prairie Hill CCSD 133</v>
      </c>
      <c r="B1" s="2458"/>
      <c r="C1" s="2458"/>
      <c r="D1" s="2458"/>
      <c r="E1" s="2458"/>
    </row>
    <row r="2" spans="1:5" x14ac:dyDescent="0.2">
      <c r="A2" s="2459">
        <f>'Single Audit Cover'!E7</f>
        <v>4101133004</v>
      </c>
      <c r="B2" s="2459"/>
      <c r="C2" s="2459"/>
      <c r="D2" s="2459"/>
      <c r="E2" s="2459"/>
    </row>
    <row r="3" spans="1:5" ht="4.5" customHeight="1" x14ac:dyDescent="0.2"/>
    <row r="4" spans="1:5" x14ac:dyDescent="0.2">
      <c r="A4" s="2458" t="s">
        <v>1307</v>
      </c>
      <c r="B4" s="2458"/>
      <c r="C4" s="2458"/>
      <c r="D4" s="2458"/>
      <c r="E4" s="2458"/>
    </row>
    <row r="5" spans="1:5" x14ac:dyDescent="0.2">
      <c r="A5" s="2461" t="str">
        <f>'Single Audit Cover'!A4</f>
        <v>Year Ending June 30, 2018</v>
      </c>
      <c r="B5" s="2461"/>
      <c r="C5" s="2461"/>
      <c r="D5" s="2461"/>
      <c r="E5" s="2461"/>
    </row>
    <row r="6" spans="1:5" x14ac:dyDescent="0.2">
      <c r="A6" s="2458" t="s">
        <v>1306</v>
      </c>
      <c r="B6" s="2458"/>
      <c r="C6" s="2458"/>
      <c r="D6" s="2458"/>
      <c r="E6" s="2458"/>
    </row>
    <row r="8" spans="1:5" x14ac:dyDescent="0.2">
      <c r="A8" s="1259" t="s">
        <v>1305</v>
      </c>
    </row>
    <row r="10" spans="1:5" x14ac:dyDescent="0.2">
      <c r="A10" s="1260" t="s">
        <v>1304</v>
      </c>
      <c r="B10" s="1261" t="s">
        <v>1303</v>
      </c>
      <c r="C10" s="1261"/>
      <c r="D10" s="1262">
        <f>SUM('Acct Summary 7-8'!C7:K7)</f>
        <v>274412</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18945</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-18253</v>
      </c>
    </row>
    <row r="19" spans="1:4" ht="13.5" thickBot="1" x14ac:dyDescent="0.25">
      <c r="A19" s="1264" t="s">
        <v>1297</v>
      </c>
      <c r="D19" s="1265">
        <f>SUM(D10:D17)</f>
        <v>275104</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0"/>
      <c r="B24" s="2460"/>
      <c r="D24" s="1267"/>
    </row>
    <row r="25" spans="1:4" x14ac:dyDescent="0.2">
      <c r="A25" s="2457"/>
      <c r="B25" s="2457"/>
      <c r="D25" s="1267"/>
    </row>
    <row r="26" spans="1:4" x14ac:dyDescent="0.2">
      <c r="A26" s="2457"/>
      <c r="B26" s="2457"/>
      <c r="D26" s="1267"/>
    </row>
    <row r="27" spans="1:4" x14ac:dyDescent="0.2">
      <c r="A27" s="2457"/>
      <c r="B27" s="2457"/>
      <c r="D27" s="1267"/>
    </row>
    <row r="28" spans="1:4" x14ac:dyDescent="0.2">
      <c r="A28" s="2457"/>
      <c r="B28" s="2457"/>
      <c r="D28" s="1267"/>
    </row>
    <row r="29" spans="1:4" x14ac:dyDescent="0.2">
      <c r="A29" s="2457"/>
      <c r="B29" s="2457"/>
      <c r="D29" s="1267"/>
    </row>
    <row r="30" spans="1:4" x14ac:dyDescent="0.2">
      <c r="A30" s="2457"/>
      <c r="B30" s="2457"/>
      <c r="D30" s="1267"/>
    </row>
    <row r="32" spans="1:4" x14ac:dyDescent="0.2">
      <c r="A32" s="1259" t="s">
        <v>1295</v>
      </c>
      <c r="D32" s="1262">
        <f>SUM(D19:D30)</f>
        <v>275104</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7"/>
      <c r="B40" s="2457"/>
      <c r="D40" s="1267"/>
    </row>
    <row r="41" spans="1:4" x14ac:dyDescent="0.2">
      <c r="A41" s="2457"/>
      <c r="B41" s="2457"/>
      <c r="D41" s="1270"/>
    </row>
    <row r="42" spans="1:4" x14ac:dyDescent="0.2">
      <c r="A42" s="2457"/>
      <c r="B42" s="2457"/>
      <c r="D42" s="1270"/>
    </row>
    <row r="43" spans="1:4" x14ac:dyDescent="0.2">
      <c r="A43" s="2457"/>
      <c r="B43" s="2457"/>
      <c r="D43" s="1270"/>
    </row>
    <row r="44" spans="1:4" x14ac:dyDescent="0.2">
      <c r="A44" s="2457"/>
      <c r="B44" s="2457"/>
      <c r="D44" s="1270"/>
    </row>
    <row r="45" spans="1:4" x14ac:dyDescent="0.2">
      <c r="A45" s="2457"/>
      <c r="B45" s="2457"/>
      <c r="D45" s="1270"/>
    </row>
    <row r="47" spans="1:4" x14ac:dyDescent="0.2">
      <c r="B47" s="1271" t="s">
        <v>1289</v>
      </c>
      <c r="C47" s="1271"/>
      <c r="D47" s="1272">
        <f>SUM(D35:D45)</f>
        <v>0</v>
      </c>
    </row>
    <row r="49" spans="2:4" x14ac:dyDescent="0.2">
      <c r="B49" s="1271" t="s">
        <v>1288</v>
      </c>
      <c r="C49" s="1271"/>
      <c r="D49" s="1272">
        <f>D32-D47</f>
        <v>275104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Prairie Hill CCSD 133</v>
      </c>
      <c r="B1" s="2463"/>
      <c r="C1" s="2463"/>
      <c r="D1" s="2463"/>
      <c r="E1" s="2463"/>
      <c r="F1" s="2463"/>
    </row>
    <row r="2" spans="1:7" ht="13.5" customHeight="1" x14ac:dyDescent="0.2">
      <c r="A2" s="2464">
        <f>'Single Audit Cover'!E7</f>
        <v>4101133004</v>
      </c>
      <c r="B2" s="2464"/>
      <c r="C2" s="2464"/>
      <c r="D2" s="2464"/>
      <c r="E2" s="2464"/>
      <c r="F2" s="2464"/>
      <c r="G2" s="1274"/>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5" t="s">
        <v>1831</v>
      </c>
      <c r="C6" s="317"/>
      <c r="D6" s="317"/>
    </row>
    <row r="7" spans="1:7" ht="60.95" customHeight="1" x14ac:dyDescent="0.2">
      <c r="A7" s="2462" t="s">
        <v>1832</v>
      </c>
      <c r="B7" s="2462"/>
      <c r="C7" s="2462"/>
      <c r="D7" s="2462"/>
      <c r="E7" s="2462"/>
      <c r="F7" s="2462"/>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2" t="s">
        <v>1834</v>
      </c>
      <c r="B13" s="2462"/>
      <c r="C13" s="2462"/>
      <c r="D13" s="2462"/>
      <c r="E13" s="2462"/>
      <c r="F13" s="2462"/>
    </row>
    <row r="14" spans="1:7" ht="9.75" customHeight="1" x14ac:dyDescent="0.2">
      <c r="C14" s="1259"/>
      <c r="D14" s="1259"/>
    </row>
    <row r="15" spans="1:7" ht="13.5" customHeight="1" x14ac:dyDescent="0.2">
      <c r="C15" s="1870" t="s">
        <v>1332</v>
      </c>
      <c r="D15" s="2468" t="s">
        <v>1331</v>
      </c>
      <c r="E15" s="2468"/>
      <c r="F15" s="2468"/>
    </row>
    <row r="16" spans="1:7" ht="13.5" customHeight="1" x14ac:dyDescent="0.2">
      <c r="A16" s="1281"/>
      <c r="B16" s="1275" t="s">
        <v>1330</v>
      </c>
      <c r="C16" s="1870" t="s">
        <v>1329</v>
      </c>
      <c r="D16" s="2469" t="s">
        <v>1670</v>
      </c>
      <c r="E16" s="2469"/>
      <c r="F16" s="2469"/>
    </row>
    <row r="17" spans="1:6" ht="20.45" customHeight="1" x14ac:dyDescent="0.2">
      <c r="A17" s="1282"/>
      <c r="B17" s="1283"/>
      <c r="C17" s="1284"/>
      <c r="D17" s="2467"/>
      <c r="E17" s="2467"/>
      <c r="F17" s="2467"/>
    </row>
    <row r="18" spans="1:6" ht="20.65" customHeight="1" x14ac:dyDescent="0.2">
      <c r="A18" s="1282"/>
      <c r="B18" s="1283"/>
      <c r="C18" s="1284"/>
      <c r="D18" s="2467"/>
      <c r="E18" s="2467"/>
      <c r="F18" s="2467"/>
    </row>
    <row r="19" spans="1:6" ht="20.65" customHeight="1" x14ac:dyDescent="0.2">
      <c r="A19" s="1282"/>
      <c r="B19" s="1283"/>
      <c r="C19" s="1284"/>
      <c r="D19" s="2467"/>
      <c r="E19" s="2467"/>
      <c r="F19" s="2467"/>
    </row>
    <row r="20" spans="1:6" ht="20.65" customHeight="1" x14ac:dyDescent="0.2">
      <c r="A20" s="1282"/>
      <c r="B20" s="1283"/>
      <c r="C20" s="1284"/>
      <c r="D20" s="2467"/>
      <c r="E20" s="2467"/>
      <c r="F20" s="2467"/>
    </row>
    <row r="21" spans="1:6" ht="20.65" customHeight="1" x14ac:dyDescent="0.2">
      <c r="A21" s="1282"/>
      <c r="B21" s="1283"/>
      <c r="C21" s="1284"/>
      <c r="D21" s="2467"/>
      <c r="E21" s="2467"/>
      <c r="F21" s="2467"/>
    </row>
    <row r="22" spans="1:6" ht="20.65" customHeight="1" x14ac:dyDescent="0.2">
      <c r="A22" s="1282"/>
      <c r="B22" s="1283"/>
      <c r="C22" s="1284"/>
      <c r="D22" s="2467"/>
      <c r="E22" s="2467"/>
      <c r="F22" s="2467"/>
    </row>
    <row r="23" spans="1:6" ht="20.65" customHeight="1" x14ac:dyDescent="0.2">
      <c r="A23" s="1282"/>
      <c r="B23" s="1283"/>
      <c r="C23" s="1284"/>
      <c r="D23" s="2467"/>
      <c r="E23" s="2467"/>
      <c r="F23" s="2467"/>
    </row>
    <row r="24" spans="1:6" ht="20.65" customHeight="1" x14ac:dyDescent="0.2">
      <c r="A24" s="1282"/>
      <c r="B24" s="1283"/>
      <c r="C24" s="1284"/>
      <c r="D24" s="2467"/>
      <c r="E24" s="2467"/>
      <c r="F24" s="2467"/>
    </row>
    <row r="25" spans="1:6" ht="20.65" customHeight="1" x14ac:dyDescent="0.2">
      <c r="A25" s="1282"/>
      <c r="B25" s="1283"/>
      <c r="C25" s="1284"/>
      <c r="D25" s="2467"/>
      <c r="E25" s="2467"/>
      <c r="F25" s="2467"/>
    </row>
    <row r="26" spans="1:6" ht="20.65" customHeight="1" x14ac:dyDescent="0.2">
      <c r="A26" s="1282"/>
      <c r="B26" s="1283"/>
      <c r="C26" s="1284"/>
      <c r="D26" s="2467"/>
      <c r="E26" s="2467"/>
      <c r="F26" s="2467"/>
    </row>
    <row r="27" spans="1:6" ht="20.65" customHeight="1" x14ac:dyDescent="0.2">
      <c r="A27" s="1282"/>
      <c r="B27" s="1283"/>
      <c r="C27" s="1284"/>
      <c r="D27" s="2467"/>
      <c r="E27" s="2467"/>
      <c r="F27" s="2467"/>
    </row>
    <row r="28" spans="1:6" ht="20.65" customHeight="1" x14ac:dyDescent="0.2">
      <c r="A28" s="1282"/>
      <c r="B28" s="1283"/>
      <c r="C28" s="1284"/>
      <c r="D28" s="2467"/>
      <c r="E28" s="2467"/>
      <c r="F28" s="2467"/>
    </row>
    <row r="29" spans="1:6" ht="20.65" customHeight="1" x14ac:dyDescent="0.2">
      <c r="A29" s="1282"/>
      <c r="B29" s="1283"/>
      <c r="C29" s="1284"/>
      <c r="D29" s="2467"/>
      <c r="E29" s="2467"/>
      <c r="F29" s="2467"/>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71" t="s">
        <v>1835</v>
      </c>
      <c r="B32" s="2471"/>
      <c r="C32" s="2471"/>
      <c r="D32" s="2471"/>
      <c r="E32" s="2471"/>
      <c r="F32" s="2471"/>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72">
        <f>+C33+C34</f>
        <v>0</v>
      </c>
      <c r="F34" s="2473"/>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4" t="s">
        <v>1672</v>
      </c>
      <c r="C49" s="2474"/>
      <c r="D49" s="2474"/>
      <c r="E49" s="1398"/>
    </row>
    <row r="50" spans="1:5" s="1299" customFormat="1" ht="3.75" customHeight="1" x14ac:dyDescent="0.2">
      <c r="A50" s="1298"/>
      <c r="B50" s="1869"/>
      <c r="C50" s="1869"/>
      <c r="D50" s="1869"/>
      <c r="E50" s="1398"/>
    </row>
    <row r="51" spans="1:5" s="1299" customFormat="1" ht="20.25" customHeight="1" x14ac:dyDescent="0.2">
      <c r="A51" s="1300">
        <v>6</v>
      </c>
      <c r="B51" s="2470" t="s">
        <v>1632</v>
      </c>
      <c r="C51" s="2470"/>
      <c r="D51" s="2470"/>
    </row>
    <row r="52" spans="1:5" ht="14.25" customHeight="1" x14ac:dyDescent="0.2">
      <c r="A52" s="1300"/>
      <c r="B52" s="2470"/>
      <c r="C52" s="2470"/>
      <c r="D52" s="247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9" t="str">
        <f>'Single Audit Cover'!A7</f>
        <v>Prairie Hill CCSD 133</v>
      </c>
      <c r="C1" s="2475"/>
      <c r="D1" s="2475"/>
      <c r="E1" s="2475"/>
      <c r="F1" s="2475"/>
      <c r="G1" s="2475"/>
      <c r="H1" s="2475"/>
      <c r="I1" s="2475"/>
      <c r="J1" s="2475"/>
      <c r="K1" s="2475"/>
      <c r="L1" s="2475"/>
      <c r="M1" s="2475"/>
    </row>
    <row r="2" spans="2:14" ht="15" x14ac:dyDescent="0.2">
      <c r="B2" s="2464">
        <f>'Single Audit Cover'!E7</f>
        <v>4101133004</v>
      </c>
      <c r="C2" s="2464"/>
      <c r="D2" s="2464"/>
      <c r="E2" s="2464"/>
      <c r="F2" s="2464"/>
      <c r="G2" s="2464"/>
      <c r="H2" s="2464"/>
      <c r="I2" s="2464"/>
      <c r="J2" s="2464"/>
      <c r="K2" s="2464"/>
      <c r="L2" s="2464"/>
      <c r="M2" s="2464"/>
      <c r="N2" s="1301"/>
    </row>
    <row r="3" spans="2:14" ht="15" x14ac:dyDescent="0.2">
      <c r="B3" s="2476" t="s">
        <v>1281</v>
      </c>
      <c r="C3" s="2476"/>
      <c r="D3" s="2476"/>
      <c r="E3" s="2476"/>
      <c r="F3" s="2476"/>
      <c r="G3" s="2476"/>
      <c r="H3" s="2476"/>
      <c r="I3" s="2476"/>
      <c r="J3" s="2476"/>
      <c r="K3" s="2476"/>
      <c r="L3" s="2476"/>
      <c r="M3" s="2476"/>
      <c r="N3" s="1301"/>
    </row>
    <row r="4" spans="2:14" ht="15" x14ac:dyDescent="0.2">
      <c r="B4" s="2477" t="str">
        <f>'Single Audit Cover'!A4</f>
        <v>Year Ending June 30, 2018</v>
      </c>
      <c r="C4" s="2477"/>
      <c r="D4" s="2477"/>
      <c r="E4" s="2477"/>
      <c r="F4" s="2477"/>
      <c r="G4" s="2477"/>
      <c r="H4" s="2477"/>
      <c r="I4" s="2477"/>
      <c r="J4" s="2477"/>
      <c r="K4" s="2477"/>
      <c r="L4" s="2477"/>
      <c r="M4" s="2477"/>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1840</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1951</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1841</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1842</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1843</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1844</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11" sqref="A11:H1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1230</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2077</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6" t="s">
        <v>1731</v>
      </c>
      <c r="B35" s="2097"/>
      <c r="C35" s="2097"/>
      <c r="D35" s="2097"/>
      <c r="E35" s="2098"/>
      <c r="F35" s="2098"/>
      <c r="G35" s="2098"/>
      <c r="H35" s="2098"/>
      <c r="I35" s="209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6" t="s">
        <v>331</v>
      </c>
      <c r="B47" s="2099"/>
      <c r="C47" s="2099"/>
      <c r="D47" s="2099"/>
      <c r="E47" s="2100"/>
      <c r="F47" s="2100"/>
      <c r="G47" s="2100"/>
      <c r="H47" s="2100"/>
      <c r="I47" s="210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35370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3"/>
      <c r="C57" s="2104"/>
      <c r="D57" s="2104"/>
      <c r="E57" s="2104"/>
      <c r="F57" s="2104"/>
      <c r="G57" s="2104"/>
      <c r="H57" s="2104"/>
      <c r="I57" s="2104"/>
      <c r="J57" s="2105"/>
    </row>
    <row r="58" spans="1:10" s="181" customFormat="1" x14ac:dyDescent="0.2">
      <c r="A58" s="253"/>
      <c r="B58" s="2106"/>
      <c r="C58" s="2107"/>
      <c r="D58" s="2107"/>
      <c r="E58" s="2107"/>
      <c r="F58" s="2107"/>
      <c r="G58" s="2107"/>
      <c r="H58" s="2107"/>
      <c r="I58" s="2107"/>
      <c r="J58" s="2108"/>
    </row>
    <row r="59" spans="1:10" s="181" customFormat="1" x14ac:dyDescent="0.2">
      <c r="A59" s="253"/>
      <c r="B59" s="2106"/>
      <c r="C59" s="2107"/>
      <c r="D59" s="2107"/>
      <c r="E59" s="2107"/>
      <c r="F59" s="2107"/>
      <c r="G59" s="2107"/>
      <c r="H59" s="2107"/>
      <c r="I59" s="2107"/>
      <c r="J59" s="2108"/>
    </row>
    <row r="60" spans="1:10" s="181" customFormat="1" x14ac:dyDescent="0.2">
      <c r="A60" s="253"/>
      <c r="B60" s="2106"/>
      <c r="C60" s="2107"/>
      <c r="D60" s="2107"/>
      <c r="E60" s="2107"/>
      <c r="F60" s="2107"/>
      <c r="G60" s="2107"/>
      <c r="H60" s="2107"/>
      <c r="I60" s="2107"/>
      <c r="J60" s="2108"/>
    </row>
    <row r="61" spans="1:10" s="181" customFormat="1" x14ac:dyDescent="0.2">
      <c r="A61" s="253"/>
      <c r="B61" s="2106"/>
      <c r="C61" s="2107"/>
      <c r="D61" s="2107"/>
      <c r="E61" s="2107"/>
      <c r="F61" s="2107"/>
      <c r="G61" s="2107"/>
      <c r="H61" s="2107"/>
      <c r="I61" s="2107"/>
      <c r="J61" s="2108"/>
    </row>
    <row r="62" spans="1:10" s="181" customFormat="1" x14ac:dyDescent="0.2">
      <c r="A62" s="253"/>
      <c r="B62" s="2106"/>
      <c r="C62" s="2107"/>
      <c r="D62" s="2107"/>
      <c r="E62" s="2107"/>
      <c r="F62" s="2107"/>
      <c r="G62" s="2107"/>
      <c r="H62" s="2107"/>
      <c r="I62" s="2107"/>
      <c r="J62" s="2108"/>
    </row>
    <row r="63" spans="1:10" s="181" customFormat="1" x14ac:dyDescent="0.2">
      <c r="A63" s="253"/>
      <c r="B63" s="2106"/>
      <c r="C63" s="2107"/>
      <c r="D63" s="2107"/>
      <c r="E63" s="2107"/>
      <c r="F63" s="2107"/>
      <c r="G63" s="2107"/>
      <c r="H63" s="2107"/>
      <c r="I63" s="2107"/>
      <c r="J63" s="2108"/>
    </row>
    <row r="64" spans="1:10" s="181" customFormat="1" x14ac:dyDescent="0.2">
      <c r="A64" s="253"/>
      <c r="B64" s="2106"/>
      <c r="C64" s="2107"/>
      <c r="D64" s="2107"/>
      <c r="E64" s="2107"/>
      <c r="F64" s="2107"/>
      <c r="G64" s="2107"/>
      <c r="H64" s="2107"/>
      <c r="I64" s="2107"/>
      <c r="J64" s="2108"/>
    </row>
    <row r="65" spans="1:10" s="181" customFormat="1" x14ac:dyDescent="0.2">
      <c r="A65" s="253"/>
      <c r="B65" s="2106"/>
      <c r="C65" s="2107"/>
      <c r="D65" s="2107"/>
      <c r="E65" s="2107"/>
      <c r="F65" s="2107"/>
      <c r="G65" s="2107"/>
      <c r="H65" s="2107"/>
      <c r="I65" s="2107"/>
      <c r="J65" s="2108"/>
    </row>
    <row r="66" spans="1:10" s="181" customFormat="1" x14ac:dyDescent="0.2">
      <c r="A66" s="253"/>
      <c r="B66" s="2106"/>
      <c r="C66" s="2107"/>
      <c r="D66" s="2107"/>
      <c r="E66" s="2107"/>
      <c r="F66" s="2107"/>
      <c r="G66" s="2107"/>
      <c r="H66" s="2107"/>
      <c r="I66" s="2107"/>
      <c r="J66" s="2108"/>
    </row>
    <row r="67" spans="1:10" s="181" customFormat="1" ht="9" customHeight="1" x14ac:dyDescent="0.2">
      <c r="A67" s="254"/>
      <c r="B67" s="2109"/>
      <c r="C67" s="2110"/>
      <c r="D67" s="2110"/>
      <c r="E67" s="2110"/>
      <c r="F67" s="2110"/>
      <c r="G67" s="2110"/>
      <c r="H67" s="2110"/>
      <c r="I67" s="2110"/>
      <c r="J67" s="211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6" t="s">
        <v>1390</v>
      </c>
      <c r="B70" s="2099"/>
      <c r="C70" s="2099"/>
      <c r="D70" s="2099"/>
      <c r="E70" s="2100"/>
      <c r="F70" s="2100"/>
      <c r="G70" s="2100"/>
      <c r="H70" s="2100"/>
      <c r="I70" s="210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1" t="s">
        <v>1387</v>
      </c>
      <c r="B83" s="2101"/>
      <c r="C83" s="2101"/>
      <c r="D83" s="210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3"/>
      <c r="C102" s="2084"/>
      <c r="D102" s="2084"/>
      <c r="E102" s="2084"/>
      <c r="F102" s="2084"/>
      <c r="G102" s="2084"/>
      <c r="H102" s="2084"/>
      <c r="I102" s="2085"/>
    </row>
    <row r="103" spans="1:9" s="181" customFormat="1" ht="11.25" customHeight="1" x14ac:dyDescent="0.2">
      <c r="A103" s="316"/>
      <c r="B103" s="2086"/>
      <c r="C103" s="2087"/>
      <c r="D103" s="2087"/>
      <c r="E103" s="2087"/>
      <c r="F103" s="2087"/>
      <c r="G103" s="2087"/>
      <c r="H103" s="2087"/>
      <c r="I103" s="2088"/>
    </row>
    <row r="104" spans="1:9" s="181" customFormat="1" ht="11.25" customHeight="1" x14ac:dyDescent="0.2">
      <c r="A104" s="316"/>
      <c r="B104" s="2086"/>
      <c r="C104" s="2087"/>
      <c r="D104" s="2087"/>
      <c r="E104" s="2087"/>
      <c r="F104" s="2087"/>
      <c r="G104" s="2087"/>
      <c r="H104" s="2087"/>
      <c r="I104" s="2088"/>
    </row>
    <row r="105" spans="1:9" s="181" customFormat="1" x14ac:dyDescent="0.2">
      <c r="A105" s="316"/>
      <c r="B105" s="2086"/>
      <c r="C105" s="2087"/>
      <c r="D105" s="2087"/>
      <c r="E105" s="2087"/>
      <c r="F105" s="2087"/>
      <c r="G105" s="2087"/>
      <c r="H105" s="2087"/>
      <c r="I105" s="2088"/>
    </row>
    <row r="106" spans="1:9" s="181" customFormat="1" ht="11.25" customHeight="1" x14ac:dyDescent="0.2">
      <c r="A106" s="316"/>
      <c r="B106" s="2086"/>
      <c r="C106" s="2087"/>
      <c r="D106" s="2087"/>
      <c r="E106" s="2087"/>
      <c r="F106" s="2087"/>
      <c r="G106" s="2087"/>
      <c r="H106" s="2087"/>
      <c r="I106" s="2088"/>
    </row>
    <row r="107" spans="1:9" s="181" customFormat="1" ht="11.25" customHeight="1" x14ac:dyDescent="0.2">
      <c r="A107" s="316"/>
      <c r="B107" s="2086"/>
      <c r="C107" s="2087"/>
      <c r="D107" s="2087"/>
      <c r="E107" s="2087"/>
      <c r="F107" s="2087"/>
      <c r="G107" s="2087"/>
      <c r="H107" s="2087"/>
      <c r="I107" s="2088"/>
    </row>
    <row r="108" spans="1:9" s="181" customFormat="1" ht="11.25" customHeight="1" x14ac:dyDescent="0.2">
      <c r="A108" s="316"/>
      <c r="B108" s="2086"/>
      <c r="C108" s="2087"/>
      <c r="D108" s="2087"/>
      <c r="E108" s="2087"/>
      <c r="F108" s="2087"/>
      <c r="G108" s="2087"/>
      <c r="H108" s="2087"/>
      <c r="I108" s="2088"/>
    </row>
    <row r="109" spans="1:9" s="181" customFormat="1" ht="11.25" customHeight="1" x14ac:dyDescent="0.2">
      <c r="A109" s="316"/>
      <c r="B109" s="2086"/>
      <c r="C109" s="2087"/>
      <c r="D109" s="2087"/>
      <c r="E109" s="2087"/>
      <c r="F109" s="2087"/>
      <c r="G109" s="2087"/>
      <c r="H109" s="2087"/>
      <c r="I109" s="2088"/>
    </row>
    <row r="110" spans="1:9" s="181" customFormat="1" ht="11.25" customHeight="1" x14ac:dyDescent="0.2">
      <c r="A110" s="316"/>
      <c r="B110" s="2086"/>
      <c r="C110" s="2087"/>
      <c r="D110" s="2087"/>
      <c r="E110" s="2087"/>
      <c r="F110" s="2087"/>
      <c r="G110" s="2087"/>
      <c r="H110" s="2087"/>
      <c r="I110" s="2088"/>
    </row>
    <row r="111" spans="1:9" s="181" customFormat="1" ht="11.25" customHeight="1" x14ac:dyDescent="0.2">
      <c r="A111" s="316"/>
      <c r="B111" s="2086"/>
      <c r="C111" s="2087"/>
      <c r="D111" s="2087"/>
      <c r="E111" s="2087"/>
      <c r="F111" s="2087"/>
      <c r="G111" s="2087"/>
      <c r="H111" s="2087"/>
      <c r="I111" s="2088"/>
    </row>
    <row r="112" spans="1:9" s="181" customFormat="1" ht="11.25" customHeight="1" x14ac:dyDescent="0.2">
      <c r="A112" s="316"/>
      <c r="B112" s="2089"/>
      <c r="C112" s="2090"/>
      <c r="D112" s="2090"/>
      <c r="E112" s="2090"/>
      <c r="F112" s="2090"/>
      <c r="G112" s="2090"/>
      <c r="H112" s="2090"/>
      <c r="I112" s="209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2" t="s">
        <v>2129</v>
      </c>
      <c r="D114" s="209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3" t="s">
        <v>1397</v>
      </c>
      <c r="D117" s="2094"/>
      <c r="E117" s="2095"/>
      <c r="F117" s="2095"/>
      <c r="G117" s="2095"/>
      <c r="H117" s="2095"/>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Prairie Hill CCSD 133</v>
      </c>
      <c r="C1" s="2483"/>
      <c r="D1" s="2483"/>
      <c r="E1" s="2483"/>
      <c r="F1" s="2483"/>
      <c r="G1" s="2483"/>
      <c r="H1" s="2483"/>
      <c r="I1" s="2483"/>
      <c r="J1" s="1421"/>
    </row>
    <row r="2" spans="2:10" s="317" customFormat="1" ht="12.75" customHeight="1" x14ac:dyDescent="0.2">
      <c r="B2" s="2484">
        <f>'Single Audit Cover'!E7</f>
        <v>4101133004</v>
      </c>
      <c r="C2" s="2485"/>
      <c r="D2" s="2485"/>
      <c r="E2" s="2485"/>
      <c r="F2" s="2485"/>
      <c r="G2" s="2485"/>
      <c r="H2" s="2485"/>
      <c r="I2" s="2485"/>
      <c r="J2" s="1421"/>
    </row>
    <row r="3" spans="2:10" s="317" customFormat="1" ht="12.75" customHeight="1" x14ac:dyDescent="0.2">
      <c r="B3" s="2486" t="s">
        <v>1347</v>
      </c>
      <c r="C3" s="2487"/>
      <c r="D3" s="2487"/>
      <c r="E3" s="2487"/>
      <c r="F3" s="2487"/>
      <c r="G3" s="2487"/>
      <c r="H3" s="2487"/>
      <c r="I3" s="2487"/>
      <c r="J3" s="1422"/>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6" t="s">
        <v>1346</v>
      </c>
      <c r="C7" s="2487"/>
      <c r="D7" s="2487"/>
      <c r="E7" s="2487"/>
      <c r="F7" s="2487"/>
      <c r="G7" s="2487"/>
      <c r="H7" s="2487"/>
      <c r="I7" s="2487"/>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8"/>
      <c r="D11" s="2488"/>
      <c r="E11" s="1431"/>
      <c r="F11" s="1431"/>
      <c r="G11" s="1431"/>
    </row>
    <row r="12" spans="2:10" s="317" customFormat="1" ht="11.45" customHeight="1" x14ac:dyDescent="0.2">
      <c r="B12" s="1356"/>
      <c r="C12" s="1432" t="s">
        <v>1517</v>
      </c>
      <c r="D12" s="1433"/>
      <c r="E12" s="1257"/>
    </row>
    <row r="13" spans="2:10" s="317" customFormat="1" ht="6"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9"/>
      <c r="E29" s="2489"/>
      <c r="F29" s="2489"/>
      <c r="G29" s="2489"/>
      <c r="H29" s="2489"/>
      <c r="I29" s="2489"/>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0" t="s">
        <v>1854</v>
      </c>
      <c r="D37" s="2491"/>
      <c r="E37" s="2491"/>
      <c r="F37" s="2492"/>
      <c r="G37" s="2490" t="s">
        <v>1674</v>
      </c>
      <c r="H37" s="2491"/>
      <c r="I37" s="2492"/>
    </row>
    <row r="38" spans="2:9" ht="16.5" customHeight="1" x14ac:dyDescent="0.2">
      <c r="B38" s="1443"/>
      <c r="C38" s="2478"/>
      <c r="D38" s="2479"/>
      <c r="E38" s="2479"/>
      <c r="F38" s="2480"/>
      <c r="G38" s="2493"/>
      <c r="H38" s="2494"/>
      <c r="I38" s="2495"/>
    </row>
    <row r="39" spans="2:9" ht="16.5" customHeight="1" x14ac:dyDescent="0.2">
      <c r="B39" s="1443"/>
      <c r="C39" s="2478"/>
      <c r="D39" s="2479"/>
      <c r="E39" s="2479"/>
      <c r="F39" s="2480"/>
      <c r="G39" s="2481"/>
      <c r="H39" s="2481"/>
      <c r="I39" s="2481"/>
    </row>
    <row r="40" spans="2:9" ht="16.5" customHeight="1" x14ac:dyDescent="0.2">
      <c r="B40" s="1443"/>
      <c r="C40" s="2478"/>
      <c r="D40" s="2479"/>
      <c r="E40" s="2479"/>
      <c r="F40" s="2480"/>
      <c r="G40" s="2481"/>
      <c r="H40" s="2481"/>
      <c r="I40" s="2481"/>
    </row>
    <row r="41" spans="2:9" ht="16.5" customHeight="1" x14ac:dyDescent="0.2">
      <c r="B41" s="1443"/>
      <c r="C41" s="2478"/>
      <c r="D41" s="2479"/>
      <c r="E41" s="2479"/>
      <c r="F41" s="2480"/>
      <c r="G41" s="2481"/>
      <c r="H41" s="2481"/>
      <c r="I41" s="2481"/>
    </row>
    <row r="42" spans="2:9" ht="16.5" customHeight="1" x14ac:dyDescent="0.2">
      <c r="B42" s="1443"/>
      <c r="C42" s="2478"/>
      <c r="D42" s="2479"/>
      <c r="E42" s="2479"/>
      <c r="F42" s="2480"/>
      <c r="G42" s="2481"/>
      <c r="H42" s="2481"/>
      <c r="I42" s="2481"/>
    </row>
    <row r="43" spans="2:9" ht="16.5" customHeight="1" x14ac:dyDescent="0.2">
      <c r="B43" s="1443"/>
      <c r="C43" s="2496" t="s">
        <v>1675</v>
      </c>
      <c r="D43" s="2497"/>
      <c r="E43" s="2497"/>
      <c r="F43" s="2498"/>
      <c r="G43" s="2499">
        <f>SUM(G38:I42)</f>
        <v>0</v>
      </c>
      <c r="H43" s="2499"/>
      <c r="I43" s="2499"/>
    </row>
    <row r="44" spans="2:9" ht="12.75" customHeight="1" x14ac:dyDescent="0.2"/>
    <row r="45" spans="2:9" ht="12.75" customHeight="1" x14ac:dyDescent="0.2">
      <c r="B45" s="1434" t="s">
        <v>1952</v>
      </c>
      <c r="D45" s="2500">
        <v>0</v>
      </c>
      <c r="E45" s="2501"/>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502"/>
      <c r="F49" s="2502"/>
      <c r="G49" s="2502"/>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Prairie Hill CCSD 133</v>
      </c>
      <c r="C1" s="2482"/>
      <c r="D1" s="2482"/>
      <c r="E1" s="2482"/>
      <c r="F1" s="2482"/>
      <c r="G1" s="2482"/>
      <c r="H1" s="2482"/>
      <c r="I1" s="2482"/>
      <c r="J1" s="2482"/>
      <c r="K1" s="2482"/>
      <c r="L1" s="1373"/>
      <c r="M1" s="1373"/>
    </row>
    <row r="2" spans="1:13" ht="12" customHeight="1" x14ac:dyDescent="0.2">
      <c r="B2" s="2484">
        <f>'Single Audit Cover'!E7</f>
        <v>4101133004</v>
      </c>
      <c r="C2" s="2484"/>
      <c r="D2" s="2484"/>
      <c r="E2" s="2484"/>
      <c r="F2" s="2484"/>
      <c r="G2" s="2484"/>
      <c r="H2" s="2484"/>
      <c r="I2" s="2484"/>
      <c r="J2" s="2484"/>
      <c r="K2" s="2484"/>
      <c r="L2" s="1374"/>
      <c r="M2" s="1375"/>
    </row>
    <row r="3" spans="1:13" ht="10.35" customHeight="1" x14ac:dyDescent="0.2">
      <c r="B3" s="2505" t="s">
        <v>1347</v>
      </c>
      <c r="C3" s="2505"/>
      <c r="D3" s="2505"/>
      <c r="E3" s="2505"/>
      <c r="F3" s="2505"/>
      <c r="G3" s="2505"/>
      <c r="H3" s="2505"/>
      <c r="I3" s="2505"/>
      <c r="J3" s="2505"/>
      <c r="K3" s="2505"/>
      <c r="L3" s="1376"/>
      <c r="M3" s="1376"/>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6" t="s">
        <v>1363</v>
      </c>
      <c r="C7" s="2506"/>
      <c r="D7" s="2507"/>
      <c r="E7" s="2507"/>
      <c r="F7" s="2507"/>
      <c r="G7" s="2507"/>
      <c r="H7" s="2507"/>
      <c r="I7" s="2507"/>
      <c r="J7" s="2507"/>
      <c r="K7" s="2507"/>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4"/>
      <c r="C14" s="2504"/>
      <c r="D14" s="2504"/>
      <c r="E14" s="2504"/>
      <c r="F14" s="2504"/>
      <c r="G14" s="2504"/>
      <c r="H14" s="2504"/>
      <c r="I14" s="2504"/>
      <c r="J14" s="2504"/>
      <c r="K14" s="2504"/>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4"/>
      <c r="C17" s="2504"/>
      <c r="D17" s="2504"/>
      <c r="E17" s="2504"/>
      <c r="F17" s="2504"/>
      <c r="G17" s="2504"/>
      <c r="H17" s="2504"/>
      <c r="I17" s="2504"/>
      <c r="J17" s="2504"/>
      <c r="K17" s="2504"/>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8"/>
      <c r="C20" s="2508"/>
      <c r="D20" s="2504"/>
      <c r="E20" s="2504"/>
      <c r="F20" s="2504"/>
      <c r="G20" s="2504"/>
      <c r="H20" s="2504"/>
      <c r="I20" s="2504"/>
      <c r="J20" s="2504"/>
      <c r="K20" s="2504"/>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4"/>
      <c r="C23" s="2504"/>
      <c r="D23" s="2504"/>
      <c r="E23" s="2504"/>
      <c r="F23" s="2504"/>
      <c r="G23" s="2504"/>
      <c r="H23" s="2504"/>
      <c r="I23" s="2504"/>
      <c r="J23" s="2504"/>
      <c r="K23" s="2504"/>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4"/>
      <c r="C26" s="2504"/>
      <c r="D26" s="2504"/>
      <c r="E26" s="2504"/>
      <c r="F26" s="2504"/>
      <c r="G26" s="2504"/>
      <c r="H26" s="2504"/>
      <c r="I26" s="2504"/>
      <c r="J26" s="2504"/>
      <c r="K26" s="2504"/>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3"/>
      <c r="C29" s="2503"/>
      <c r="D29" s="2504"/>
      <c r="E29" s="2504"/>
      <c r="F29" s="2504"/>
      <c r="G29" s="2504"/>
      <c r="H29" s="2504"/>
      <c r="I29" s="2504"/>
      <c r="J29" s="2504"/>
      <c r="K29" s="2504"/>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3"/>
      <c r="C32" s="2503"/>
      <c r="D32" s="2504"/>
      <c r="E32" s="2504"/>
      <c r="F32" s="2504"/>
      <c r="G32" s="2504"/>
      <c r="H32" s="2504"/>
      <c r="I32" s="2504"/>
      <c r="J32" s="2504"/>
      <c r="K32" s="2504"/>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Prairie Hill CCSD 133</v>
      </c>
      <c r="C1" s="2509"/>
      <c r="D1" s="2509"/>
      <c r="E1" s="2509"/>
      <c r="F1" s="2509"/>
      <c r="G1" s="2509"/>
      <c r="H1" s="2509"/>
      <c r="I1" s="2509"/>
      <c r="J1" s="2509"/>
      <c r="K1" s="2509"/>
      <c r="L1" s="1464"/>
    </row>
    <row r="2" spans="1:12" ht="12.75" customHeight="1" x14ac:dyDescent="0.2">
      <c r="B2" s="2510">
        <f>'Single Audit Cover'!E7</f>
        <v>4101133004</v>
      </c>
      <c r="C2" s="2510"/>
      <c r="D2" s="2510"/>
      <c r="E2" s="2510"/>
      <c r="F2" s="2510"/>
      <c r="G2" s="2510"/>
      <c r="H2" s="2510"/>
      <c r="I2" s="2510"/>
      <c r="J2" s="2510"/>
      <c r="K2" s="2510"/>
      <c r="L2" s="1465"/>
    </row>
    <row r="3" spans="1:12" ht="12.75" customHeight="1" x14ac:dyDescent="0.2">
      <c r="B3" s="2505" t="s">
        <v>1347</v>
      </c>
      <c r="C3" s="2505"/>
      <c r="D3" s="2505"/>
      <c r="E3" s="2505"/>
      <c r="F3" s="2505"/>
      <c r="G3" s="2505"/>
      <c r="H3" s="2505"/>
      <c r="I3" s="2505"/>
      <c r="J3" s="2505"/>
      <c r="K3" s="2505"/>
      <c r="L3" s="1376"/>
    </row>
    <row r="4" spans="1:12" ht="12.75" customHeight="1" x14ac:dyDescent="0.2">
      <c r="B4" s="2505" t="str">
        <f>'Single Audit Cover'!A4</f>
        <v>Year Ending June 30, 2018</v>
      </c>
      <c r="C4" s="2505"/>
      <c r="D4" s="2505"/>
      <c r="E4" s="2505"/>
      <c r="F4" s="2505"/>
      <c r="G4" s="2505"/>
      <c r="H4" s="2505"/>
      <c r="I4" s="2505"/>
      <c r="J4" s="2505"/>
      <c r="K4" s="2505"/>
      <c r="L4" s="1376"/>
    </row>
    <row r="5" spans="1:12" ht="5.25" customHeight="1" x14ac:dyDescent="0.2">
      <c r="B5" s="1259" t="s">
        <v>1231</v>
      </c>
      <c r="C5" s="1259"/>
      <c r="L5" s="322"/>
    </row>
    <row r="6" spans="1:12" ht="30.75" customHeight="1" x14ac:dyDescent="0.2">
      <c r="A6" s="322"/>
      <c r="B6" s="2511" t="s">
        <v>1375</v>
      </c>
      <c r="C6" s="2511"/>
      <c r="D6" s="2511"/>
      <c r="E6" s="2511"/>
      <c r="F6" s="2511"/>
      <c r="G6" s="2511"/>
      <c r="H6" s="2511"/>
      <c r="I6" s="2511"/>
      <c r="J6" s="2511"/>
      <c r="K6" s="2511"/>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9"/>
      <c r="G12" s="2489"/>
      <c r="H12" s="2489"/>
      <c r="I12" s="2489"/>
      <c r="J12" s="2489"/>
      <c r="K12" s="2489"/>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2"/>
      <c r="E14" s="2512"/>
      <c r="F14" s="2512"/>
      <c r="H14" s="1474" t="s">
        <v>1370</v>
      </c>
      <c r="I14" s="2513"/>
      <c r="J14" s="2513"/>
      <c r="K14" s="2513"/>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3"/>
      <c r="E16" s="2513"/>
      <c r="F16" s="2513"/>
      <c r="G16" s="2513"/>
      <c r="H16" s="2513"/>
      <c r="I16" s="2513"/>
      <c r="J16" s="2513"/>
      <c r="K16" s="2513"/>
      <c r="L16" s="322"/>
    </row>
    <row r="17" spans="2:12" ht="13.5" customHeight="1" x14ac:dyDescent="0.2">
      <c r="B17" s="1386" t="s">
        <v>1368</v>
      </c>
      <c r="C17" s="1386"/>
      <c r="D17" s="2514"/>
      <c r="E17" s="2514"/>
      <c r="F17" s="2514"/>
      <c r="G17" s="2514"/>
      <c r="H17" s="2514"/>
      <c r="I17" s="2514"/>
      <c r="J17" s="2514"/>
      <c r="K17" s="2514"/>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4"/>
      <c r="C20" s="2504"/>
      <c r="D20" s="2504"/>
      <c r="E20" s="2504"/>
      <c r="F20" s="2504"/>
      <c r="G20" s="2504"/>
      <c r="H20" s="2504"/>
      <c r="I20" s="2504"/>
      <c r="J20" s="2504"/>
      <c r="K20" s="2504"/>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4"/>
      <c r="C23" s="2504"/>
      <c r="D23" s="2504"/>
      <c r="E23" s="2504"/>
      <c r="F23" s="2504"/>
      <c r="G23" s="2504"/>
      <c r="H23" s="2504"/>
      <c r="I23" s="2504"/>
      <c r="J23" s="2504"/>
      <c r="K23" s="2504"/>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4"/>
      <c r="C26" s="2504"/>
      <c r="D26" s="2504"/>
      <c r="E26" s="2504"/>
      <c r="F26" s="2504"/>
      <c r="G26" s="2504"/>
      <c r="H26" s="2504"/>
      <c r="I26" s="2504"/>
      <c r="J26" s="2504"/>
      <c r="K26" s="2504"/>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4"/>
      <c r="C29" s="2504"/>
      <c r="D29" s="2504"/>
      <c r="E29" s="2504"/>
      <c r="F29" s="2504"/>
      <c r="G29" s="2504"/>
      <c r="H29" s="2504"/>
      <c r="I29" s="2504"/>
      <c r="J29" s="2504"/>
      <c r="K29" s="2504"/>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4"/>
      <c r="C32" s="2504"/>
      <c r="D32" s="2504"/>
      <c r="E32" s="2504"/>
      <c r="F32" s="2504"/>
      <c r="G32" s="2504"/>
      <c r="H32" s="2504"/>
      <c r="I32" s="2504"/>
      <c r="J32" s="2504"/>
      <c r="K32" s="2504"/>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4"/>
      <c r="C35" s="2504"/>
      <c r="D35" s="2504"/>
      <c r="E35" s="2504"/>
      <c r="F35" s="2504"/>
      <c r="G35" s="2504"/>
      <c r="H35" s="2504"/>
      <c r="I35" s="2504"/>
      <c r="J35" s="2504"/>
      <c r="K35" s="2504"/>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4"/>
      <c r="C38" s="2504"/>
      <c r="D38" s="2504"/>
      <c r="E38" s="2504"/>
      <c r="F38" s="2504"/>
      <c r="G38" s="2504"/>
      <c r="H38" s="2504"/>
      <c r="I38" s="2504"/>
      <c r="J38" s="2504"/>
      <c r="K38" s="2504"/>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4"/>
      <c r="C41" s="2504"/>
      <c r="D41" s="2504"/>
      <c r="E41" s="2504"/>
      <c r="F41" s="2504"/>
      <c r="G41" s="2504"/>
      <c r="H41" s="2504"/>
      <c r="I41" s="2504"/>
      <c r="J41" s="2504"/>
      <c r="K41" s="2504"/>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2" t="str">
        <f>'Single Audit Cover'!A7</f>
        <v>Prairie Hill CCSD 133</v>
      </c>
      <c r="C1" s="2482"/>
      <c r="D1" s="2482"/>
      <c r="E1" s="1490"/>
    </row>
    <row r="2" spans="2:5" s="1281" customFormat="1" ht="12.75" customHeight="1" x14ac:dyDescent="0.2">
      <c r="B2" s="2484">
        <f>'Single Audit Cover'!E7</f>
        <v>4101133004</v>
      </c>
      <c r="C2" s="2484"/>
      <c r="D2" s="2484"/>
      <c r="E2" s="1491"/>
    </row>
    <row r="3" spans="2:5" ht="12.75" customHeight="1" x14ac:dyDescent="0.2">
      <c r="B3" s="2505" t="s">
        <v>1869</v>
      </c>
      <c r="C3" s="2505"/>
      <c r="D3" s="2505"/>
      <c r="E3" s="1273"/>
    </row>
    <row r="4" spans="2:5" s="1281" customFormat="1" ht="12.75" customHeight="1" x14ac:dyDescent="0.2">
      <c r="B4" s="2515" t="str">
        <f>'Single Audit Cover'!A4</f>
        <v>Year Ending June 30, 2018</v>
      </c>
      <c r="C4" s="2515"/>
      <c r="D4" s="2515"/>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2" t="s">
        <v>404</v>
      </c>
      <c r="B1" s="2112"/>
      <c r="C1" s="2112"/>
      <c r="D1" s="2112"/>
      <c r="E1" s="2112"/>
      <c r="F1" s="2112"/>
      <c r="G1" s="2112"/>
      <c r="H1" s="2112"/>
      <c r="I1" s="2112"/>
      <c r="J1" s="2112"/>
      <c r="K1" s="2112"/>
      <c r="L1" s="2112"/>
      <c r="M1" s="211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119930635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2.5825000000000001E-2</v>
      </c>
      <c r="E10" s="356" t="s">
        <v>1062</v>
      </c>
      <c r="F10" s="355">
        <v>3.9199999999999999E-3</v>
      </c>
      <c r="G10" s="356" t="s">
        <v>1062</v>
      </c>
      <c r="H10" s="355">
        <v>1.6360000000000001E-3</v>
      </c>
      <c r="I10" s="356" t="s">
        <v>1063</v>
      </c>
      <c r="J10" s="1753">
        <f>ROUND(D10+F10+H10,5)</f>
        <v>3.1379999999999998E-2</v>
      </c>
      <c r="K10" s="222"/>
      <c r="L10" s="355">
        <v>2.2599999999999999E-4</v>
      </c>
      <c r="M10" s="222"/>
    </row>
    <row r="11" spans="1:14" ht="7.5" customHeight="1" x14ac:dyDescent="0.2">
      <c r="B11" s="222"/>
      <c r="C11" s="222"/>
      <c r="D11" s="2122" t="str">
        <f>IF(SUM(J10)&lt;=0.0999999,"","Enter the Tax Rates by moving the decimal two places to the left.")</f>
        <v/>
      </c>
      <c r="E11" s="2123"/>
      <c r="F11" s="2123"/>
      <c r="G11" s="2123"/>
      <c r="H11" s="2123"/>
      <c r="I11" s="2123"/>
      <c r="J11" s="212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6775925</v>
      </c>
      <c r="E16" s="356"/>
      <c r="F16" s="1754">
        <f>SUM('Acct Summary 7-8'!C17,'Acct Summary 7-8'!D17,'Acct Summary 7-8'!F17)</f>
        <v>6288691</v>
      </c>
      <c r="G16" s="356"/>
      <c r="H16" s="1754">
        <f>SUM(D16-F16)</f>
        <v>487234</v>
      </c>
      <c r="I16" s="222"/>
      <c r="J16" s="1754">
        <f>SUM('Acct Summary 7-8'!C81,'Acct Summary 7-8'!D81,'Acct Summary 7-8'!F81,'Acct Summary 7-8'!I81)</f>
        <v>4452446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8275213.8150000004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9745000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3"/>
      <c r="C54" s="2114"/>
      <c r="D54" s="2114"/>
      <c r="E54" s="2114"/>
      <c r="F54" s="2114"/>
      <c r="G54" s="2114"/>
      <c r="H54" s="2114"/>
      <c r="I54" s="2114"/>
      <c r="J54" s="2114"/>
      <c r="K54" s="2114"/>
      <c r="L54" s="2115"/>
      <c r="M54" s="380"/>
    </row>
    <row r="55" spans="1:13" ht="12.75" customHeight="1" x14ac:dyDescent="0.2">
      <c r="B55" s="2116"/>
      <c r="C55" s="2117"/>
      <c r="D55" s="2117"/>
      <c r="E55" s="2117"/>
      <c r="F55" s="2117"/>
      <c r="G55" s="2117"/>
      <c r="H55" s="2117"/>
      <c r="I55" s="2117"/>
      <c r="J55" s="2117"/>
      <c r="K55" s="2117"/>
      <c r="L55" s="2118"/>
      <c r="M55" s="380"/>
    </row>
    <row r="56" spans="1:13" ht="12.75" customHeight="1" x14ac:dyDescent="0.2">
      <c r="B56" s="2116"/>
      <c r="C56" s="2117"/>
      <c r="D56" s="2117"/>
      <c r="E56" s="2117"/>
      <c r="F56" s="2117"/>
      <c r="G56" s="2117"/>
      <c r="H56" s="2117"/>
      <c r="I56" s="2117"/>
      <c r="J56" s="2117"/>
      <c r="K56" s="2117"/>
      <c r="L56" s="2118"/>
      <c r="M56" s="222"/>
    </row>
    <row r="57" spans="1:13" ht="12.75" customHeight="1" x14ac:dyDescent="0.2">
      <c r="B57" s="2116"/>
      <c r="C57" s="2117"/>
      <c r="D57" s="2117"/>
      <c r="E57" s="2117"/>
      <c r="F57" s="2117"/>
      <c r="G57" s="2117"/>
      <c r="H57" s="2117"/>
      <c r="I57" s="2117"/>
      <c r="J57" s="2117"/>
      <c r="K57" s="2117"/>
      <c r="L57" s="2118"/>
      <c r="M57" s="222"/>
    </row>
    <row r="58" spans="1:13" x14ac:dyDescent="0.2">
      <c r="B58" s="2119"/>
      <c r="C58" s="2120"/>
      <c r="D58" s="2120"/>
      <c r="E58" s="2120"/>
      <c r="F58" s="2120"/>
      <c r="G58" s="2120"/>
      <c r="H58" s="2120"/>
      <c r="I58" s="2120"/>
      <c r="J58" s="2120"/>
      <c r="K58" s="2120"/>
      <c r="L58" s="212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4"/>
      <c r="D61" s="212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11" sqref="A11:H1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7"/>
      <c r="B1" s="2128"/>
      <c r="C1" s="2128"/>
      <c r="D1" s="384"/>
      <c r="E1" s="384"/>
      <c r="F1" s="384"/>
      <c r="G1" s="384"/>
      <c r="H1" s="384"/>
      <c r="I1" s="384"/>
      <c r="J1" s="384"/>
      <c r="K1" s="384"/>
      <c r="L1" s="384"/>
      <c r="M1" s="384"/>
      <c r="N1" s="384"/>
      <c r="O1" s="2127"/>
      <c r="P1" s="2128"/>
      <c r="Q1" s="2128"/>
    </row>
    <row r="2" spans="1:18" ht="15" x14ac:dyDescent="0.2">
      <c r="A2" s="2131" t="s">
        <v>577</v>
      </c>
      <c r="B2" s="2131"/>
      <c r="C2" s="2131"/>
      <c r="D2" s="2131"/>
      <c r="E2" s="2131"/>
      <c r="F2" s="2131"/>
      <c r="G2" s="2131"/>
      <c r="H2" s="2131"/>
      <c r="I2" s="2131"/>
      <c r="J2" s="2131"/>
      <c r="K2" s="2131"/>
      <c r="L2" s="2131"/>
      <c r="M2" s="2131"/>
      <c r="N2" s="2131"/>
      <c r="O2" s="2131"/>
      <c r="P2" s="2131"/>
      <c r="Q2" s="2131"/>
      <c r="R2" s="2131"/>
    </row>
    <row r="3" spans="1:18" ht="12.75" x14ac:dyDescent="0.2">
      <c r="A3" s="2132" t="s">
        <v>1480</v>
      </c>
      <c r="B3" s="2132"/>
      <c r="C3" s="2132"/>
      <c r="D3" s="2132"/>
      <c r="E3" s="2132"/>
      <c r="F3" s="2132"/>
      <c r="G3" s="2132"/>
      <c r="H3" s="2132"/>
      <c r="I3" s="2132"/>
      <c r="J3" s="2132"/>
      <c r="K3" s="2132"/>
      <c r="L3" s="2132"/>
      <c r="M3" s="2132"/>
      <c r="N3" s="2132"/>
      <c r="O3" s="2132"/>
      <c r="P3" s="2132"/>
      <c r="Q3" s="2132"/>
      <c r="R3" s="2132"/>
    </row>
    <row r="4" spans="1:18" x14ac:dyDescent="0.2">
      <c r="A4" s="2133" t="s">
        <v>1635</v>
      </c>
      <c r="B4" s="2133"/>
      <c r="C4" s="2133"/>
      <c r="D4" s="2133"/>
      <c r="E4" s="2133"/>
      <c r="F4" s="2133"/>
      <c r="G4" s="2133"/>
      <c r="H4" s="2133"/>
      <c r="I4" s="2133"/>
      <c r="J4" s="2133"/>
      <c r="K4" s="2133"/>
      <c r="L4" s="2133"/>
      <c r="M4" s="2133"/>
      <c r="N4" s="2133"/>
      <c r="O4" s="2133"/>
      <c r="P4" s="2133"/>
      <c r="Q4" s="2133"/>
      <c r="R4" s="213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Prairie Hill CCSD 133</v>
      </c>
      <c r="E7" s="391"/>
      <c r="G7" s="252"/>
      <c r="H7" s="387"/>
      <c r="I7" s="387"/>
      <c r="J7" s="387"/>
      <c r="K7" s="387"/>
      <c r="L7" s="329"/>
      <c r="M7" s="329"/>
      <c r="N7" s="329"/>
      <c r="O7" s="329"/>
      <c r="P7" s="329"/>
    </row>
    <row r="8" spans="1:18" ht="12.75" x14ac:dyDescent="0.2">
      <c r="A8" s="329"/>
      <c r="B8" s="329"/>
      <c r="C8" s="389" t="s">
        <v>1187</v>
      </c>
      <c r="D8" s="392">
        <f>COVER!A13</f>
        <v>4101133004</v>
      </c>
      <c r="E8" s="393"/>
      <c r="G8" s="329"/>
      <c r="H8" s="329"/>
      <c r="I8" s="329"/>
      <c r="J8" s="329"/>
      <c r="K8" s="329"/>
      <c r="L8" s="329"/>
      <c r="M8" s="329"/>
      <c r="N8" s="329"/>
      <c r="O8" s="329"/>
      <c r="P8" s="329"/>
    </row>
    <row r="9" spans="1:18" ht="12.75" x14ac:dyDescent="0.2">
      <c r="A9" s="329"/>
      <c r="B9" s="329"/>
      <c r="C9" s="389" t="s">
        <v>737</v>
      </c>
      <c r="D9" s="394" t="str">
        <f>COVER!A15</f>
        <v>WINNEBAGO/BOONE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4452446</v>
      </c>
      <c r="I12" s="404"/>
      <c r="J12" s="404"/>
      <c r="K12" s="405">
        <f>TRUNC((H12/H13*100000),5)/100000</f>
        <v>0.65709788700000005</v>
      </c>
      <c r="L12" s="406"/>
      <c r="M12" s="360" t="s">
        <v>1206</v>
      </c>
      <c r="N12" s="360"/>
      <c r="O12" s="407">
        <v>0.35</v>
      </c>
      <c r="P12" s="218"/>
      <c r="Q12" s="218"/>
    </row>
    <row r="13" spans="1:18" s="408" customFormat="1" ht="12.75" x14ac:dyDescent="0.2">
      <c r="A13" s="218"/>
      <c r="B13" s="401"/>
      <c r="C13" s="2129" t="s">
        <v>1391</v>
      </c>
      <c r="D13" s="2130"/>
      <c r="E13" s="218"/>
      <c r="F13" s="409" t="s">
        <v>826</v>
      </c>
      <c r="G13" s="402"/>
      <c r="H13" s="403">
        <f>SUM('Acct Summary 7-8'!C8+'Acct Summary 7-8'!D8+'Acct Summary 7-8'!F8+'Acct Summary 7-8'!I8)+H14</f>
        <v>6775925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6288691</v>
      </c>
      <c r="I17" s="404"/>
      <c r="J17" s="416"/>
      <c r="K17" s="405">
        <f>TRUNC((H17/H18*100000),5)/100000</f>
        <v>0.92809335990000008</v>
      </c>
      <c r="L17" s="406"/>
      <c r="M17" s="417" t="s">
        <v>1233</v>
      </c>
      <c r="O17" s="418" t="str">
        <f>IF(AND(O16="2", J20 &gt; 2),"1",IF(AND(O16 = "1", J20 &gt; 2),"2",IF(AND(O16="1", J20 &gt;1),"1","0")))</f>
        <v>0</v>
      </c>
      <c r="P17" s="218"/>
    </row>
    <row r="18" spans="1:18" s="408" customFormat="1" ht="11.25" x14ac:dyDescent="0.2">
      <c r="A18" s="218"/>
      <c r="B18" s="401"/>
      <c r="C18" s="2129" t="s">
        <v>1384</v>
      </c>
      <c r="D18" s="2130"/>
      <c r="E18" s="218"/>
      <c r="F18" s="419" t="s">
        <v>827</v>
      </c>
      <c r="G18" s="402"/>
      <c r="H18" s="403">
        <f>SUM('Acct Summary 7-8'!C8+'Acct Summary 7-8'!D8+'Acct Summary 7-8'!F8+'Acct Summary 7-8'!I8)+H19</f>
        <v>6775925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6" t="s">
        <v>1479</v>
      </c>
      <c r="D24" s="2126"/>
      <c r="E24" s="218"/>
      <c r="F24" s="218" t="s">
        <v>465</v>
      </c>
      <c r="G24" s="402"/>
      <c r="H24" s="403">
        <f>SUM('Assets-Liab 5-6'!C4+'Assets-Liab 5-6'!D4+'Assets-Liab 5-6'!F4+'Assets-Liab 5-6'!I4+'Assets-Liab 5-6'!C5+'Assets-Liab 5-6'!D5+'Assets-Liab 5-6'!F5+'Assets-Liab 5-6'!I5)</f>
        <v>4448125</v>
      </c>
      <c r="I24" s="422"/>
      <c r="J24" s="422"/>
      <c r="K24" s="423">
        <f>TRUNC(((H24/H25*100000)/100000),2)</f>
        <v>254.63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17468.58611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3198909.82736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9745000</v>
      </c>
      <c r="I32" s="420"/>
      <c r="J32" s="420"/>
      <c r="K32" s="423">
        <f>TRUNC(100-((((H32/H33*100))*100)/100),2)</f>
        <v>-17.760000000000002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8275213.8150000004</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24" activePane="bottomLeft" state="frozen"/>
      <selection activeCell="A11" sqref="A11:H11"/>
      <selection pane="bottomLeft" activeCell="A11" sqref="A11:H1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6" t="s">
        <v>1030</v>
      </c>
      <c r="B3" s="2137"/>
      <c r="C3" s="1580"/>
      <c r="D3" s="1581"/>
      <c r="E3" s="1581"/>
      <c r="F3" s="1581"/>
      <c r="G3" s="1581"/>
      <c r="H3" s="1581"/>
      <c r="I3" s="1581"/>
      <c r="J3" s="1581"/>
      <c r="K3" s="1581"/>
      <c r="L3" s="1581"/>
      <c r="M3" s="1582"/>
      <c r="N3" s="1583"/>
    </row>
    <row r="4" spans="1:14" ht="13.5" customHeight="1" x14ac:dyDescent="0.2">
      <c r="A4" s="463" t="s">
        <v>1750</v>
      </c>
      <c r="B4" s="464"/>
      <c r="C4" s="465">
        <v>3506067</v>
      </c>
      <c r="D4" s="466">
        <v>323502</v>
      </c>
      <c r="E4" s="466"/>
      <c r="F4" s="466">
        <v>338625</v>
      </c>
      <c r="G4" s="466">
        <v>117600</v>
      </c>
      <c r="H4" s="466">
        <v>80</v>
      </c>
      <c r="I4" s="466">
        <v>279931</v>
      </c>
      <c r="J4" s="467">
        <v>20456</v>
      </c>
      <c r="K4" s="466">
        <v>272191</v>
      </c>
      <c r="L4" s="466">
        <v>54628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4321</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3510388</v>
      </c>
      <c r="D13" s="1758">
        <f t="shared" ref="D13:L13" si="0">SUM(D4:D12)</f>
        <v>323502</v>
      </c>
      <c r="E13" s="1758">
        <f t="shared" si="0"/>
        <v>0</v>
      </c>
      <c r="F13" s="1758">
        <f t="shared" si="0"/>
        <v>338625</v>
      </c>
      <c r="G13" s="1758">
        <f t="shared" si="0"/>
        <v>117600</v>
      </c>
      <c r="H13" s="1758">
        <f t="shared" si="0"/>
        <v>80</v>
      </c>
      <c r="I13" s="1758">
        <f t="shared" si="0"/>
        <v>279931</v>
      </c>
      <c r="J13" s="1758">
        <f t="shared" si="0"/>
        <v>20456</v>
      </c>
      <c r="K13" s="1758">
        <f t="shared" si="0"/>
        <v>272191</v>
      </c>
      <c r="L13" s="1758">
        <f t="shared" si="0"/>
        <v>54628</v>
      </c>
      <c r="M13" s="468"/>
      <c r="N13" s="469"/>
    </row>
    <row r="14" spans="1:14" ht="18" customHeight="1" thickTop="1" x14ac:dyDescent="0.2">
      <c r="A14" s="2138" t="s">
        <v>149</v>
      </c>
      <c r="B14" s="2139"/>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18235</v>
      </c>
      <c r="N16" s="484"/>
    </row>
    <row r="17" spans="1:14" s="485" customFormat="1" ht="12.75" customHeight="1" x14ac:dyDescent="0.2">
      <c r="A17" s="482" t="s">
        <v>1470</v>
      </c>
      <c r="B17" s="483">
        <v>230</v>
      </c>
      <c r="C17" s="477"/>
      <c r="D17" s="477"/>
      <c r="E17" s="477"/>
      <c r="F17" s="477"/>
      <c r="G17" s="477"/>
      <c r="H17" s="477"/>
      <c r="I17" s="477"/>
      <c r="J17" s="477"/>
      <c r="K17" s="477"/>
      <c r="L17" s="477"/>
      <c r="M17" s="467">
        <v>19080012</v>
      </c>
      <c r="N17" s="484"/>
    </row>
    <row r="18" spans="1:14" s="485" customFormat="1" ht="12.75" customHeight="1" x14ac:dyDescent="0.2">
      <c r="A18" s="482" t="s">
        <v>1471</v>
      </c>
      <c r="B18" s="483">
        <v>240</v>
      </c>
      <c r="C18" s="477"/>
      <c r="D18" s="477"/>
      <c r="E18" s="477"/>
      <c r="F18" s="477"/>
      <c r="G18" s="477"/>
      <c r="H18" s="477"/>
      <c r="I18" s="477"/>
      <c r="J18" s="477"/>
      <c r="K18" s="477"/>
      <c r="L18" s="477"/>
      <c r="M18" s="467">
        <v>931292</v>
      </c>
      <c r="N18" s="484"/>
    </row>
    <row r="19" spans="1:14" s="485" customFormat="1" ht="12.75" customHeight="1" x14ac:dyDescent="0.2">
      <c r="A19" s="482" t="s">
        <v>1472</v>
      </c>
      <c r="B19" s="483">
        <v>250</v>
      </c>
      <c r="C19" s="477"/>
      <c r="D19" s="477"/>
      <c r="E19" s="477"/>
      <c r="F19" s="477"/>
      <c r="G19" s="477"/>
      <c r="H19" s="477"/>
      <c r="I19" s="477"/>
      <c r="J19" s="477"/>
      <c r="K19" s="477"/>
      <c r="L19" s="477"/>
      <c r="M19" s="467">
        <v>1129547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9745000</v>
      </c>
    </row>
    <row r="23" spans="1:14" ht="13.5" customHeight="1" thickBot="1" x14ac:dyDescent="0.25">
      <c r="A23" s="1757" t="s">
        <v>664</v>
      </c>
      <c r="B23" s="1762"/>
      <c r="C23" s="468"/>
      <c r="D23" s="468"/>
      <c r="E23" s="468"/>
      <c r="F23" s="468"/>
      <c r="G23" s="468"/>
      <c r="H23" s="468"/>
      <c r="I23" s="468"/>
      <c r="J23" s="468"/>
      <c r="K23" s="468"/>
      <c r="L23" s="468"/>
      <c r="M23" s="1709">
        <f>SUM(M15:M22)</f>
        <v>21159086</v>
      </c>
      <c r="N23" s="1709">
        <f>SUM(N21:N22)</f>
        <v>9745000</v>
      </c>
    </row>
    <row r="24" spans="1:14" ht="18" customHeight="1" thickTop="1" x14ac:dyDescent="0.2">
      <c r="A24" s="2140" t="s">
        <v>619</v>
      </c>
      <c r="B24" s="2141"/>
      <c r="C24" s="1589"/>
      <c r="D24" s="1586"/>
      <c r="E24" s="1586"/>
      <c r="F24" s="1586"/>
      <c r="G24" s="1586"/>
      <c r="H24" s="1586"/>
      <c r="I24" s="1586"/>
      <c r="J24" s="1586"/>
      <c r="K24" s="1586"/>
      <c r="L24" s="1586"/>
      <c r="M24" s="1585"/>
      <c r="N24" s="1590"/>
    </row>
    <row r="25" spans="1:14" x14ac:dyDescent="0.2">
      <c r="A25" s="473" t="s">
        <v>666</v>
      </c>
      <c r="B25" s="470">
        <v>410</v>
      </c>
      <c r="C25" s="478"/>
      <c r="D25" s="478"/>
      <c r="E25" s="478">
        <v>4321</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54628</v>
      </c>
      <c r="M33" s="468"/>
      <c r="N33" s="469"/>
    </row>
    <row r="34" spans="1:14" ht="13.5" customHeight="1" thickBot="1" x14ac:dyDescent="0.25">
      <c r="A34" s="1759" t="s">
        <v>675</v>
      </c>
      <c r="B34" s="1760"/>
      <c r="C34" s="1761">
        <f>SUM(C25:C33)</f>
        <v>0</v>
      </c>
      <c r="D34" s="1761">
        <f t="shared" ref="D34:K34" si="1">SUM(D25:D33)</f>
        <v>0</v>
      </c>
      <c r="E34" s="1761">
        <f t="shared" si="1"/>
        <v>4321</v>
      </c>
      <c r="F34" s="1761">
        <f t="shared" si="1"/>
        <v>0</v>
      </c>
      <c r="G34" s="1761">
        <f t="shared" si="1"/>
        <v>0</v>
      </c>
      <c r="H34" s="1761">
        <f t="shared" si="1"/>
        <v>0</v>
      </c>
      <c r="I34" s="1761">
        <f t="shared" si="1"/>
        <v>0</v>
      </c>
      <c r="J34" s="1761">
        <f t="shared" si="1"/>
        <v>0</v>
      </c>
      <c r="K34" s="1761">
        <f t="shared" si="1"/>
        <v>0</v>
      </c>
      <c r="L34" s="1742">
        <f>SUM(L33)</f>
        <v>54628</v>
      </c>
      <c r="M34" s="468"/>
      <c r="N34" s="480"/>
    </row>
    <row r="35" spans="1:14" ht="18" customHeight="1" thickTop="1" x14ac:dyDescent="0.2">
      <c r="A35" s="2142" t="s">
        <v>550</v>
      </c>
      <c r="B35" s="2143"/>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9745000</v>
      </c>
    </row>
    <row r="37" spans="1:14" ht="13.5" thickBot="1" x14ac:dyDescent="0.25">
      <c r="A37" s="1757" t="s">
        <v>674</v>
      </c>
      <c r="B37" s="1762"/>
      <c r="C37" s="477"/>
      <c r="D37" s="477"/>
      <c r="E37" s="477"/>
      <c r="F37" s="477"/>
      <c r="G37" s="477"/>
      <c r="H37" s="477"/>
      <c r="I37" s="477"/>
      <c r="J37" s="477"/>
      <c r="K37" s="477"/>
      <c r="L37" s="480"/>
      <c r="M37" s="468"/>
      <c r="N37" s="1709">
        <f>SUM(N36:N36)</f>
        <v>9745000</v>
      </c>
    </row>
    <row r="38" spans="1:14" s="329" customFormat="1" ht="13.5" customHeight="1" thickTop="1" x14ac:dyDescent="0.2">
      <c r="A38" s="496" t="s">
        <v>440</v>
      </c>
      <c r="B38" s="483">
        <v>714</v>
      </c>
      <c r="C38" s="466"/>
      <c r="D38" s="466"/>
      <c r="E38" s="466"/>
      <c r="F38" s="466"/>
      <c r="G38" s="466">
        <v>45068</v>
      </c>
      <c r="H38" s="466"/>
      <c r="I38" s="466"/>
      <c r="J38" s="467"/>
      <c r="K38" s="466"/>
      <c r="L38" s="481"/>
      <c r="M38" s="497"/>
      <c r="N38" s="497"/>
    </row>
    <row r="39" spans="1:14" s="329" customFormat="1" ht="13.5" customHeight="1" x14ac:dyDescent="0.2">
      <c r="A39" s="496" t="s">
        <v>360</v>
      </c>
      <c r="B39" s="483">
        <v>730</v>
      </c>
      <c r="C39" s="466">
        <v>3510388</v>
      </c>
      <c r="D39" s="466">
        <v>323502</v>
      </c>
      <c r="E39" s="466">
        <v>-4321</v>
      </c>
      <c r="F39" s="466">
        <v>338625</v>
      </c>
      <c r="G39" s="466">
        <v>72532</v>
      </c>
      <c r="H39" s="466">
        <v>80</v>
      </c>
      <c r="I39" s="466">
        <v>279931</v>
      </c>
      <c r="J39" s="467">
        <v>20456</v>
      </c>
      <c r="K39" s="466">
        <v>272191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21159086</v>
      </c>
      <c r="N40" s="497"/>
    </row>
    <row r="41" spans="1:14" ht="13.5" customHeight="1" thickBot="1" x14ac:dyDescent="0.25">
      <c r="A41" s="1757" t="s">
        <v>676</v>
      </c>
      <c r="B41" s="1727"/>
      <c r="C41" s="1709">
        <f>(SUM(C34,C37,C38,C39))</f>
        <v>3510388</v>
      </c>
      <c r="D41" s="1709">
        <f t="shared" ref="D41:L41" si="2">SUM(D34,D37,D38:D39)</f>
        <v>323502</v>
      </c>
      <c r="E41" s="1709">
        <f t="shared" si="2"/>
        <v>0</v>
      </c>
      <c r="F41" s="1709">
        <f t="shared" si="2"/>
        <v>338625</v>
      </c>
      <c r="G41" s="1709">
        <f t="shared" si="2"/>
        <v>117600</v>
      </c>
      <c r="H41" s="1709">
        <f t="shared" si="2"/>
        <v>80</v>
      </c>
      <c r="I41" s="1709">
        <f t="shared" si="2"/>
        <v>279931</v>
      </c>
      <c r="J41" s="1709">
        <f t="shared" si="2"/>
        <v>20456</v>
      </c>
      <c r="K41" s="1709">
        <f t="shared" si="2"/>
        <v>272191</v>
      </c>
      <c r="L41" s="1709">
        <f t="shared" si="2"/>
        <v>54628</v>
      </c>
      <c r="M41" s="1709">
        <f>SUM(M40)</f>
        <v>21159086</v>
      </c>
      <c r="N41" s="1709">
        <f>SUM(N37)</f>
        <v>9745000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A11" sqref="A11:H11"/>
      <selection pane="bottomLeft" activeCell="A11" sqref="A11:H1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4" t="s">
        <v>1237</v>
      </c>
      <c r="B3" s="2165"/>
      <c r="C3" s="1594"/>
      <c r="D3" s="1595"/>
      <c r="E3" s="1595"/>
      <c r="F3" s="1595"/>
      <c r="G3" s="1595"/>
      <c r="H3" s="1595"/>
      <c r="I3" s="1595"/>
      <c r="J3" s="1595"/>
      <c r="K3" s="1596"/>
      <c r="L3" s="506"/>
    </row>
    <row r="4" spans="1:13" ht="15.75" customHeight="1" x14ac:dyDescent="0.2">
      <c r="A4" s="1953" t="s">
        <v>1579</v>
      </c>
      <c r="B4" s="1954">
        <v>1000</v>
      </c>
      <c r="C4" s="1763">
        <f>'Revenues 9-14'!C109</f>
        <v>3456965</v>
      </c>
      <c r="D4" s="1763">
        <f>'Revenues 9-14'!D109</f>
        <v>393203</v>
      </c>
      <c r="E4" s="1763">
        <f>'Revenues 9-14'!E109</f>
        <v>1202457</v>
      </c>
      <c r="F4" s="1763">
        <f>'Revenues 9-14'!F109</f>
        <v>195898</v>
      </c>
      <c r="G4" s="1763">
        <f>'Revenues 9-14'!G109</f>
        <v>157445</v>
      </c>
      <c r="H4" s="1763">
        <f>'Revenues 9-14'!H109</f>
        <v>0</v>
      </c>
      <c r="I4" s="1763">
        <f>'Revenues 9-14'!I109</f>
        <v>27788</v>
      </c>
      <c r="J4" s="1763">
        <f>'Revenues 9-14'!J109</f>
        <v>79</v>
      </c>
      <c r="K4" s="1763">
        <f>'Revenues 9-14'!K109</f>
        <v>54256</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2138241</v>
      </c>
      <c r="D6" s="1764">
        <f>'Revenues 9-14'!D173</f>
        <v>100804</v>
      </c>
      <c r="E6" s="1764">
        <f>'Revenues 9-14'!E173</f>
        <v>0</v>
      </c>
      <c r="F6" s="1764">
        <f>'Revenues 9-14'!F173</f>
        <v>188614</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274412</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5869618</v>
      </c>
      <c r="D8" s="1709">
        <f t="shared" ref="D8:K8" si="0">SUM(D4:D7)</f>
        <v>494007</v>
      </c>
      <c r="E8" s="1709">
        <f t="shared" si="0"/>
        <v>1202457</v>
      </c>
      <c r="F8" s="1709">
        <f t="shared" si="0"/>
        <v>384512</v>
      </c>
      <c r="G8" s="1709">
        <f t="shared" si="0"/>
        <v>157445</v>
      </c>
      <c r="H8" s="1709">
        <f t="shared" si="0"/>
        <v>0</v>
      </c>
      <c r="I8" s="1709">
        <f t="shared" si="0"/>
        <v>27788</v>
      </c>
      <c r="J8" s="1709">
        <f t="shared" si="0"/>
        <v>79</v>
      </c>
      <c r="K8" s="1709">
        <f t="shared" si="0"/>
        <v>54256</v>
      </c>
      <c r="L8" s="347"/>
    </row>
    <row r="9" spans="1:13" ht="15.75" thickTop="1" x14ac:dyDescent="0.2">
      <c r="A9" s="514" t="s">
        <v>1752</v>
      </c>
      <c r="B9" s="515">
        <v>3998</v>
      </c>
      <c r="C9" s="481">
        <v>403989</v>
      </c>
      <c r="D9" s="516"/>
      <c r="E9" s="481"/>
      <c r="F9" s="481"/>
      <c r="G9" s="517"/>
      <c r="H9" s="481"/>
      <c r="I9" s="509" t="s">
        <v>1231</v>
      </c>
      <c r="J9" s="478"/>
      <c r="K9" s="481"/>
      <c r="L9" s="347"/>
    </row>
    <row r="10" spans="1:13" s="519" customFormat="1" ht="13.5" thickBot="1" x14ac:dyDescent="0.25">
      <c r="A10" s="1757" t="s">
        <v>1235</v>
      </c>
      <c r="B10" s="1730"/>
      <c r="C10" s="1709">
        <f>SUM(C8:C9)</f>
        <v>6273607</v>
      </c>
      <c r="D10" s="1709">
        <f t="shared" ref="D10:K10" si="1">SUM(D8:D9)</f>
        <v>494007</v>
      </c>
      <c r="E10" s="1709">
        <f t="shared" si="1"/>
        <v>1202457</v>
      </c>
      <c r="F10" s="1709">
        <f t="shared" si="1"/>
        <v>384512</v>
      </c>
      <c r="G10" s="1709">
        <f t="shared" si="1"/>
        <v>157445</v>
      </c>
      <c r="H10" s="1709">
        <f t="shared" si="1"/>
        <v>0</v>
      </c>
      <c r="I10" s="1709">
        <f t="shared" si="1"/>
        <v>27788</v>
      </c>
      <c r="J10" s="1709">
        <f t="shared" si="1"/>
        <v>79</v>
      </c>
      <c r="K10" s="1709">
        <f t="shared" si="1"/>
        <v>54256</v>
      </c>
      <c r="L10" s="518"/>
    </row>
    <row r="11" spans="1:13" s="519" customFormat="1" ht="16.7" customHeight="1" thickTop="1" x14ac:dyDescent="0.2">
      <c r="A11" s="2138" t="s">
        <v>1238</v>
      </c>
      <c r="B11" s="2139"/>
      <c r="C11" s="1591"/>
      <c r="D11" s="1592"/>
      <c r="E11" s="1592"/>
      <c r="F11" s="1592"/>
      <c r="G11" s="1592"/>
      <c r="H11" s="1592"/>
      <c r="I11" s="1592"/>
      <c r="J11" s="1592"/>
      <c r="K11" s="1593"/>
      <c r="L11" s="518"/>
    </row>
    <row r="12" spans="1:13" ht="15.75" customHeight="1" x14ac:dyDescent="0.2">
      <c r="A12" s="1597" t="s">
        <v>476</v>
      </c>
      <c r="B12" s="1599">
        <v>1000</v>
      </c>
      <c r="C12" s="1763">
        <f>'Expenditures 15-22'!K33</f>
        <v>4089446</v>
      </c>
      <c r="D12" s="520" t="s">
        <v>1231</v>
      </c>
      <c r="E12" s="468" t="s">
        <v>1231</v>
      </c>
      <c r="F12" s="468" t="s">
        <v>1231</v>
      </c>
      <c r="G12" s="1763">
        <f>'Expenditures 15-22'!K229</f>
        <v>100681</v>
      </c>
      <c r="H12" s="521"/>
      <c r="I12" s="468" t="s">
        <v>1231</v>
      </c>
      <c r="J12" s="468" t="s">
        <v>1231</v>
      </c>
      <c r="K12" s="521" t="s">
        <v>1231</v>
      </c>
      <c r="L12" s="347"/>
    </row>
    <row r="13" spans="1:13" ht="15.75" customHeight="1" x14ac:dyDescent="0.2">
      <c r="A13" s="1597" t="s">
        <v>477</v>
      </c>
      <c r="B13" s="1599">
        <v>2000</v>
      </c>
      <c r="C13" s="1764">
        <f>'Expenditures 15-22'!K74</f>
        <v>1286407</v>
      </c>
      <c r="D13" s="1764">
        <f>'Expenditures 15-22'!K129</f>
        <v>507571</v>
      </c>
      <c r="E13" s="469" t="s">
        <v>1231</v>
      </c>
      <c r="F13" s="1764">
        <f>'Expenditures 15-22'!K184</f>
        <v>268825</v>
      </c>
      <c r="G13" s="1764">
        <f>'Expenditures 15-22'!K279</f>
        <v>95626</v>
      </c>
      <c r="H13" s="1764">
        <f>'Expenditures 15-22'!K303</f>
        <v>0</v>
      </c>
      <c r="I13" s="468" t="s">
        <v>1231</v>
      </c>
      <c r="J13" s="1764">
        <f>'Expenditures 15-22'!K330</f>
        <v>0</v>
      </c>
      <c r="K13" s="1768">
        <f>'Expenditures 15-22'!K352</f>
        <v>11400</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136442</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1211944</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5512295</v>
      </c>
      <c r="D17" s="1709">
        <f t="shared" si="2"/>
        <v>507571</v>
      </c>
      <c r="E17" s="1709">
        <f t="shared" si="2"/>
        <v>1211944</v>
      </c>
      <c r="F17" s="1709">
        <f t="shared" si="2"/>
        <v>268825</v>
      </c>
      <c r="G17" s="1709">
        <f t="shared" si="2"/>
        <v>196307</v>
      </c>
      <c r="H17" s="1709">
        <f t="shared" si="2"/>
        <v>0</v>
      </c>
      <c r="I17" s="468"/>
      <c r="J17" s="1709">
        <f>SUM(J12:J16)</f>
        <v>0</v>
      </c>
      <c r="K17" s="1709">
        <f>SUM(K12:K16)</f>
        <v>11400</v>
      </c>
      <c r="L17" s="347"/>
    </row>
    <row r="18" spans="1:12" ht="15" customHeight="1" thickTop="1" x14ac:dyDescent="0.2">
      <c r="A18" s="1765" t="s">
        <v>1753</v>
      </c>
      <c r="B18" s="1766">
        <v>4180</v>
      </c>
      <c r="C18" s="1763">
        <f t="shared" ref="C18:H18" si="3">C9</f>
        <v>403989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5916284</v>
      </c>
      <c r="D19" s="1709">
        <f t="shared" si="4"/>
        <v>507571</v>
      </c>
      <c r="E19" s="1709">
        <f t="shared" si="4"/>
        <v>1211944</v>
      </c>
      <c r="F19" s="1709">
        <f t="shared" si="4"/>
        <v>268825</v>
      </c>
      <c r="G19" s="1709">
        <f t="shared" si="4"/>
        <v>196307</v>
      </c>
      <c r="H19" s="1709">
        <f t="shared" si="4"/>
        <v>0</v>
      </c>
      <c r="I19" s="468"/>
      <c r="J19" s="1709">
        <f>SUM(J17:J18)</f>
        <v>0</v>
      </c>
      <c r="K19" s="1709">
        <f>SUM(K17:K18)</f>
        <v>11400</v>
      </c>
      <c r="L19" s="347"/>
    </row>
    <row r="20" spans="1:12" ht="16.5" thickTop="1" thickBot="1" x14ac:dyDescent="0.25">
      <c r="A20" s="2154" t="s">
        <v>1754</v>
      </c>
      <c r="B20" s="2155"/>
      <c r="C20" s="1767">
        <f>C8-C17</f>
        <v>357323</v>
      </c>
      <c r="D20" s="1767">
        <f t="shared" ref="D20:K20" si="5">D8-D17</f>
        <v>-13564</v>
      </c>
      <c r="E20" s="1767">
        <f t="shared" si="5"/>
        <v>-9487</v>
      </c>
      <c r="F20" s="1767">
        <f t="shared" si="5"/>
        <v>115687</v>
      </c>
      <c r="G20" s="1767">
        <f t="shared" si="5"/>
        <v>-38862</v>
      </c>
      <c r="H20" s="1767">
        <f t="shared" si="5"/>
        <v>0</v>
      </c>
      <c r="I20" s="1767">
        <f t="shared" si="5"/>
        <v>27788</v>
      </c>
      <c r="J20" s="1767">
        <f t="shared" si="5"/>
        <v>79</v>
      </c>
      <c r="K20" s="1767">
        <f t="shared" si="5"/>
        <v>42856</v>
      </c>
      <c r="L20" s="347"/>
    </row>
    <row r="21" spans="1:12" ht="16.7" customHeight="1" thickTop="1" x14ac:dyDescent="0.2">
      <c r="A21" s="2166" t="s">
        <v>616</v>
      </c>
      <c r="B21" s="2167"/>
      <c r="C21" s="1591"/>
      <c r="D21" s="1592"/>
      <c r="E21" s="1592"/>
      <c r="F21" s="1592"/>
      <c r="G21" s="1592"/>
      <c r="H21" s="1592"/>
      <c r="I21" s="1592"/>
      <c r="J21" s="1592"/>
      <c r="K21" s="1593"/>
      <c r="L21" s="524"/>
    </row>
    <row r="22" spans="1:12" ht="15.75" customHeight="1" collapsed="1" x14ac:dyDescent="0.2">
      <c r="A22" s="2162" t="s">
        <v>617</v>
      </c>
      <c r="B22" s="2163"/>
      <c r="C22" s="477"/>
      <c r="D22" s="477"/>
      <c r="E22" s="477"/>
      <c r="F22" s="477"/>
      <c r="G22" s="477"/>
      <c r="H22" s="477"/>
      <c r="I22" s="477"/>
      <c r="J22" s="477"/>
      <c r="K22" s="477"/>
      <c r="L22" s="347"/>
    </row>
    <row r="23" spans="1:12" s="485" customFormat="1" ht="15.75" customHeight="1" x14ac:dyDescent="0.2">
      <c r="A23" s="2158" t="s">
        <v>311</v>
      </c>
      <c r="B23" s="2159"/>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60" t="s">
        <v>1038</v>
      </c>
      <c r="B32" s="2161"/>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8" t="s">
        <v>392</v>
      </c>
      <c r="B44" s="2169"/>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2" t="s">
        <v>110</v>
      </c>
      <c r="B45" s="2163"/>
      <c r="C45" s="528"/>
      <c r="D45" s="528"/>
      <c r="E45" s="528"/>
      <c r="F45" s="528"/>
      <c r="G45" s="528"/>
      <c r="H45" s="528"/>
      <c r="I45" s="528"/>
      <c r="J45" s="528"/>
      <c r="K45" s="528"/>
      <c r="L45" s="347"/>
    </row>
    <row r="46" spans="1:12" s="485" customFormat="1" ht="15.75" customHeight="1" x14ac:dyDescent="0.2">
      <c r="A46" s="2170" t="s">
        <v>111</v>
      </c>
      <c r="B46" s="2171"/>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4" t="s">
        <v>460</v>
      </c>
      <c r="B76" s="2145"/>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6" t="s">
        <v>1239</v>
      </c>
      <c r="B77" s="2147"/>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50" t="s">
        <v>618</v>
      </c>
      <c r="B78" s="2151"/>
      <c r="C78" s="1723">
        <f t="shared" ref="C78:K78" si="9">C20+C77</f>
        <v>357323</v>
      </c>
      <c r="D78" s="1723">
        <f t="shared" si="9"/>
        <v>-13564</v>
      </c>
      <c r="E78" s="1723">
        <f t="shared" si="9"/>
        <v>-9487</v>
      </c>
      <c r="F78" s="1723">
        <f t="shared" si="9"/>
        <v>115687</v>
      </c>
      <c r="G78" s="1723">
        <f t="shared" si="9"/>
        <v>-38862</v>
      </c>
      <c r="H78" s="1723">
        <f t="shared" si="9"/>
        <v>0</v>
      </c>
      <c r="I78" s="1723">
        <f t="shared" si="9"/>
        <v>27788</v>
      </c>
      <c r="J78" s="1723">
        <f t="shared" si="9"/>
        <v>79</v>
      </c>
      <c r="K78" s="1723">
        <f t="shared" si="9"/>
        <v>42856</v>
      </c>
      <c r="L78" s="533"/>
    </row>
    <row r="79" spans="1:12" ht="13.5" thickTop="1" x14ac:dyDescent="0.2">
      <c r="A79" s="1515" t="s">
        <v>2073</v>
      </c>
      <c r="B79" s="534"/>
      <c r="C79" s="478">
        <v>3153065</v>
      </c>
      <c r="D79" s="535">
        <v>337066</v>
      </c>
      <c r="E79" s="535">
        <v>5166</v>
      </c>
      <c r="F79" s="535">
        <v>222938</v>
      </c>
      <c r="G79" s="535">
        <v>156462</v>
      </c>
      <c r="H79" s="535">
        <v>80</v>
      </c>
      <c r="I79" s="535">
        <v>252143</v>
      </c>
      <c r="J79" s="535">
        <v>20377</v>
      </c>
      <c r="K79" s="535">
        <v>229335</v>
      </c>
      <c r="L79" s="347"/>
    </row>
    <row r="80" spans="1:12" x14ac:dyDescent="0.2">
      <c r="A80" s="2156" t="s">
        <v>1898</v>
      </c>
      <c r="B80" s="2157"/>
      <c r="C80" s="467"/>
      <c r="D80" s="467"/>
      <c r="E80" s="467"/>
      <c r="F80" s="467"/>
      <c r="G80" s="467"/>
      <c r="H80" s="467"/>
      <c r="I80" s="467"/>
      <c r="J80" s="467"/>
      <c r="K80" s="467"/>
      <c r="L80" s="347"/>
    </row>
    <row r="81" spans="1:12" ht="13.5" thickBot="1" x14ac:dyDescent="0.25">
      <c r="A81" s="2148" t="s">
        <v>2074</v>
      </c>
      <c r="B81" s="2149"/>
      <c r="C81" s="1709">
        <f>(SUM(C78:C80))</f>
        <v>3510388</v>
      </c>
      <c r="D81" s="1709">
        <f>SUM(D78:D80)</f>
        <v>323502</v>
      </c>
      <c r="E81" s="1709">
        <f t="shared" ref="E81:K81" si="10">SUM(E78:E80)</f>
        <v>-4321</v>
      </c>
      <c r="F81" s="1709">
        <f t="shared" si="10"/>
        <v>338625</v>
      </c>
      <c r="G81" s="1709">
        <f t="shared" si="10"/>
        <v>117600</v>
      </c>
      <c r="H81" s="1709">
        <f t="shared" si="10"/>
        <v>80</v>
      </c>
      <c r="I81" s="1709">
        <f t="shared" si="10"/>
        <v>279931</v>
      </c>
      <c r="J81" s="1709">
        <f t="shared" si="10"/>
        <v>20456</v>
      </c>
      <c r="K81" s="1709">
        <f t="shared" si="10"/>
        <v>272191</v>
      </c>
      <c r="L81" s="347"/>
    </row>
    <row r="82" spans="1:12" ht="0.75" customHeight="1" thickTop="1" thickBot="1" x14ac:dyDescent="0.25">
      <c r="A82" s="536" t="s">
        <v>361</v>
      </c>
      <c r="B82" s="537"/>
      <c r="C82" s="538">
        <f>(C81-C79)</f>
        <v>357323</v>
      </c>
      <c r="D82" s="538">
        <f t="shared" ref="D82:K82" si="11">(D81-D79)</f>
        <v>-13564</v>
      </c>
      <c r="E82" s="538">
        <f t="shared" si="11"/>
        <v>-9487</v>
      </c>
      <c r="F82" s="538">
        <f t="shared" si="11"/>
        <v>115687</v>
      </c>
      <c r="G82" s="538">
        <f t="shared" si="11"/>
        <v>-38862</v>
      </c>
      <c r="H82" s="538">
        <f t="shared" si="11"/>
        <v>0</v>
      </c>
      <c r="I82" s="538">
        <f t="shared" si="11"/>
        <v>27788</v>
      </c>
      <c r="J82" s="538">
        <f t="shared" si="11"/>
        <v>79</v>
      </c>
      <c r="K82" s="538">
        <f t="shared" si="11"/>
        <v>42856</v>
      </c>
    </row>
    <row r="83" spans="1:12" ht="14.25" hidden="1" thickTop="1" thickBot="1" x14ac:dyDescent="0.25">
      <c r="A83" s="539" t="s">
        <v>362</v>
      </c>
      <c r="B83" s="464"/>
      <c r="C83" s="540">
        <f>C82/C81</f>
        <v>0.10179017248235808</v>
      </c>
      <c r="D83" s="540">
        <f t="shared" ref="D83:K83" si="12">D82/D81</f>
        <v>-4.1928643408696085E-2</v>
      </c>
      <c r="E83" s="540">
        <f t="shared" si="12"/>
        <v>2.1955565841240454</v>
      </c>
      <c r="F83" s="540">
        <f t="shared" si="12"/>
        <v>0.3416375046142488</v>
      </c>
      <c r="G83" s="540">
        <f t="shared" si="12"/>
        <v>-0.33045918367346938</v>
      </c>
      <c r="H83" s="540">
        <f t="shared" si="12"/>
        <v>0</v>
      </c>
      <c r="I83" s="540">
        <f t="shared" si="12"/>
        <v>9.9267319446577906E-2</v>
      </c>
      <c r="J83" s="540">
        <f t="shared" si="12"/>
        <v>3.8619475948377005E-3</v>
      </c>
      <c r="K83" s="540">
        <f t="shared" si="12"/>
        <v>0.15744826243336479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60" activePane="bottomLeft" state="frozen"/>
      <selection activeCell="A11" sqref="A11:H11"/>
      <selection pane="bottomLeft" activeCell="A11" sqref="A11:H1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2" t="s">
        <v>1905</v>
      </c>
      <c r="B1" s="452"/>
      <c r="C1" s="453" t="s">
        <v>445</v>
      </c>
      <c r="D1" s="453" t="s">
        <v>446</v>
      </c>
      <c r="E1" s="453" t="s">
        <v>447</v>
      </c>
      <c r="F1" s="453" t="s">
        <v>448</v>
      </c>
      <c r="G1" s="453" t="s">
        <v>449</v>
      </c>
      <c r="H1" s="453" t="s">
        <v>450</v>
      </c>
      <c r="I1" s="453" t="s">
        <v>451</v>
      </c>
      <c r="J1" s="453" t="s">
        <v>452</v>
      </c>
      <c r="K1" s="453" t="s">
        <v>780</v>
      </c>
    </row>
    <row r="2" spans="1:12" ht="36" x14ac:dyDescent="0.2">
      <c r="A2" s="215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3072684</v>
      </c>
      <c r="D5" s="481">
        <v>375906</v>
      </c>
      <c r="E5" s="466">
        <v>1200598</v>
      </c>
      <c r="F5" s="548">
        <v>194579</v>
      </c>
      <c r="G5" s="466">
        <v>14529</v>
      </c>
      <c r="H5" s="466"/>
      <c r="I5" s="466">
        <v>26734</v>
      </c>
      <c r="J5" s="467"/>
      <c r="K5" s="466">
        <v>53237</v>
      </c>
    </row>
    <row r="6" spans="1:12" ht="15" x14ac:dyDescent="0.2">
      <c r="A6" s="463" t="s">
        <v>1761</v>
      </c>
      <c r="B6" s="470">
        <v>1130</v>
      </c>
      <c r="C6" s="466"/>
      <c r="D6" s="466"/>
      <c r="E6" s="475"/>
      <c r="F6" s="475"/>
      <c r="G6" s="468"/>
      <c r="H6" s="468"/>
      <c r="I6" s="468"/>
      <c r="J6" s="468"/>
      <c r="K6" s="468"/>
    </row>
    <row r="7" spans="1:12" x14ac:dyDescent="0.2">
      <c r="A7" s="463" t="s">
        <v>112</v>
      </c>
      <c r="B7" s="549">
        <v>1140</v>
      </c>
      <c r="C7" s="466">
        <v>42658</v>
      </c>
      <c r="D7" s="466"/>
      <c r="E7" s="468"/>
      <c r="F7" s="467"/>
      <c r="G7" s="467"/>
      <c r="H7" s="467"/>
      <c r="I7" s="468"/>
      <c r="J7" s="468"/>
      <c r="K7" s="468"/>
    </row>
    <row r="8" spans="1:12" x14ac:dyDescent="0.2">
      <c r="A8" s="463" t="s">
        <v>433</v>
      </c>
      <c r="B8" s="470">
        <v>1150</v>
      </c>
      <c r="C8" s="475"/>
      <c r="D8" s="475"/>
      <c r="E8" s="477"/>
      <c r="F8" s="477"/>
      <c r="G8" s="481">
        <v>127742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3115342</v>
      </c>
      <c r="D12" s="1728">
        <f t="shared" si="0"/>
        <v>375906</v>
      </c>
      <c r="E12" s="1728">
        <f t="shared" si="0"/>
        <v>1200598</v>
      </c>
      <c r="F12" s="1728">
        <f t="shared" si="0"/>
        <v>194579</v>
      </c>
      <c r="G12" s="1728">
        <f t="shared" si="0"/>
        <v>142271</v>
      </c>
      <c r="H12" s="1728">
        <f t="shared" si="0"/>
        <v>0</v>
      </c>
      <c r="I12" s="1728">
        <f t="shared" si="0"/>
        <v>26734</v>
      </c>
      <c r="J12" s="1728">
        <f t="shared" si="0"/>
        <v>0</v>
      </c>
      <c r="K12" s="1709">
        <f t="shared" si="0"/>
        <v>53237</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27683</v>
      </c>
      <c r="D16" s="466"/>
      <c r="E16" s="466"/>
      <c r="F16" s="466"/>
      <c r="G16" s="466">
        <v>14358</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27683</v>
      </c>
      <c r="D18" s="1731">
        <f t="shared" ref="D18:K18" si="1">SUM(D14:D17)</f>
        <v>0</v>
      </c>
      <c r="E18" s="1731">
        <f t="shared" si="1"/>
        <v>0</v>
      </c>
      <c r="F18" s="1731">
        <f t="shared" si="1"/>
        <v>0</v>
      </c>
      <c r="G18" s="1731">
        <f t="shared" si="1"/>
        <v>14358</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84924</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84924</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18082</v>
      </c>
      <c r="D65" s="466">
        <v>1681</v>
      </c>
      <c r="E65" s="466">
        <v>1859</v>
      </c>
      <c r="F65" s="467">
        <v>1319</v>
      </c>
      <c r="G65" s="466">
        <v>816</v>
      </c>
      <c r="H65" s="466"/>
      <c r="I65" s="466">
        <v>1054</v>
      </c>
      <c r="J65" s="467">
        <v>79</v>
      </c>
      <c r="K65" s="466">
        <v>1019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18082</v>
      </c>
      <c r="D67" s="1709">
        <f t="shared" ref="D67:K67" si="2">SUM(D65:D66)</f>
        <v>1681</v>
      </c>
      <c r="E67" s="1709">
        <f t="shared" si="2"/>
        <v>1859</v>
      </c>
      <c r="F67" s="1709">
        <f t="shared" si="2"/>
        <v>1319</v>
      </c>
      <c r="G67" s="1709">
        <f t="shared" si="2"/>
        <v>816</v>
      </c>
      <c r="H67" s="1709">
        <f t="shared" si="2"/>
        <v>0</v>
      </c>
      <c r="I67" s="1709">
        <f t="shared" si="2"/>
        <v>1054</v>
      </c>
      <c r="J67" s="1709">
        <f t="shared" si="2"/>
        <v>79</v>
      </c>
      <c r="K67" s="1709">
        <f t="shared" si="2"/>
        <v>1019</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100578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20262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869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121709</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665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71652</v>
      </c>
      <c r="D81" s="466"/>
      <c r="E81" s="468"/>
      <c r="F81" s="468"/>
      <c r="G81" s="468"/>
      <c r="H81" s="468"/>
      <c r="I81" s="468"/>
      <c r="J81" s="468"/>
      <c r="K81" s="468"/>
    </row>
    <row r="82" spans="1:11" ht="12.75" customHeight="1" thickBot="1" x14ac:dyDescent="0.25">
      <c r="A82" s="1729" t="s">
        <v>259</v>
      </c>
      <c r="B82" s="1730"/>
      <c r="C82" s="1728">
        <f>SUM(C77:C81)</f>
        <v>72317</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15616</v>
      </c>
      <c r="E95" s="521"/>
      <c r="F95" s="521"/>
      <c r="G95" s="521"/>
      <c r="H95" s="521"/>
      <c r="I95" s="521"/>
      <c r="J95" s="521"/>
      <c r="K95" s="521"/>
    </row>
    <row r="96" spans="1:11" ht="12.75" customHeight="1" x14ac:dyDescent="0.2">
      <c r="A96" s="463" t="s">
        <v>409</v>
      </c>
      <c r="B96" s="470">
        <v>1920</v>
      </c>
      <c r="C96" s="551">
        <v>9620</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7175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113</v>
      </c>
      <c r="D107" s="466">
        <v>0</v>
      </c>
      <c r="E107" s="466"/>
      <c r="F107" s="466"/>
      <c r="G107" s="466"/>
      <c r="H107" s="466"/>
      <c r="I107" s="466"/>
      <c r="J107" s="467"/>
      <c r="K107" s="466"/>
    </row>
    <row r="108" spans="1:12" ht="12.75" customHeight="1" thickBot="1" x14ac:dyDescent="0.25">
      <c r="A108" s="1729" t="s">
        <v>508</v>
      </c>
      <c r="B108" s="1733"/>
      <c r="C108" s="1728">
        <f>SUM(C95:C107)</f>
        <v>16908</v>
      </c>
      <c r="D108" s="1728">
        <f t="shared" ref="D108:K108" si="3">SUM(D95:D107)</f>
        <v>15616</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3456965</v>
      </c>
      <c r="D109" s="1736">
        <f t="shared" si="4"/>
        <v>393203</v>
      </c>
      <c r="E109" s="1736">
        <f t="shared" si="4"/>
        <v>1202457</v>
      </c>
      <c r="F109" s="1736">
        <f t="shared" si="4"/>
        <v>195898</v>
      </c>
      <c r="G109" s="1736">
        <f t="shared" si="4"/>
        <v>157445</v>
      </c>
      <c r="H109" s="1736">
        <f t="shared" si="4"/>
        <v>0</v>
      </c>
      <c r="I109" s="1736">
        <f t="shared" si="4"/>
        <v>27788</v>
      </c>
      <c r="J109" s="1736">
        <f t="shared" si="4"/>
        <v>79</v>
      </c>
      <c r="K109" s="1723">
        <f t="shared" si="4"/>
        <v>54256</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2023915</v>
      </c>
      <c r="D117" s="481">
        <v>100804</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2023915</v>
      </c>
      <c r="D121" s="1728">
        <f t="shared" si="5"/>
        <v>100804</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45612</v>
      </c>
      <c r="D125" s="561"/>
      <c r="E125" s="468"/>
      <c r="F125" s="466"/>
      <c r="G125" s="468"/>
      <c r="H125" s="468"/>
      <c r="I125" s="468"/>
      <c r="J125" s="468"/>
      <c r="K125" s="468"/>
    </row>
    <row r="126" spans="1:11" ht="12.75" customHeight="1" x14ac:dyDescent="0.2">
      <c r="A126" s="463" t="s">
        <v>922</v>
      </c>
      <c r="B126" s="562">
        <v>3110</v>
      </c>
      <c r="C126" s="551">
        <v>67580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623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113815</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511</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186777</v>
      </c>
      <c r="G151" s="467"/>
      <c r="H151" s="468"/>
      <c r="I151" s="468"/>
      <c r="J151" s="468"/>
      <c r="K151" s="468"/>
    </row>
    <row r="152" spans="1:11" ht="12.75" customHeight="1" x14ac:dyDescent="0.2">
      <c r="A152" s="463" t="s">
        <v>1117</v>
      </c>
      <c r="B152" s="562">
        <v>3510</v>
      </c>
      <c r="C152" s="551"/>
      <c r="D152" s="466"/>
      <c r="E152" s="561"/>
      <c r="F152" s="466">
        <v>1837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188614</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72" t="s">
        <v>418</v>
      </c>
      <c r="B172" s="2173"/>
      <c r="C172" s="1743">
        <f t="shared" ref="C172:K172" si="6">SUM(C131,C140,C144,C145:C149,C154,C155:C170,C171)</f>
        <v>114326</v>
      </c>
      <c r="D172" s="1743">
        <f t="shared" si="6"/>
        <v>0</v>
      </c>
      <c r="E172" s="1743">
        <f t="shared" si="6"/>
        <v>0</v>
      </c>
      <c r="F172" s="1743">
        <f t="shared" si="6"/>
        <v>188614</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2138241</v>
      </c>
      <c r="D173" s="1736">
        <f>SUM(D121,D172)</f>
        <v>100804</v>
      </c>
      <c r="E173" s="1736">
        <f>SUM(E121,E172)</f>
        <v>0</v>
      </c>
      <c r="F173" s="1736">
        <f t="shared" ref="F173:K173" si="7">SUM(F121,F172)</f>
        <v>188614</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4" t="s">
        <v>1572</v>
      </c>
      <c r="B175" s="217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8" t="s">
        <v>1764</v>
      </c>
      <c r="B178" s="2179"/>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2" t="s">
        <v>1763</v>
      </c>
      <c r="B179" s="218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0" t="s">
        <v>818</v>
      </c>
      <c r="B184" s="2181"/>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6" t="s">
        <v>1906</v>
      </c>
      <c r="B185" s="2177"/>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47291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47291</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55297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55297</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10000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1942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118822</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120764</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14545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3263</v>
      </c>
      <c r="D270" s="576"/>
      <c r="E270" s="468"/>
      <c r="F270" s="576"/>
      <c r="G270" s="576"/>
      <c r="H270" s="468"/>
      <c r="I270" s="468"/>
      <c r="J270" s="468"/>
      <c r="K270" s="468"/>
    </row>
    <row r="271" spans="1:11" ht="12.75" customHeight="1" thickTop="1" thickBot="1" x14ac:dyDescent="0.25">
      <c r="A271" s="463" t="s">
        <v>395</v>
      </c>
      <c r="B271" s="470">
        <v>4992</v>
      </c>
      <c r="C271" s="575">
        <v>18253</v>
      </c>
      <c r="D271" s="576"/>
      <c r="E271" s="468"/>
      <c r="F271" s="576"/>
      <c r="G271" s="576"/>
      <c r="H271" s="468"/>
      <c r="I271" s="468"/>
      <c r="J271" s="468"/>
      <c r="K271" s="468"/>
    </row>
    <row r="272" spans="1:11" s="594" customFormat="1" ht="12.75" customHeight="1" thickTop="1" thickBot="1" x14ac:dyDescent="0.25">
      <c r="A272" s="563" t="s">
        <v>77</v>
      </c>
      <c r="B272" s="557">
        <v>4999</v>
      </c>
      <c r="C272" s="575">
        <v>4999</v>
      </c>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274412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274412</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5869618</v>
      </c>
      <c r="D275" s="1736">
        <f t="shared" si="12"/>
        <v>494007</v>
      </c>
      <c r="E275" s="1736">
        <f t="shared" si="12"/>
        <v>1202457</v>
      </c>
      <c r="F275" s="1736">
        <f t="shared" si="12"/>
        <v>384512</v>
      </c>
      <c r="G275" s="1736">
        <f t="shared" si="12"/>
        <v>157445</v>
      </c>
      <c r="H275" s="1736">
        <f t="shared" si="12"/>
        <v>0</v>
      </c>
      <c r="I275" s="1736">
        <f t="shared" si="12"/>
        <v>27788</v>
      </c>
      <c r="J275" s="1736">
        <f t="shared" si="12"/>
        <v>79</v>
      </c>
      <c r="K275" s="1723">
        <f t="shared" si="12"/>
        <v>54256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8" activePane="bottomLeft" state="frozen"/>
      <selection activeCell="A11" sqref="A11:H11"/>
      <selection pane="bottomLeft" activeCell="A11" sqref="A11:H1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2" t="s">
        <v>315</v>
      </c>
      <c r="B3" s="2193"/>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2400493</v>
      </c>
      <c r="D5" s="466">
        <v>558653</v>
      </c>
      <c r="E5" s="466">
        <v>41422</v>
      </c>
      <c r="F5" s="466">
        <v>98695</v>
      </c>
      <c r="G5" s="466">
        <v>1473</v>
      </c>
      <c r="H5" s="466">
        <v>2601</v>
      </c>
      <c r="I5" s="467"/>
      <c r="J5" s="467"/>
      <c r="K5" s="1692">
        <f>SUM(C5:J5)</f>
        <v>3103337</v>
      </c>
      <c r="L5" s="466">
        <v>3176066</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82996</v>
      </c>
      <c r="D7" s="467">
        <v>24346</v>
      </c>
      <c r="E7" s="467"/>
      <c r="F7" s="467"/>
      <c r="G7" s="467"/>
      <c r="H7" s="467"/>
      <c r="I7" s="467"/>
      <c r="J7" s="467"/>
      <c r="K7" s="1692">
        <f t="shared" ref="K7:K32" si="0">SUM(C7:J7)</f>
        <v>107342</v>
      </c>
      <c r="L7" s="466">
        <v>108824</v>
      </c>
    </row>
    <row r="8" spans="1:14" x14ac:dyDescent="0.2">
      <c r="A8" s="1525" t="s">
        <v>166</v>
      </c>
      <c r="B8" s="615">
        <v>1200</v>
      </c>
      <c r="C8" s="466">
        <v>637992</v>
      </c>
      <c r="D8" s="466">
        <v>78237</v>
      </c>
      <c r="E8" s="466">
        <v>131</v>
      </c>
      <c r="F8" s="466">
        <v>42975</v>
      </c>
      <c r="G8" s="466"/>
      <c r="H8" s="466"/>
      <c r="I8" s="467"/>
      <c r="J8" s="467"/>
      <c r="K8" s="1692">
        <f t="shared" si="0"/>
        <v>759335</v>
      </c>
      <c r="L8" s="466">
        <v>769250</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28380</v>
      </c>
      <c r="D10" s="466"/>
      <c r="E10" s="466">
        <v>10000</v>
      </c>
      <c r="F10" s="466"/>
      <c r="G10" s="466"/>
      <c r="H10" s="466"/>
      <c r="I10" s="467"/>
      <c r="J10" s="467"/>
      <c r="K10" s="1692">
        <f t="shared" si="0"/>
        <v>38380</v>
      </c>
      <c r="L10" s="466">
        <v>42503</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c r="D13" s="466"/>
      <c r="E13" s="466"/>
      <c r="F13" s="466"/>
      <c r="G13" s="466"/>
      <c r="H13" s="466"/>
      <c r="I13" s="467"/>
      <c r="J13" s="467"/>
      <c r="K13" s="1692">
        <f t="shared" si="0"/>
        <v>0</v>
      </c>
      <c r="L13" s="466"/>
    </row>
    <row r="14" spans="1:14" x14ac:dyDescent="0.2">
      <c r="A14" s="1525" t="s">
        <v>1020</v>
      </c>
      <c r="B14" s="615">
        <v>1500</v>
      </c>
      <c r="C14" s="466">
        <v>69025</v>
      </c>
      <c r="D14" s="466">
        <v>7810</v>
      </c>
      <c r="E14" s="466">
        <v>1460</v>
      </c>
      <c r="F14" s="466">
        <v>802</v>
      </c>
      <c r="G14" s="466"/>
      <c r="H14" s="466">
        <v>1955</v>
      </c>
      <c r="I14" s="467"/>
      <c r="J14" s="467"/>
      <c r="K14" s="1692">
        <f t="shared" si="0"/>
        <v>81052</v>
      </c>
      <c r="L14" s="466">
        <v>81077</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c r="D17" s="467"/>
      <c r="E17" s="467"/>
      <c r="F17" s="467"/>
      <c r="G17" s="467"/>
      <c r="H17" s="467"/>
      <c r="I17" s="467"/>
      <c r="J17" s="467"/>
      <c r="K17" s="1692">
        <f t="shared" si="0"/>
        <v>0</v>
      </c>
      <c r="L17" s="466"/>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3218886</v>
      </c>
      <c r="D33" s="1691">
        <f t="shared" ref="D33:L33" si="1">SUM(D5:D32)</f>
        <v>669046</v>
      </c>
      <c r="E33" s="1691">
        <f t="shared" si="1"/>
        <v>53013</v>
      </c>
      <c r="F33" s="1691">
        <f t="shared" si="1"/>
        <v>142472</v>
      </c>
      <c r="G33" s="1691">
        <f t="shared" si="1"/>
        <v>1473</v>
      </c>
      <c r="H33" s="1691">
        <f t="shared" si="1"/>
        <v>4556</v>
      </c>
      <c r="I33" s="1691">
        <f t="shared" si="1"/>
        <v>0</v>
      </c>
      <c r="J33" s="1691">
        <f t="shared" si="1"/>
        <v>0</v>
      </c>
      <c r="K33" s="1691">
        <f t="shared" si="1"/>
        <v>4089446</v>
      </c>
      <c r="L33" s="1691">
        <f t="shared" si="1"/>
        <v>4177720</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58851</v>
      </c>
      <c r="D37" s="466">
        <v>13931</v>
      </c>
      <c r="E37" s="466"/>
      <c r="F37" s="466"/>
      <c r="G37" s="466"/>
      <c r="H37" s="466"/>
      <c r="I37" s="467"/>
      <c r="J37" s="467"/>
      <c r="K37" s="1692">
        <f t="shared" si="2"/>
        <v>72782</v>
      </c>
      <c r="L37" s="466">
        <v>72868</v>
      </c>
    </row>
    <row r="38" spans="1:14" x14ac:dyDescent="0.2">
      <c r="A38" s="1525" t="s">
        <v>207</v>
      </c>
      <c r="B38" s="615">
        <v>2130</v>
      </c>
      <c r="C38" s="466">
        <v>60221</v>
      </c>
      <c r="D38" s="466"/>
      <c r="E38" s="466">
        <v>174</v>
      </c>
      <c r="F38" s="466">
        <v>3321</v>
      </c>
      <c r="G38" s="466"/>
      <c r="H38" s="466"/>
      <c r="I38" s="467"/>
      <c r="J38" s="467"/>
      <c r="K38" s="1692">
        <f t="shared" si="2"/>
        <v>63716</v>
      </c>
      <c r="L38" s="466">
        <v>67414</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50997</v>
      </c>
      <c r="D40" s="466">
        <v>13342</v>
      </c>
      <c r="E40" s="466"/>
      <c r="F40" s="466"/>
      <c r="G40" s="466"/>
      <c r="H40" s="466"/>
      <c r="I40" s="467"/>
      <c r="J40" s="467"/>
      <c r="K40" s="1692">
        <f t="shared" si="2"/>
        <v>64339</v>
      </c>
      <c r="L40" s="466">
        <v>65145</v>
      </c>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170069</v>
      </c>
      <c r="D42" s="1691">
        <f t="shared" ref="D42:L42" si="3">SUM(D36:D41)</f>
        <v>27273</v>
      </c>
      <c r="E42" s="1691">
        <f t="shared" si="3"/>
        <v>174</v>
      </c>
      <c r="F42" s="1691">
        <f t="shared" si="3"/>
        <v>3321</v>
      </c>
      <c r="G42" s="1691">
        <f t="shared" si="3"/>
        <v>0</v>
      </c>
      <c r="H42" s="1691">
        <f t="shared" si="3"/>
        <v>0</v>
      </c>
      <c r="I42" s="1691">
        <f t="shared" si="3"/>
        <v>0</v>
      </c>
      <c r="J42" s="1691">
        <f t="shared" si="3"/>
        <v>0</v>
      </c>
      <c r="K42" s="1691">
        <f t="shared" si="3"/>
        <v>200837</v>
      </c>
      <c r="L42" s="1691">
        <f t="shared" si="3"/>
        <v>205427</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57732</v>
      </c>
      <c r="F44" s="481">
        <v>130</v>
      </c>
      <c r="G44" s="481"/>
      <c r="H44" s="481"/>
      <c r="I44" s="467"/>
      <c r="J44" s="467"/>
      <c r="K44" s="1693">
        <f>SUM(C44:J44)</f>
        <v>57862</v>
      </c>
      <c r="L44" s="481">
        <v>59602</v>
      </c>
    </row>
    <row r="45" spans="1:14" x14ac:dyDescent="0.2">
      <c r="A45" s="1525" t="s">
        <v>869</v>
      </c>
      <c r="B45" s="615">
        <v>2220</v>
      </c>
      <c r="C45" s="466">
        <v>77275</v>
      </c>
      <c r="D45" s="466">
        <v>6850</v>
      </c>
      <c r="E45" s="466">
        <v>27171</v>
      </c>
      <c r="F45" s="466">
        <v>11276</v>
      </c>
      <c r="G45" s="466">
        <v>40858</v>
      </c>
      <c r="H45" s="466"/>
      <c r="I45" s="467"/>
      <c r="J45" s="467"/>
      <c r="K45" s="1693">
        <f>SUM(C45:J45)</f>
        <v>163430</v>
      </c>
      <c r="L45" s="466">
        <v>168745</v>
      </c>
    </row>
    <row r="46" spans="1:14" x14ac:dyDescent="0.2">
      <c r="A46" s="1525" t="s">
        <v>870</v>
      </c>
      <c r="B46" s="615">
        <v>2230</v>
      </c>
      <c r="C46" s="466"/>
      <c r="D46" s="466"/>
      <c r="E46" s="466">
        <v>4120</v>
      </c>
      <c r="F46" s="466"/>
      <c r="G46" s="466"/>
      <c r="H46" s="466"/>
      <c r="I46" s="467"/>
      <c r="J46" s="467"/>
      <c r="K46" s="1693">
        <f>SUM(C46:J46)</f>
        <v>4120</v>
      </c>
      <c r="L46" s="466"/>
    </row>
    <row r="47" spans="1:14" ht="12.75" customHeight="1" thickBot="1" x14ac:dyDescent="0.25">
      <c r="A47" s="1689" t="s">
        <v>582</v>
      </c>
      <c r="B47" s="1690" t="s">
        <v>32</v>
      </c>
      <c r="C47" s="1691">
        <f>SUM(C44:C46)</f>
        <v>77275</v>
      </c>
      <c r="D47" s="1691">
        <f t="shared" ref="D47:K47" si="4">SUM(D44:D46)</f>
        <v>6850</v>
      </c>
      <c r="E47" s="1691">
        <f t="shared" si="4"/>
        <v>89023</v>
      </c>
      <c r="F47" s="1691">
        <f t="shared" si="4"/>
        <v>11406</v>
      </c>
      <c r="G47" s="1691">
        <f t="shared" si="4"/>
        <v>40858</v>
      </c>
      <c r="H47" s="1691">
        <f t="shared" si="4"/>
        <v>0</v>
      </c>
      <c r="I47" s="1691">
        <f t="shared" si="4"/>
        <v>0</v>
      </c>
      <c r="J47" s="1691">
        <f t="shared" si="4"/>
        <v>0</v>
      </c>
      <c r="K47" s="1691">
        <f t="shared" si="4"/>
        <v>225412</v>
      </c>
      <c r="L47" s="1691">
        <f>SUM(L44:L46)</f>
        <v>228347</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3727</v>
      </c>
      <c r="D49" s="481">
        <v>27344</v>
      </c>
      <c r="E49" s="481">
        <v>42490</v>
      </c>
      <c r="F49" s="481">
        <v>837</v>
      </c>
      <c r="G49" s="481"/>
      <c r="H49" s="481">
        <v>3563</v>
      </c>
      <c r="I49" s="467"/>
      <c r="J49" s="467"/>
      <c r="K49" s="1693">
        <f>SUM(C49:J49)</f>
        <v>77961</v>
      </c>
      <c r="L49" s="481">
        <v>78721</v>
      </c>
    </row>
    <row r="50" spans="1:14" x14ac:dyDescent="0.2">
      <c r="A50" s="1525" t="s">
        <v>872</v>
      </c>
      <c r="B50" s="615">
        <v>2320</v>
      </c>
      <c r="C50" s="466">
        <v>97571</v>
      </c>
      <c r="D50" s="466">
        <v>35298</v>
      </c>
      <c r="E50" s="466">
        <v>1169</v>
      </c>
      <c r="F50" s="466">
        <v>460</v>
      </c>
      <c r="G50" s="466"/>
      <c r="H50" s="466">
        <v>1394</v>
      </c>
      <c r="I50" s="467"/>
      <c r="J50" s="467"/>
      <c r="K50" s="1693">
        <f>SUM(C50:J50)</f>
        <v>135892</v>
      </c>
      <c r="L50" s="466">
        <v>138748</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v>16951</v>
      </c>
      <c r="E52" s="474">
        <v>35130</v>
      </c>
      <c r="F52" s="474"/>
      <c r="G52" s="474"/>
      <c r="H52" s="474"/>
      <c r="I52" s="474"/>
      <c r="J52" s="474"/>
      <c r="K52" s="1693">
        <f>SUM(C52:J52)</f>
        <v>52081</v>
      </c>
      <c r="L52" s="474">
        <v>60319</v>
      </c>
    </row>
    <row r="53" spans="1:14" ht="12.75" customHeight="1" thickBot="1" x14ac:dyDescent="0.25">
      <c r="A53" s="1689" t="s">
        <v>741</v>
      </c>
      <c r="B53" s="1690" t="s">
        <v>33</v>
      </c>
      <c r="C53" s="1691">
        <f>SUM(C49:C52)</f>
        <v>101298</v>
      </c>
      <c r="D53" s="1691">
        <f t="shared" ref="D53:L53" si="5">SUM(D49:D52)</f>
        <v>79593</v>
      </c>
      <c r="E53" s="1691">
        <f t="shared" si="5"/>
        <v>78789</v>
      </c>
      <c r="F53" s="1691">
        <f t="shared" si="5"/>
        <v>1297</v>
      </c>
      <c r="G53" s="1691">
        <f t="shared" si="5"/>
        <v>0</v>
      </c>
      <c r="H53" s="1691">
        <f t="shared" si="5"/>
        <v>4957</v>
      </c>
      <c r="I53" s="1691">
        <f t="shared" si="5"/>
        <v>0</v>
      </c>
      <c r="J53" s="1691">
        <f t="shared" si="5"/>
        <v>0</v>
      </c>
      <c r="K53" s="1691">
        <f t="shared" si="5"/>
        <v>265934</v>
      </c>
      <c r="L53" s="1691">
        <f t="shared" si="5"/>
        <v>277788</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263350</v>
      </c>
      <c r="D55" s="481">
        <v>81201</v>
      </c>
      <c r="E55" s="481">
        <v>284</v>
      </c>
      <c r="F55" s="481">
        <v>1688</v>
      </c>
      <c r="G55" s="481"/>
      <c r="H55" s="481"/>
      <c r="I55" s="467"/>
      <c r="J55" s="467"/>
      <c r="K55" s="1693">
        <f>SUM(C55:J55)</f>
        <v>346523</v>
      </c>
      <c r="L55" s="481">
        <v>357261</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263350</v>
      </c>
      <c r="D57" s="1695">
        <f t="shared" ref="D57:K57" si="6">SUM(D55:D56)</f>
        <v>81201</v>
      </c>
      <c r="E57" s="1695">
        <f t="shared" si="6"/>
        <v>284</v>
      </c>
      <c r="F57" s="1695">
        <f t="shared" si="6"/>
        <v>1688</v>
      </c>
      <c r="G57" s="1695">
        <f t="shared" si="6"/>
        <v>0</v>
      </c>
      <c r="H57" s="1695">
        <f t="shared" si="6"/>
        <v>0</v>
      </c>
      <c r="I57" s="1695">
        <f t="shared" si="6"/>
        <v>0</v>
      </c>
      <c r="J57" s="1695">
        <f t="shared" si="6"/>
        <v>0</v>
      </c>
      <c r="K57" s="1695">
        <f t="shared" si="6"/>
        <v>346523</v>
      </c>
      <c r="L57" s="1691">
        <f>SUM(L55:L56)</f>
        <v>357261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39502</v>
      </c>
      <c r="D60" s="466">
        <v>6486</v>
      </c>
      <c r="E60" s="466">
        <v>8980</v>
      </c>
      <c r="F60" s="466">
        <v>926</v>
      </c>
      <c r="G60" s="466"/>
      <c r="H60" s="466">
        <v>150</v>
      </c>
      <c r="I60" s="467"/>
      <c r="J60" s="467"/>
      <c r="K60" s="1693">
        <f t="shared" si="7"/>
        <v>56044</v>
      </c>
      <c r="L60" s="466">
        <v>62399</v>
      </c>
      <c r="M60" s="610"/>
      <c r="N60" s="610"/>
    </row>
    <row r="61" spans="1:14" s="343" customFormat="1" x14ac:dyDescent="0.2">
      <c r="A61" s="1525" t="s">
        <v>206</v>
      </c>
      <c r="B61" s="615">
        <v>2540</v>
      </c>
      <c r="C61" s="466"/>
      <c r="D61" s="466"/>
      <c r="E61" s="466">
        <v>21687</v>
      </c>
      <c r="F61" s="466"/>
      <c r="G61" s="466"/>
      <c r="H61" s="466"/>
      <c r="I61" s="467"/>
      <c r="J61" s="467"/>
      <c r="K61" s="1693">
        <f t="shared" si="7"/>
        <v>21687</v>
      </c>
      <c r="L61" s="466">
        <v>21512</v>
      </c>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65482</v>
      </c>
      <c r="D63" s="466">
        <v>32</v>
      </c>
      <c r="E63" s="466">
        <v>1609</v>
      </c>
      <c r="F63" s="466">
        <v>101947</v>
      </c>
      <c r="G63" s="466"/>
      <c r="H63" s="466">
        <v>900</v>
      </c>
      <c r="I63" s="467"/>
      <c r="J63" s="467"/>
      <c r="K63" s="1693">
        <f t="shared" si="7"/>
        <v>169970</v>
      </c>
      <c r="L63" s="466">
        <v>171398</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104984</v>
      </c>
      <c r="D65" s="1691">
        <f t="shared" ref="D65:L65" si="8">SUM(D59:D64)</f>
        <v>6518</v>
      </c>
      <c r="E65" s="1691">
        <f t="shared" si="8"/>
        <v>32276</v>
      </c>
      <c r="F65" s="1691">
        <f t="shared" si="8"/>
        <v>102873</v>
      </c>
      <c r="G65" s="1691">
        <f t="shared" si="8"/>
        <v>0</v>
      </c>
      <c r="H65" s="1691">
        <f t="shared" si="8"/>
        <v>1050</v>
      </c>
      <c r="I65" s="1691">
        <f t="shared" si="8"/>
        <v>0</v>
      </c>
      <c r="J65" s="1691">
        <f t="shared" si="8"/>
        <v>0</v>
      </c>
      <c r="K65" s="1691">
        <f t="shared" si="8"/>
        <v>247701</v>
      </c>
      <c r="L65" s="1691">
        <f t="shared" si="8"/>
        <v>255309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v>100</v>
      </c>
      <c r="M73" s="610"/>
      <c r="N73" s="610"/>
    </row>
    <row r="74" spans="1:14" ht="12.75" customHeight="1" thickTop="1" thickBot="1" x14ac:dyDescent="0.25">
      <c r="A74" s="1689" t="s">
        <v>865</v>
      </c>
      <c r="B74" s="1697">
        <v>2000</v>
      </c>
      <c r="C74" s="1698">
        <f>SUM(C42,C47,C53,C57,C65,C72,C73)</f>
        <v>716976</v>
      </c>
      <c r="D74" s="1698">
        <f t="shared" ref="D74:K74" si="10">SUM(D42,D47,D53,D57,D65,D72,D73)</f>
        <v>201435</v>
      </c>
      <c r="E74" s="1698">
        <f t="shared" si="10"/>
        <v>200546</v>
      </c>
      <c r="F74" s="1698">
        <f t="shared" si="10"/>
        <v>120585</v>
      </c>
      <c r="G74" s="1698">
        <f t="shared" si="10"/>
        <v>40858</v>
      </c>
      <c r="H74" s="1698">
        <f t="shared" si="10"/>
        <v>6007</v>
      </c>
      <c r="I74" s="1698">
        <f t="shared" si="10"/>
        <v>0</v>
      </c>
      <c r="J74" s="1698">
        <f t="shared" si="10"/>
        <v>0</v>
      </c>
      <c r="K74" s="1698">
        <f t="shared" si="10"/>
        <v>1286407</v>
      </c>
      <c r="L74" s="1698">
        <f>SUM(L42,L47,L53,L57,L65,L72,L73)</f>
        <v>1324232</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136442</v>
      </c>
      <c r="F79" s="617"/>
      <c r="G79" s="617"/>
      <c r="H79" s="466"/>
      <c r="I79" s="477"/>
      <c r="J79" s="477"/>
      <c r="K79" s="1692">
        <f t="shared" si="11"/>
        <v>136442</v>
      </c>
      <c r="L79" s="466">
        <v>130392</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136442</v>
      </c>
      <c r="F84" s="617"/>
      <c r="G84" s="617"/>
      <c r="H84" s="1691">
        <f>SUM(H78:H83)</f>
        <v>0</v>
      </c>
      <c r="I84" s="477"/>
      <c r="J84" s="477"/>
      <c r="K84" s="1691">
        <f>SUM(K78:K83)</f>
        <v>136442</v>
      </c>
      <c r="L84" s="1691">
        <f>SUM(L78:L83)</f>
        <v>130392</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136442</v>
      </c>
      <c r="F102" s="617"/>
      <c r="G102" s="617"/>
      <c r="H102" s="1698">
        <f>SUM(H84,H92,H100,H101)</f>
        <v>0</v>
      </c>
      <c r="I102" s="477"/>
      <c r="J102" s="477"/>
      <c r="K102" s="1698">
        <f>SUM(K84,K92,K100,K101)</f>
        <v>136442</v>
      </c>
      <c r="L102" s="1698">
        <f>SUM(L84,L92,L100,L101)</f>
        <v>130392</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3935862</v>
      </c>
      <c r="D114" s="1691">
        <f t="shared" ref="D114:K114" si="13">SUM(D33,D74,D75,D102,D112,D113)</f>
        <v>870481</v>
      </c>
      <c r="E114" s="1691">
        <f t="shared" si="13"/>
        <v>390001</v>
      </c>
      <c r="F114" s="1691">
        <f t="shared" si="13"/>
        <v>263057</v>
      </c>
      <c r="G114" s="1691">
        <f t="shared" si="13"/>
        <v>42331</v>
      </c>
      <c r="H114" s="1691">
        <f>SUM(H33,H74,H75,H102,H112,H113)</f>
        <v>10563</v>
      </c>
      <c r="I114" s="1691">
        <f t="shared" si="13"/>
        <v>0</v>
      </c>
      <c r="J114" s="1691">
        <f t="shared" si="13"/>
        <v>0</v>
      </c>
      <c r="K114" s="1691">
        <f t="shared" si="13"/>
        <v>5512295</v>
      </c>
      <c r="L114" s="1691">
        <f>SUM(L33,L74,L75,L102,L112,L113)</f>
        <v>5632344</v>
      </c>
    </row>
    <row r="115" spans="1:14" ht="13.5" thickTop="1" x14ac:dyDescent="0.2">
      <c r="A115" s="2184" t="s">
        <v>1053</v>
      </c>
      <c r="B115" s="2185"/>
      <c r="C115" s="619"/>
      <c r="D115" s="619"/>
      <c r="E115" s="619"/>
      <c r="F115" s="619"/>
      <c r="G115" s="619"/>
      <c r="H115" s="619"/>
      <c r="I115" s="619"/>
      <c r="J115" s="619"/>
      <c r="K115" s="1705">
        <f>'Revenues 9-14'!C275-'Expenditures 15-22'!K114</f>
        <v>357323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9" t="s">
        <v>314</v>
      </c>
      <c r="B117" s="2190"/>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v>1075</v>
      </c>
      <c r="F123" s="466"/>
      <c r="G123" s="466"/>
      <c r="H123" s="466"/>
      <c r="I123" s="467"/>
      <c r="J123" s="467"/>
      <c r="K123" s="1691">
        <f>SUM(C123:J123)</f>
        <v>1075</v>
      </c>
      <c r="L123" s="466">
        <v>960</v>
      </c>
    </row>
    <row r="124" spans="1:14" ht="14.25" thickTop="1" thickBot="1" x14ac:dyDescent="0.25">
      <c r="A124" s="1525" t="s">
        <v>206</v>
      </c>
      <c r="B124" s="615">
        <v>2540</v>
      </c>
      <c r="C124" s="466">
        <v>162354</v>
      </c>
      <c r="D124" s="466">
        <v>13665</v>
      </c>
      <c r="E124" s="466">
        <v>120454</v>
      </c>
      <c r="F124" s="466">
        <v>196000</v>
      </c>
      <c r="G124" s="466">
        <v>14023</v>
      </c>
      <c r="H124" s="466"/>
      <c r="I124" s="467"/>
      <c r="J124" s="467"/>
      <c r="K124" s="1691">
        <f>SUM(C124:J124)</f>
        <v>506496</v>
      </c>
      <c r="L124" s="466">
        <v>537859</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162354</v>
      </c>
      <c r="D127" s="1691">
        <f t="shared" ref="D127:L127" si="14">SUM(D122:D126)</f>
        <v>13665</v>
      </c>
      <c r="E127" s="1691">
        <f t="shared" si="14"/>
        <v>121529</v>
      </c>
      <c r="F127" s="1691">
        <f t="shared" si="14"/>
        <v>196000</v>
      </c>
      <c r="G127" s="1691">
        <f t="shared" si="14"/>
        <v>14023</v>
      </c>
      <c r="H127" s="1691">
        <f t="shared" si="14"/>
        <v>0</v>
      </c>
      <c r="I127" s="1691">
        <f t="shared" si="14"/>
        <v>0</v>
      </c>
      <c r="J127" s="1691">
        <f t="shared" si="14"/>
        <v>0</v>
      </c>
      <c r="K127" s="1691">
        <f t="shared" si="14"/>
        <v>507571</v>
      </c>
      <c r="L127" s="1691">
        <f t="shared" si="14"/>
        <v>538819</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162354</v>
      </c>
      <c r="D129" s="1698">
        <f t="shared" ref="D129:L129" si="15">SUM(D120,D127,D128)</f>
        <v>13665</v>
      </c>
      <c r="E129" s="1698">
        <f t="shared" si="15"/>
        <v>121529</v>
      </c>
      <c r="F129" s="1698">
        <f t="shared" si="15"/>
        <v>196000</v>
      </c>
      <c r="G129" s="1698">
        <f t="shared" si="15"/>
        <v>14023</v>
      </c>
      <c r="H129" s="1698">
        <f t="shared" si="15"/>
        <v>0</v>
      </c>
      <c r="I129" s="1698">
        <f t="shared" si="15"/>
        <v>0</v>
      </c>
      <c r="J129" s="1698">
        <f t="shared" si="15"/>
        <v>0</v>
      </c>
      <c r="K129" s="1698">
        <f t="shared" si="15"/>
        <v>507571</v>
      </c>
      <c r="L129" s="1698">
        <f t="shared" si="15"/>
        <v>538819</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1" t="s">
        <v>641</v>
      </c>
      <c r="B151" s="2181"/>
      <c r="C151" s="1691">
        <f>SUM(C129,C130,C139,C149,C150)</f>
        <v>162354</v>
      </c>
      <c r="D151" s="1691">
        <f t="shared" ref="D151:K151" si="16">SUM(D129,D130,D139,D149,D150)</f>
        <v>13665</v>
      </c>
      <c r="E151" s="1691">
        <f t="shared" si="16"/>
        <v>121529</v>
      </c>
      <c r="F151" s="1691">
        <f t="shared" si="16"/>
        <v>196000</v>
      </c>
      <c r="G151" s="1691">
        <f t="shared" si="16"/>
        <v>14023</v>
      </c>
      <c r="H151" s="1691">
        <f t="shared" si="16"/>
        <v>0</v>
      </c>
      <c r="I151" s="1691">
        <f t="shared" si="16"/>
        <v>0</v>
      </c>
      <c r="J151" s="1691">
        <f t="shared" si="16"/>
        <v>0</v>
      </c>
      <c r="K151" s="1691">
        <f t="shared" si="16"/>
        <v>507571</v>
      </c>
      <c r="L151" s="1691">
        <f>SUM(L129,L130,L139,L149,L150)</f>
        <v>538819</v>
      </c>
    </row>
    <row r="152" spans="1:14" ht="12.75" customHeight="1" thickTop="1" x14ac:dyDescent="0.2">
      <c r="A152" s="2204" t="s">
        <v>1240</v>
      </c>
      <c r="B152" s="2205"/>
      <c r="C152" s="619"/>
      <c r="D152" s="619"/>
      <c r="E152" s="619"/>
      <c r="F152" s="619"/>
      <c r="G152" s="619"/>
      <c r="H152" s="619"/>
      <c r="I152" s="619"/>
      <c r="J152" s="617"/>
      <c r="K152" s="1705">
        <f>'Revenues 9-14'!D275-'Expenditures 15-22'!K151</f>
        <v>-13564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9" t="s">
        <v>642</v>
      </c>
      <c r="B154" s="2191"/>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301944</v>
      </c>
      <c r="I169" s="617"/>
      <c r="J169" s="617"/>
      <c r="K169" s="1692">
        <f>SUM(C169:H169)</f>
        <v>301944</v>
      </c>
      <c r="L169" s="657">
        <v>301944</v>
      </c>
    </row>
    <row r="170" spans="1:14" ht="33.75" customHeight="1" x14ac:dyDescent="0.2">
      <c r="A170" s="670" t="s">
        <v>1769</v>
      </c>
      <c r="B170" s="672" t="s">
        <v>31</v>
      </c>
      <c r="C170" s="617"/>
      <c r="D170" s="617"/>
      <c r="E170" s="617"/>
      <c r="F170" s="617"/>
      <c r="G170" s="617"/>
      <c r="H170" s="569">
        <v>910000</v>
      </c>
      <c r="I170" s="617"/>
      <c r="J170" s="617"/>
      <c r="K170" s="1692">
        <f>SUM(C170:J170)</f>
        <v>910000</v>
      </c>
      <c r="L170" s="569">
        <v>910000</v>
      </c>
    </row>
    <row r="171" spans="1:14" ht="15.75" customHeight="1" x14ac:dyDescent="0.2">
      <c r="A171" s="622" t="s">
        <v>790</v>
      </c>
      <c r="B171" s="673" t="s">
        <v>86</v>
      </c>
      <c r="C171" s="617"/>
      <c r="D171" s="617"/>
      <c r="E171" s="466"/>
      <c r="F171" s="617"/>
      <c r="G171" s="617"/>
      <c r="H171" s="569"/>
      <c r="I171" s="477"/>
      <c r="J171" s="617"/>
      <c r="K171" s="1692">
        <f>SUM(C171:J171)</f>
        <v>0</v>
      </c>
      <c r="L171" s="569">
        <v>350</v>
      </c>
    </row>
    <row r="172" spans="1:14" ht="12.75" customHeight="1" thickBot="1" x14ac:dyDescent="0.25">
      <c r="A172" s="1689" t="s">
        <v>659</v>
      </c>
      <c r="B172" s="1690" t="s">
        <v>513</v>
      </c>
      <c r="C172" s="617"/>
      <c r="D172" s="617"/>
      <c r="E172" s="1698">
        <f>SUM(E168,E169,E170,E171)</f>
        <v>0</v>
      </c>
      <c r="F172" s="617"/>
      <c r="G172" s="617"/>
      <c r="H172" s="1698">
        <f>SUM(H168,H169,H170,H171)</f>
        <v>1211944</v>
      </c>
      <c r="I172" s="639"/>
      <c r="J172" s="617"/>
      <c r="K172" s="1698">
        <f>SUM(K168,K169,K170,K171)</f>
        <v>1211944</v>
      </c>
      <c r="L172" s="1698">
        <f>SUM(L168,L169,L170,L171)</f>
        <v>1212294</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1211944</v>
      </c>
      <c r="I174" s="639"/>
      <c r="J174" s="617"/>
      <c r="K174" s="1698">
        <f>SUM(K160,K172,K173)</f>
        <v>1211944</v>
      </c>
      <c r="L174" s="1698">
        <f>SUM(L160,L172,L173)</f>
        <v>1212294</v>
      </c>
    </row>
    <row r="175" spans="1:14" ht="13.5" thickTop="1" x14ac:dyDescent="0.2">
      <c r="A175" s="2184" t="s">
        <v>1053</v>
      </c>
      <c r="B175" s="2185"/>
      <c r="C175" s="617"/>
      <c r="D175" s="617"/>
      <c r="E175" s="617"/>
      <c r="F175" s="617"/>
      <c r="G175" s="617"/>
      <c r="H175" s="619"/>
      <c r="I175" s="617"/>
      <c r="J175" s="617"/>
      <c r="K175" s="1705">
        <f>'Revenues 9-14'!E275-'Expenditures 15-22'!K174</f>
        <v>-9487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12000</v>
      </c>
      <c r="D182" s="466"/>
      <c r="E182" s="466">
        <v>256825</v>
      </c>
      <c r="F182" s="466"/>
      <c r="G182" s="466"/>
      <c r="H182" s="466"/>
      <c r="I182" s="467"/>
      <c r="J182" s="467"/>
      <c r="K182" s="1692">
        <f>SUM(C182:J182)</f>
        <v>268825</v>
      </c>
      <c r="L182" s="466">
        <v>295275</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12000</v>
      </c>
      <c r="D184" s="1698">
        <f t="shared" ref="D184:J184" si="17">SUM(D180,D182,D183)</f>
        <v>0</v>
      </c>
      <c r="E184" s="1698">
        <f t="shared" si="17"/>
        <v>256825</v>
      </c>
      <c r="F184" s="1698">
        <f t="shared" si="17"/>
        <v>0</v>
      </c>
      <c r="G184" s="1698">
        <f t="shared" si="17"/>
        <v>0</v>
      </c>
      <c r="H184" s="1698">
        <f t="shared" si="17"/>
        <v>0</v>
      </c>
      <c r="I184" s="1698">
        <f t="shared" si="17"/>
        <v>0</v>
      </c>
      <c r="J184" s="1698">
        <f t="shared" si="17"/>
        <v>0</v>
      </c>
      <c r="K184" s="1698">
        <f>SUM(K180,K182,K183)</f>
        <v>268825</v>
      </c>
      <c r="L184" s="1698">
        <f>SUM(L180, L182:L183)</f>
        <v>295275</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12000</v>
      </c>
      <c r="D210" s="1691">
        <f>SUM(D184,D185)</f>
        <v>0</v>
      </c>
      <c r="E210" s="1691">
        <f>SUM(E184,E185,E196)</f>
        <v>256825</v>
      </c>
      <c r="F210" s="1691">
        <f>SUM(F184,F185)</f>
        <v>0</v>
      </c>
      <c r="G210" s="1691">
        <f>SUM(G184,G185)</f>
        <v>0</v>
      </c>
      <c r="H210" s="1691">
        <f>SUM(H184,H185,H196,H208,H209)</f>
        <v>0</v>
      </c>
      <c r="I210" s="1691">
        <f>SUM(I184,I185)</f>
        <v>0</v>
      </c>
      <c r="J210" s="1691">
        <f>SUM(J184,J185)</f>
        <v>0</v>
      </c>
      <c r="K210" s="1692">
        <f>SUM(K184,K185,K196,K208,K209)</f>
        <v>268825</v>
      </c>
      <c r="L210" s="1691">
        <f>SUM(L184,L185,L196,L208,L209)</f>
        <v>295275</v>
      </c>
    </row>
    <row r="211" spans="1:14" ht="13.5" thickTop="1" x14ac:dyDescent="0.2">
      <c r="A211" s="2184" t="s">
        <v>1053</v>
      </c>
      <c r="B211" s="2185"/>
      <c r="C211" s="619"/>
      <c r="D211" s="619"/>
      <c r="E211" s="619"/>
      <c r="F211" s="619"/>
      <c r="G211" s="619"/>
      <c r="H211" s="619"/>
      <c r="I211" s="617"/>
      <c r="J211" s="617"/>
      <c r="K211" s="1705">
        <f>'Revenues 9-14'!F275-'Expenditures 15-22'!K210</f>
        <v>115687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6" t="s">
        <v>1022</v>
      </c>
      <c r="B213" s="2207"/>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36947</v>
      </c>
      <c r="E215" s="617"/>
      <c r="F215" s="617"/>
      <c r="G215" s="617"/>
      <c r="H215" s="617"/>
      <c r="I215" s="617"/>
      <c r="J215" s="617"/>
      <c r="K215" s="1692">
        <f>D215</f>
        <v>36947</v>
      </c>
      <c r="L215" s="466">
        <v>36802</v>
      </c>
    </row>
    <row r="216" spans="1:14" x14ac:dyDescent="0.2">
      <c r="A216" s="1525" t="s">
        <v>165</v>
      </c>
      <c r="B216" s="615" t="s">
        <v>1024</v>
      </c>
      <c r="C216" s="617"/>
      <c r="D216" s="467">
        <v>1195</v>
      </c>
      <c r="E216" s="617"/>
      <c r="F216" s="617"/>
      <c r="G216" s="617"/>
      <c r="H216" s="617"/>
      <c r="I216" s="617"/>
      <c r="J216" s="617"/>
      <c r="K216" s="1692">
        <f t="shared" ref="K216:K228" si="19">D216</f>
        <v>1195</v>
      </c>
      <c r="L216" s="466">
        <v>1500</v>
      </c>
    </row>
    <row r="217" spans="1:14" x14ac:dyDescent="0.2">
      <c r="A217" s="1525" t="s">
        <v>166</v>
      </c>
      <c r="B217" s="615">
        <v>1200</v>
      </c>
      <c r="C217" s="617"/>
      <c r="D217" s="466">
        <v>55601</v>
      </c>
      <c r="E217" s="617"/>
      <c r="F217" s="617"/>
      <c r="G217" s="617"/>
      <c r="H217" s="617"/>
      <c r="I217" s="617"/>
      <c r="J217" s="617"/>
      <c r="K217" s="1692">
        <f t="shared" si="19"/>
        <v>55601</v>
      </c>
      <c r="L217" s="466">
        <v>52446</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5248</v>
      </c>
      <c r="E219" s="617"/>
      <c r="F219" s="617"/>
      <c r="G219" s="617"/>
      <c r="H219" s="617"/>
      <c r="I219" s="617"/>
      <c r="J219" s="617"/>
      <c r="K219" s="1692">
        <f t="shared" si="19"/>
        <v>5248</v>
      </c>
      <c r="L219" s="466">
        <v>5400</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c r="E222" s="617"/>
      <c r="F222" s="617"/>
      <c r="G222" s="617"/>
      <c r="H222" s="617"/>
      <c r="I222" s="617"/>
      <c r="J222" s="617"/>
      <c r="K222" s="1692">
        <f t="shared" si="19"/>
        <v>0</v>
      </c>
      <c r="L222" s="466"/>
    </row>
    <row r="223" spans="1:14" x14ac:dyDescent="0.2">
      <c r="A223" s="1525" t="s">
        <v>1020</v>
      </c>
      <c r="B223" s="615">
        <v>1500</v>
      </c>
      <c r="C223" s="617"/>
      <c r="D223" s="466">
        <v>1690</v>
      </c>
      <c r="E223" s="617"/>
      <c r="F223" s="617"/>
      <c r="G223" s="617"/>
      <c r="H223" s="617"/>
      <c r="I223" s="617"/>
      <c r="J223" s="617"/>
      <c r="K223" s="1692">
        <f t="shared" si="19"/>
        <v>1690</v>
      </c>
      <c r="L223" s="466">
        <v>1550</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100681</v>
      </c>
      <c r="E229" s="617"/>
      <c r="F229" s="617"/>
      <c r="G229" s="617"/>
      <c r="H229" s="617"/>
      <c r="I229" s="617"/>
      <c r="J229" s="617"/>
      <c r="K229" s="1691">
        <f>SUM(K215:K228)</f>
        <v>100681</v>
      </c>
      <c r="L229" s="1691">
        <f>SUM(L215:L228)</f>
        <v>97698</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853</v>
      </c>
      <c r="E233" s="617"/>
      <c r="F233" s="617"/>
      <c r="G233" s="617"/>
      <c r="H233" s="617"/>
      <c r="I233" s="617"/>
      <c r="J233" s="617"/>
      <c r="K233" s="1692">
        <f t="shared" si="20"/>
        <v>853</v>
      </c>
      <c r="L233" s="466">
        <v>1300</v>
      </c>
    </row>
    <row r="234" spans="1:12" x14ac:dyDescent="0.2">
      <c r="A234" s="1525" t="s">
        <v>207</v>
      </c>
      <c r="B234" s="615">
        <v>2130</v>
      </c>
      <c r="C234" s="617"/>
      <c r="D234" s="466">
        <v>10624</v>
      </c>
      <c r="E234" s="617"/>
      <c r="F234" s="617"/>
      <c r="G234" s="617"/>
      <c r="H234" s="617"/>
      <c r="I234" s="617"/>
      <c r="J234" s="617"/>
      <c r="K234" s="1692">
        <f t="shared" si="20"/>
        <v>10624</v>
      </c>
      <c r="L234" s="466">
        <v>10910</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714</v>
      </c>
      <c r="E236" s="617"/>
      <c r="F236" s="617"/>
      <c r="G236" s="617"/>
      <c r="H236" s="617"/>
      <c r="I236" s="617"/>
      <c r="J236" s="617"/>
      <c r="K236" s="1692">
        <f t="shared" si="20"/>
        <v>714</v>
      </c>
      <c r="L236" s="466">
        <v>675</v>
      </c>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12191</v>
      </c>
      <c r="E238" s="617"/>
      <c r="F238" s="617"/>
      <c r="G238" s="617"/>
      <c r="H238" s="617"/>
      <c r="I238" s="617"/>
      <c r="J238" s="617"/>
      <c r="K238" s="1691">
        <f>SUM(K232:K237)</f>
        <v>12191</v>
      </c>
      <c r="L238" s="1691">
        <f>SUM(L232:L237)</f>
        <v>12885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v>14222</v>
      </c>
      <c r="E241" s="617"/>
      <c r="F241" s="617"/>
      <c r="G241" s="617"/>
      <c r="H241" s="617"/>
      <c r="I241" s="617"/>
      <c r="J241" s="617"/>
      <c r="K241" s="1693">
        <f>D241</f>
        <v>14222</v>
      </c>
      <c r="L241" s="466">
        <v>14500</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14222</v>
      </c>
      <c r="E243" s="617"/>
      <c r="F243" s="617"/>
      <c r="G243" s="617"/>
      <c r="H243" s="617"/>
      <c r="I243" s="617"/>
      <c r="J243" s="617"/>
      <c r="K243" s="1691">
        <f>SUM(K240:K242)</f>
        <v>14222</v>
      </c>
      <c r="L243" s="1691">
        <f>SUM(L240:L242)</f>
        <v>14500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486</v>
      </c>
      <c r="E245" s="617"/>
      <c r="F245" s="617"/>
      <c r="G245" s="617"/>
      <c r="H245" s="617"/>
      <c r="I245" s="617"/>
      <c r="J245" s="617"/>
      <c r="K245" s="1693">
        <f>D245</f>
        <v>486</v>
      </c>
      <c r="L245" s="481">
        <v>800</v>
      </c>
    </row>
    <row r="246" spans="1:12" x14ac:dyDescent="0.2">
      <c r="A246" s="1525" t="s">
        <v>872</v>
      </c>
      <c r="B246" s="615">
        <v>2320</v>
      </c>
      <c r="C246" s="617"/>
      <c r="D246" s="466">
        <v>3516</v>
      </c>
      <c r="E246" s="617"/>
      <c r="F246" s="617"/>
      <c r="G246" s="617"/>
      <c r="H246" s="617"/>
      <c r="I246" s="617"/>
      <c r="J246" s="617"/>
      <c r="K246" s="1693">
        <f t="shared" ref="K246:K256" si="21">D246</f>
        <v>3516</v>
      </c>
      <c r="L246" s="466">
        <v>4200</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4002</v>
      </c>
      <c r="E257" s="617"/>
      <c r="F257" s="617"/>
      <c r="G257" s="617"/>
      <c r="H257" s="617"/>
      <c r="I257" s="617"/>
      <c r="J257" s="617"/>
      <c r="K257" s="1691">
        <f>SUM(K245:K256)</f>
        <v>4002</v>
      </c>
      <c r="L257" s="1691">
        <f>SUM(L245:L256)</f>
        <v>5000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18978</v>
      </c>
      <c r="E259" s="617"/>
      <c r="F259" s="617"/>
      <c r="G259" s="617"/>
      <c r="H259" s="617"/>
      <c r="I259" s="617"/>
      <c r="J259" s="617"/>
      <c r="K259" s="1693">
        <f>D259</f>
        <v>18978</v>
      </c>
      <c r="L259" s="481">
        <v>19350</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18978</v>
      </c>
      <c r="E261" s="617"/>
      <c r="F261" s="617"/>
      <c r="G261" s="617"/>
      <c r="H261" s="617"/>
      <c r="I261" s="617"/>
      <c r="J261" s="617"/>
      <c r="K261" s="1691">
        <f>SUM(K259:K260)</f>
        <v>18978</v>
      </c>
      <c r="L261" s="1691">
        <f>SUM(L259:L260)</f>
        <v>19350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7295</v>
      </c>
      <c r="E264" s="617"/>
      <c r="F264" s="617"/>
      <c r="G264" s="617"/>
      <c r="H264" s="617"/>
      <c r="I264" s="617"/>
      <c r="J264" s="617"/>
      <c r="K264" s="1693">
        <f t="shared" ref="K264:K269" si="22">D264</f>
        <v>7295</v>
      </c>
      <c r="L264" s="466">
        <v>8200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27377</v>
      </c>
      <c r="E266" s="617"/>
      <c r="F266" s="617"/>
      <c r="G266" s="617"/>
      <c r="H266" s="617"/>
      <c r="I266" s="617"/>
      <c r="J266" s="617"/>
      <c r="K266" s="1693">
        <f t="shared" si="22"/>
        <v>27377</v>
      </c>
      <c r="L266" s="466">
        <v>32700</v>
      </c>
    </row>
    <row r="267" spans="1:14" x14ac:dyDescent="0.2">
      <c r="A267" s="1525" t="s">
        <v>1010</v>
      </c>
      <c r="B267" s="615">
        <v>2550</v>
      </c>
      <c r="C267" s="617"/>
      <c r="D267" s="466"/>
      <c r="E267" s="617"/>
      <c r="F267" s="617"/>
      <c r="G267" s="617"/>
      <c r="H267" s="617"/>
      <c r="I267" s="617"/>
      <c r="J267" s="617"/>
      <c r="K267" s="1693">
        <f t="shared" si="22"/>
        <v>0</v>
      </c>
      <c r="L267" s="466"/>
    </row>
    <row r="268" spans="1:14" x14ac:dyDescent="0.2">
      <c r="A268" s="1525" t="s">
        <v>102</v>
      </c>
      <c r="B268" s="615">
        <v>2560</v>
      </c>
      <c r="C268" s="617"/>
      <c r="D268" s="466">
        <v>11561</v>
      </c>
      <c r="E268" s="617"/>
      <c r="F268" s="617"/>
      <c r="G268" s="617"/>
      <c r="H268" s="617"/>
      <c r="I268" s="617"/>
      <c r="J268" s="617"/>
      <c r="K268" s="1693">
        <f t="shared" si="22"/>
        <v>11561</v>
      </c>
      <c r="L268" s="466">
        <v>12200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46233</v>
      </c>
      <c r="E270" s="617"/>
      <c r="F270" s="617"/>
      <c r="G270" s="617"/>
      <c r="H270" s="617"/>
      <c r="I270" s="617"/>
      <c r="J270" s="617"/>
      <c r="K270" s="1691">
        <f>SUM(K263:K269)</f>
        <v>46233</v>
      </c>
      <c r="L270" s="1691">
        <f>SUM(L263:L269)</f>
        <v>53100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95626</v>
      </c>
      <c r="E279" s="617"/>
      <c r="F279" s="617"/>
      <c r="G279" s="617"/>
      <c r="H279" s="617"/>
      <c r="I279" s="617"/>
      <c r="J279" s="617"/>
      <c r="K279" s="1698">
        <f>SUM(K238,K243,K257,K261,K270,K277,K278)</f>
        <v>95626</v>
      </c>
      <c r="L279" s="1698">
        <f>SUM(L238,L243,L257,L261,L270,L277,L278)</f>
        <v>104835</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2" t="s">
        <v>526</v>
      </c>
      <c r="B295" s="2203"/>
      <c r="C295" s="617"/>
      <c r="D295" s="1691">
        <f>SUM(D229,D279,D280,D285)</f>
        <v>196307</v>
      </c>
      <c r="E295" s="617"/>
      <c r="F295" s="617"/>
      <c r="G295" s="617"/>
      <c r="H295" s="1691">
        <f>H293</f>
        <v>0</v>
      </c>
      <c r="I295" s="617"/>
      <c r="J295" s="617"/>
      <c r="K295" s="1691">
        <f>SUM(K229,K279,K280,K285,K293,K294)</f>
        <v>196307</v>
      </c>
      <c r="L295" s="1691">
        <f>SUM(L229,L279,L280,L285,L293,L294)</f>
        <v>202533</v>
      </c>
    </row>
    <row r="296" spans="1:14" ht="13.5" thickTop="1" x14ac:dyDescent="0.2">
      <c r="A296" s="2184" t="s">
        <v>1053</v>
      </c>
      <c r="B296" s="2185"/>
      <c r="C296" s="617"/>
      <c r="D296" s="619"/>
      <c r="E296" s="617"/>
      <c r="F296" s="617"/>
      <c r="G296" s="617"/>
      <c r="H296" s="688"/>
      <c r="I296" s="617"/>
      <c r="J296" s="617"/>
      <c r="K296" s="1705">
        <f>'Revenues 9-14'!G275-'Expenditures 15-22'!K295</f>
        <v>-38862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4" t="s">
        <v>145</v>
      </c>
      <c r="B298" s="2188"/>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9" t="s">
        <v>295</v>
      </c>
      <c r="B312" s="2200"/>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95" t="s">
        <v>1053</v>
      </c>
      <c r="B313" s="2196"/>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8" t="s">
        <v>151</v>
      </c>
      <c r="B315" s="2209"/>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0" t="s">
        <v>954</v>
      </c>
      <c r="B317" s="2209"/>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197" t="s">
        <v>1053</v>
      </c>
      <c r="B343" s="2198"/>
      <c r="C343" s="617"/>
      <c r="D343" s="617"/>
      <c r="E343" s="617"/>
      <c r="F343" s="617"/>
      <c r="G343" s="617"/>
      <c r="H343" s="617"/>
      <c r="I343" s="617"/>
      <c r="J343" s="617"/>
      <c r="K343" s="1705">
        <f>'Revenues 9-14'!J275-'Expenditures 15-22'!K342</f>
        <v>79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7" t="s">
        <v>1023</v>
      </c>
      <c r="B345" s="2188"/>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v>17442</v>
      </c>
    </row>
    <row r="349" spans="1:14" x14ac:dyDescent="0.2">
      <c r="A349" s="1525" t="s">
        <v>206</v>
      </c>
      <c r="B349" s="615">
        <v>2540</v>
      </c>
      <c r="C349" s="466"/>
      <c r="D349" s="466"/>
      <c r="E349" s="466">
        <v>11400</v>
      </c>
      <c r="F349" s="466"/>
      <c r="G349" s="466"/>
      <c r="H349" s="466"/>
      <c r="I349" s="467"/>
      <c r="J349" s="467"/>
      <c r="K349" s="1692">
        <f>SUM(C349:J349)</f>
        <v>11400</v>
      </c>
      <c r="L349" s="466">
        <v>37000</v>
      </c>
    </row>
    <row r="350" spans="1:14" ht="12.75" customHeight="1" thickBot="1" x14ac:dyDescent="0.25">
      <c r="A350" s="1689" t="s">
        <v>743</v>
      </c>
      <c r="B350" s="1690" t="s">
        <v>35</v>
      </c>
      <c r="C350" s="1691">
        <f>SUM(C348:C349)</f>
        <v>0</v>
      </c>
      <c r="D350" s="1691">
        <f t="shared" ref="D350:L350" si="26">SUM(D348:D349)</f>
        <v>0</v>
      </c>
      <c r="E350" s="1691">
        <f t="shared" si="26"/>
        <v>11400</v>
      </c>
      <c r="F350" s="1691">
        <f t="shared" si="26"/>
        <v>0</v>
      </c>
      <c r="G350" s="1691">
        <f t="shared" si="26"/>
        <v>0</v>
      </c>
      <c r="H350" s="1691">
        <f t="shared" si="26"/>
        <v>0</v>
      </c>
      <c r="I350" s="1691">
        <f t="shared" si="26"/>
        <v>0</v>
      </c>
      <c r="J350" s="1691">
        <f t="shared" si="26"/>
        <v>0</v>
      </c>
      <c r="K350" s="1691">
        <f t="shared" si="26"/>
        <v>11400</v>
      </c>
      <c r="L350" s="1691">
        <f t="shared" si="26"/>
        <v>54442</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11400</v>
      </c>
      <c r="F352" s="1691">
        <f t="shared" si="27"/>
        <v>0</v>
      </c>
      <c r="G352" s="1691">
        <f t="shared" si="27"/>
        <v>0</v>
      </c>
      <c r="H352" s="1691">
        <f t="shared" si="27"/>
        <v>0</v>
      </c>
      <c r="I352" s="1691">
        <f t="shared" si="27"/>
        <v>0</v>
      </c>
      <c r="J352" s="1691">
        <f t="shared" si="27"/>
        <v>0</v>
      </c>
      <c r="K352" s="1691">
        <f t="shared" si="27"/>
        <v>11400</v>
      </c>
      <c r="L352" s="1691">
        <f t="shared" si="27"/>
        <v>54442</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11400</v>
      </c>
      <c r="F367" s="1691">
        <f t="shared" si="28"/>
        <v>0</v>
      </c>
      <c r="G367" s="1691">
        <f t="shared" si="28"/>
        <v>0</v>
      </c>
      <c r="H367" s="1691">
        <f t="shared" si="28"/>
        <v>0</v>
      </c>
      <c r="I367" s="1691">
        <f t="shared" si="28"/>
        <v>0</v>
      </c>
      <c r="J367" s="1691">
        <f t="shared" si="28"/>
        <v>0</v>
      </c>
      <c r="K367" s="1691">
        <f t="shared" si="28"/>
        <v>11400</v>
      </c>
      <c r="L367" s="1691">
        <f t="shared" si="28"/>
        <v>54442</v>
      </c>
    </row>
    <row r="368" spans="1:14" ht="13.5" thickTop="1" x14ac:dyDescent="0.2">
      <c r="A368" s="2184" t="s">
        <v>1053</v>
      </c>
      <c r="B368" s="2185"/>
      <c r="C368" s="655"/>
      <c r="D368" s="655"/>
      <c r="E368" s="627"/>
      <c r="F368" s="627"/>
      <c r="G368" s="627"/>
      <c r="H368" s="627"/>
      <c r="I368" s="627"/>
      <c r="J368" s="624"/>
      <c r="K368" s="1692">
        <f>'Revenues 9-14'!K275-'Expenditures 15-22'!K367</f>
        <v>42856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purl.org/dc/terms/"/>
    <ds:schemaRef ds:uri="6ce3111e-7420-4802-b50a-75d4e9a0b980"/>
    <ds:schemaRef ds:uri="4d435f69-8686-490b-bd6d-b153bf22ab50"/>
    <ds:schemaRef ds:uri="http://www.w3.org/XML/1998/namespace"/>
    <ds:schemaRef ds:uri="http://schemas.openxmlformats.org/package/2006/metadata/core-properties"/>
    <ds:schemaRef ds:uri="http://purl.org/dc/dcmitype/"/>
    <ds:schemaRef ds:uri="http://schemas.microsoft.com/office/infopath/2007/PartnerControls"/>
    <ds:schemaRef ds:uri="http://purl.org/dc/elements/1.1/"/>
    <ds:schemaRef ds:uri="d21dc803-237d-4c68-8692-8d731fd29118"/>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2018-10-22T20:00:24Z</cp:lastPrinted>
  <dcterms:created xsi:type="dcterms:W3CDTF">2003-10-29T19:06:34Z</dcterms:created>
  <dcterms:modified xsi:type="dcterms:W3CDTF">2018-10-31T15:54:05Z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